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9795" activeTab="2"/>
  </bookViews>
  <sheets>
    <sheet name="Summary All" sheetId="1" r:id="rId1"/>
    <sheet name="Summary selected" sheetId="2" r:id="rId2"/>
    <sheet name="2013 vs 2014 vs 2015" sheetId="3" r:id="rId3"/>
    <sheet name="Res (100kWh)" sheetId="4" r:id="rId4"/>
    <sheet name="Res (250kWh)" sheetId="5" r:id="rId5"/>
    <sheet name="Res (500kWh)" sheetId="6" r:id="rId6"/>
    <sheet name="Res (800kWh)" sheetId="7" r:id="rId7"/>
    <sheet name="Res (1,000kWh)" sheetId="8" r:id="rId8"/>
    <sheet name="Res (1,500kWh)" sheetId="9" r:id="rId9"/>
    <sheet name="Res (2,000kWh)" sheetId="10" r:id="rId10"/>
    <sheet name="GS&lt;50 (1,000kWh)" sheetId="11" r:id="rId11"/>
    <sheet name="GS&lt;50 (2,000kWh)" sheetId="12" r:id="rId12"/>
    <sheet name="GS&lt;50 (5,000kWh)" sheetId="13" r:id="rId13"/>
    <sheet name="GS&lt;50 (10,000kWh)" sheetId="14" r:id="rId14"/>
    <sheet name="GS&lt;50 (15,000kWh)" sheetId="15" r:id="rId15"/>
    <sheet name="GS 50-999 (60kW)" sheetId="16" r:id="rId16"/>
    <sheet name="GS 50-999 (100kW)" sheetId="17" r:id="rId17"/>
    <sheet name="GS 1000-4999 (1,000kW)" sheetId="18" r:id="rId18"/>
    <sheet name="GS 1000-4999 (5,000kW)" sheetId="19" r:id="rId19"/>
    <sheet name="LU (25,000kW) " sheetId="20" r:id="rId20"/>
    <sheet name="ST (1kW)" sheetId="21" r:id="rId21"/>
    <sheet name="USL (150kWh)" sheetId="22" r:id="rId22"/>
  </sheets>
  <externalReferences>
    <externalReference r:id="rId25"/>
    <externalReference r:id="rId26"/>
  </externalReferences>
  <definedNames>
    <definedName name="EBNUMBER">'[1]LDC Info'!$E$16</definedName>
    <definedName name="_xlnm.Print_Area" localSheetId="17">'GS 1000-4999 (1,000kW)'!$A$1:$O$92</definedName>
    <definedName name="_xlnm.Print_Area" localSheetId="18">'GS 1000-4999 (5,000kW)'!$A$1:$O$92</definedName>
    <definedName name="_xlnm.Print_Area" localSheetId="16">'GS 50-999 (100kW)'!$A$1:$O$85</definedName>
    <definedName name="_xlnm.Print_Area" localSheetId="15">'GS 50-999 (60kW)'!$A$1:$O$92</definedName>
    <definedName name="_xlnm.Print_Area" localSheetId="10">'GS&lt;50 (1,000kWh)'!$A$1:$O$93</definedName>
    <definedName name="_xlnm.Print_Area" localSheetId="13">'GS&lt;50 (10,000kWh)'!$A$1:$O$93</definedName>
    <definedName name="_xlnm.Print_Area" localSheetId="14">'GS&lt;50 (15,000kWh)'!$A$1:$O$93</definedName>
    <definedName name="_xlnm.Print_Area" localSheetId="11">'GS&lt;50 (2,000kWh)'!$A$1:$O$93</definedName>
    <definedName name="_xlnm.Print_Area" localSheetId="12">'GS&lt;50 (5,000kWh)'!$A$1:$O$93</definedName>
    <definedName name="_xlnm.Print_Area" localSheetId="19">'LU (25,000kW) '!$A$1:$O$93</definedName>
    <definedName name="_xlnm.Print_Area" localSheetId="7">'Res (1,000kWh)'!$A$1:$O$93</definedName>
    <definedName name="_xlnm.Print_Area" localSheetId="8">'Res (1,500kWh)'!$A$1:$O$93</definedName>
    <definedName name="_xlnm.Print_Area" localSheetId="3">'Res (100kWh)'!$A$1:$O$93</definedName>
    <definedName name="_xlnm.Print_Area" localSheetId="9">'Res (2,000kWh)'!$A$1:$O$93</definedName>
    <definedName name="_xlnm.Print_Area" localSheetId="4">'Res (250kWh)'!$A$1:$O$93</definedName>
    <definedName name="_xlnm.Print_Area" localSheetId="5">'Res (500kWh)'!$A$1:$O$93</definedName>
    <definedName name="_xlnm.Print_Area" localSheetId="6">'Res (800kWh)'!$A$1:$O$93</definedName>
    <definedName name="_xlnm.Print_Area" localSheetId="20">'ST (1kW)'!$A$1:$O$92</definedName>
    <definedName name="_xlnm.Print_Area" localSheetId="0">'Summary All'!$A$1:$J$35</definedName>
    <definedName name="_xlnm.Print_Area" localSheetId="21">'USL (150kWh)'!$A$1:$O$92</definedName>
  </definedNames>
  <calcPr fullCalcOnLoad="1"/>
</workbook>
</file>

<file path=xl/comments10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42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9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1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42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9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2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42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9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3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42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9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4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42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9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5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42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9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6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3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9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7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</commentList>
</comments>
</file>

<file path=xl/comments18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3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9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9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3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9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20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3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9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21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3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9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22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3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9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4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42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9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5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42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9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6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42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9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7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42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9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8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42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9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9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42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9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sharedStrings.xml><?xml version="1.0" encoding="utf-8"?>
<sst xmlns="http://schemas.openxmlformats.org/spreadsheetml/2006/main" count="2150" uniqueCount="144">
  <si>
    <t>File Number:</t>
  </si>
  <si>
    <t>Exhibit:</t>
  </si>
  <si>
    <t>Page:</t>
  </si>
  <si>
    <t>Appendix 2-W</t>
  </si>
  <si>
    <t>Bill Impacts</t>
  </si>
  <si>
    <t>Customer Class:</t>
  </si>
  <si>
    <t>TOU / non-TOU:</t>
  </si>
  <si>
    <t>TOU</t>
  </si>
  <si>
    <t>Consumption</t>
  </si>
  <si>
    <t xml:space="preserve"> kWh</t>
  </si>
  <si>
    <t>Current Board-Approved</t>
  </si>
  <si>
    <t>Proposed</t>
  </si>
  <si>
    <t>Impact</t>
  </si>
  <si>
    <t>Charge Unit</t>
  </si>
  <si>
    <t>Rate</t>
  </si>
  <si>
    <t>Volume</t>
  </si>
  <si>
    <t>Charge</t>
  </si>
  <si>
    <t>$ Change</t>
  </si>
  <si>
    <t>% Change</t>
  </si>
  <si>
    <t>($)</t>
  </si>
  <si>
    <t>Monthly Service Charge</t>
  </si>
  <si>
    <t>Distribution Volumetric Rate</t>
  </si>
  <si>
    <t>Smart Meter Disposition Rider</t>
  </si>
  <si>
    <t>LRAM &amp; SSM Rate Rider</t>
  </si>
  <si>
    <t>Sub-Total A (excluding pass through)</t>
  </si>
  <si>
    <t>Deferral/Variance Account Disposition Rate Rider</t>
  </si>
  <si>
    <t>Low Voltage Service Charge</t>
  </si>
  <si>
    <t>Line Losses on Cost of Power</t>
  </si>
  <si>
    <t>Smart Meter Entity Charge</t>
  </si>
  <si>
    <t>Sub-Total B - Distribution (includes Sub-Total A)</t>
  </si>
  <si>
    <t>RTSR - Network</t>
  </si>
  <si>
    <t>RTSR -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</si>
  <si>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</si>
  <si>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</si>
  <si>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</si>
  <si>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</si>
  <si>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Debt Retirement Charge (DRC)</t>
  </si>
  <si>
    <t>TOU - Off Peak</t>
  </si>
  <si>
    <t>TOU - Mid Peak</t>
  </si>
  <si>
    <t>TOU - On Peak</t>
  </si>
  <si>
    <t>Energy - RPP - Tier 1</t>
  </si>
  <si>
    <t>Energy - RPP - Tier 2</t>
  </si>
  <si>
    <t>Total Bill on TOU (before Taxes)</t>
  </si>
  <si>
    <t>HST</t>
  </si>
  <si>
    <r>
      <t xml:space="preserve">Total Bill </t>
    </r>
    <r>
      <rPr>
        <sz val="10"/>
        <rFont val="Arial"/>
        <family val="2"/>
      </rPr>
      <t>(including HST)</t>
    </r>
  </si>
  <si>
    <r>
      <t xml:space="preserve">Ontario Clean Energy Benefit </t>
    </r>
    <r>
      <rPr>
        <b/>
        <i/>
        <vertAlign val="superscript"/>
        <sz val="10"/>
        <rFont val="Arial"/>
        <family val="2"/>
      </rPr>
      <t>1</t>
    </r>
  </si>
  <si>
    <t>Total Bill on TOU (including OCEB)</t>
  </si>
  <si>
    <t>Total Bill on RPP (before Taxes)</t>
  </si>
  <si>
    <t>Total Bill on RPP (including OCEB)</t>
  </si>
  <si>
    <t>Loss Factor (%)</t>
  </si>
  <si>
    <r>
      <t>1</t>
    </r>
    <r>
      <rPr>
        <sz val="10"/>
        <rFont val="Arial"/>
        <family val="2"/>
      </rPr>
      <t xml:space="preserve"> Applicable to eligible customers only.  Refer to the </t>
    </r>
    <r>
      <rPr>
        <i/>
        <sz val="10"/>
        <rFont val="Arial"/>
        <family val="2"/>
      </rPr>
      <t>Ontario Clean Energy Benefit Act, 2010.</t>
    </r>
  </si>
  <si>
    <t xml:space="preserve">Note that the "Charge $" columns provide breakdowns of the amounts that each bill component contributes to the total monthly bill at the referenced </t>
  </si>
  <si>
    <t>consumption level at existing and proposed rates.</t>
  </si>
  <si>
    <t>Applicants must provide bill impacts for residential at 800 kWh and GS&lt;50kW at 2000 kWh. In addition, their filing must cover the range that is relevant</t>
  </si>
  <si>
    <t>to their service territory, class by class. A general guideline of consumption levels follows:</t>
  </si>
  <si>
    <t>Residential (kWh) - 100, 250, 500, 800, 1000, 1500, 2000</t>
  </si>
  <si>
    <t>GS&lt;50kW (kWh) - 1000, 2000, 5000, 10000, 15000</t>
  </si>
  <si>
    <t>GS&gt;50kW (kW) - 60, 100, 500, 1000</t>
  </si>
  <si>
    <t>Large User - range appropriate for utility</t>
  </si>
  <si>
    <t>Lighting Classes and USL - 150 kWh and 1 kW, range appropriate for utility.</t>
  </si>
  <si>
    <t>Note that cells with the highlighted color shown to the left indicate quantities that are loss adjusted.</t>
  </si>
  <si>
    <t>Residential</t>
  </si>
  <si>
    <t>Monthly</t>
  </si>
  <si>
    <t>per kWh</t>
  </si>
  <si>
    <t>Rate Rider for Smart Meter Incremental Revenue Requirement</t>
  </si>
  <si>
    <t>Stranded Meter Rate Rider (SMRR)</t>
  </si>
  <si>
    <t xml:space="preserve">Rate Rider for Application of Tax Change </t>
  </si>
  <si>
    <t>Rate Rider for Accounts 1575 and 1576</t>
  </si>
  <si>
    <t>GS &lt; 50 kW</t>
  </si>
  <si>
    <t>non-TOU</t>
  </si>
  <si>
    <t>GS 50-999 kW</t>
  </si>
  <si>
    <t>kW</t>
  </si>
  <si>
    <t>per kW</t>
  </si>
  <si>
    <t>GS 1,000-4,999 kW</t>
  </si>
  <si>
    <t>Large Use</t>
  </si>
  <si>
    <t>Street Lighting</t>
  </si>
  <si>
    <t>Unmetered Scattered Load</t>
  </si>
  <si>
    <t>COP Spot Price</t>
  </si>
  <si>
    <t>Rate Rider for Disposition of Global Adjustment Sub-Account(Applicable only for Non-RPP Customers)</t>
  </si>
  <si>
    <t>Appendix:</t>
  </si>
  <si>
    <t>8-5</t>
  </si>
  <si>
    <t>Sheet:</t>
  </si>
  <si>
    <t>Sheet 4- Res (800 kWh)</t>
  </si>
  <si>
    <t>Amended:</t>
  </si>
  <si>
    <t>Sheet 3- Res (500 kWh)</t>
  </si>
  <si>
    <t>Sheet 2- Res (250 kWh)</t>
  </si>
  <si>
    <t>Sheet 1- Res (100 kWh)</t>
  </si>
  <si>
    <t>Sheet 5- Res (1,000 kWh)</t>
  </si>
  <si>
    <t>Sheet 6- Res (1,500 kWh)</t>
  </si>
  <si>
    <t>Sheet 7- Res (2,000 kWh)</t>
  </si>
  <si>
    <t>Sheet 8- GS&lt;50 (1,000 kWh)</t>
  </si>
  <si>
    <t>Sheet 9- GS&lt;50 (2,000 kWh)</t>
  </si>
  <si>
    <t>Sheet 10- GS&lt;50 (5,000 kWh)</t>
  </si>
  <si>
    <t>Sheet 11- GS&lt;50 (10,000 kWh)</t>
  </si>
  <si>
    <t>Sheet 12- GS&lt;50 (15,000 kWh)</t>
  </si>
  <si>
    <t>Sheet 13- GS 50-999 (60 kW)</t>
  </si>
  <si>
    <t>Sheet 14- GS 50-999 (100 kW)</t>
  </si>
  <si>
    <t>Sheet 15- GS 1000-4999 (1,000 kW)</t>
  </si>
  <si>
    <t>Sheet 16- GS 1000-4999 (5,000 kW)</t>
  </si>
  <si>
    <t>Sheet 17- LU (25,000 kW)</t>
  </si>
  <si>
    <t>Sheet 18- ST (1 kW)</t>
  </si>
  <si>
    <t>Sheet 19- USL (150kWh)</t>
  </si>
  <si>
    <t>Rate Rider for Recovery of Foregone Revenue</t>
  </si>
  <si>
    <t xml:space="preserve">Rate Rider for Recovery of Foregone Revenue </t>
  </si>
  <si>
    <t>Customer Class</t>
  </si>
  <si>
    <t>$</t>
  </si>
  <si>
    <t>%</t>
  </si>
  <si>
    <t>800 kWh</t>
  </si>
  <si>
    <t>2,000 kWh</t>
  </si>
  <si>
    <t>GS 50 - 999 kW</t>
  </si>
  <si>
    <t>60 kW</t>
  </si>
  <si>
    <t>GS 1000 - 4999 kW</t>
  </si>
  <si>
    <t>1,000 kW</t>
  </si>
  <si>
    <t>Large Users</t>
  </si>
  <si>
    <t>USL (1 connection)</t>
  </si>
  <si>
    <t>150 kWh</t>
  </si>
  <si>
    <t xml:space="preserve">1 kW </t>
  </si>
  <si>
    <t>Rate Class</t>
  </si>
  <si>
    <t>kWh</t>
  </si>
  <si>
    <t># of Connections</t>
  </si>
  <si>
    <t>Time-of-Use</t>
  </si>
  <si>
    <t>USL</t>
  </si>
  <si>
    <t>Difference     B - A = C</t>
  </si>
  <si>
    <t>Bill Impact   C/A</t>
  </si>
  <si>
    <t>LRAM Rate Rider</t>
  </si>
  <si>
    <t>Rate Rider for Recovery of Z-factor (storm) costs</t>
  </si>
  <si>
    <t>2014 Total  Bill          A</t>
  </si>
  <si>
    <t>2015 Bill  as Proposed             B</t>
  </si>
  <si>
    <t>Street Lighting     (1 con)</t>
  </si>
  <si>
    <t>Current Board Approved</t>
  </si>
  <si>
    <t>Distribution Impact</t>
  </si>
  <si>
    <t xml:space="preserve">Total Bill Impact </t>
  </si>
  <si>
    <t xml:space="preserve">NOTE: This Table excludes the Rate Riders for Recovery of Foregone Revenue as these Rate Riders are temporary in nature.  </t>
  </si>
  <si>
    <t>Total Bill Impact 2013 vs 2014</t>
  </si>
  <si>
    <t>Total Bill Impact 2014 vs 2015</t>
  </si>
  <si>
    <t>Total Bill Impact 2013 to 2015</t>
  </si>
  <si>
    <t xml:space="preserve"> </t>
  </si>
  <si>
    <t>A</t>
  </si>
  <si>
    <t>B</t>
  </si>
  <si>
    <t>C = A + B</t>
  </si>
  <si>
    <t xml:space="preserve">Rate Riders are temporary in nature.  </t>
  </si>
  <si>
    <t xml:space="preserve">NOTE: This Table excludes the Rate Riders for Recovery of Foregone Revenue as these </t>
  </si>
  <si>
    <t>25,000 kW</t>
  </si>
  <si>
    <t>NOTE: This Table excludes the Rate Riders for Recovery of Foregone Revenue as these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</si>
</sst>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-&quot;$&quot;* #,##0.00_-;\-&quot;$&quot;* #,##0.00_-;_-&quot;$&quot;* &quot;-&quot;??_-;_-@_-"/>
    <numFmt numFmtId="167" formatCode="_-&quot;$&quot;* #,##0.0000_-;\-&quot;$&quot;* #,##0.0000_-;_-&quot;$&quot;* &quot;-&quot;??_-;_-@_-"/>
    <numFmt numFmtId="168" formatCode="_-&quot;$&quot;* #,##0.000_-;\-&quot;$&quot;* #,##0.000_-;_-&quot;$&quot;* &quot;-&quot;??_-;_-@_-"/>
    <numFmt numFmtId="169" formatCode="_-* #,##0.0000_-;\-* #,##0.0000_-;_-* &quot;-&quot;??_-;_-@_-"/>
    <numFmt numFmtId="170" formatCode="0.0%"/>
    <numFmt numFmtId="171" formatCode="[$-409]dddd\,\ mmmm\ dd\,\ yyyy"/>
    <numFmt numFmtId="172" formatCode="[$-409]h:mm:ss\ AM/PM"/>
    <numFmt numFmtId="173" formatCode="&quot;$&quot;#,##0.00"/>
    <numFmt numFmtId="174" formatCode="&quot;$&quot;#,##0.0000_);\(&quot;$&quot;#,##0.0000\)"/>
    <numFmt numFmtId="175" formatCode="_(&quot;$&quot;* #,##0.0000_);_(&quot;$&quot;* \(#,##0.0000\);_(&quot;$&quot;* &quot;-&quot;??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12"/>
      <name val="Algerian"/>
      <family val="5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 vertical="top" wrapText="1"/>
      <protection/>
    </xf>
    <xf numFmtId="0" fontId="0" fillId="33" borderId="0" xfId="0" applyFill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5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 indent="1"/>
      <protection/>
    </xf>
    <xf numFmtId="0" fontId="6" fillId="33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9" fillId="2" borderId="0" xfId="0" applyFont="1" applyFill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5" fontId="3" fillId="4" borderId="10" xfId="42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 quotePrefix="1">
      <alignment horizontal="center"/>
      <protection/>
    </xf>
    <xf numFmtId="0" fontId="3" fillId="0" borderId="15" xfId="0" applyFont="1" applyBorder="1" applyAlignment="1" applyProtection="1" quotePrefix="1">
      <alignment horizontal="center"/>
      <protection/>
    </xf>
    <xf numFmtId="0" fontId="0" fillId="0" borderId="0" xfId="0" applyAlignment="1" applyProtection="1">
      <alignment vertical="top"/>
      <protection/>
    </xf>
    <xf numFmtId="0" fontId="0" fillId="2" borderId="0" xfId="0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/>
    </xf>
    <xf numFmtId="167" fontId="0" fillId="4" borderId="16" xfId="44" applyNumberFormat="1" applyFont="1" applyFill="1" applyBorder="1" applyAlignment="1" applyProtection="1">
      <alignment vertical="top"/>
      <protection locked="0"/>
    </xf>
    <xf numFmtId="0" fontId="0" fillId="0" borderId="16" xfId="0" applyFill="1" applyBorder="1" applyAlignment="1" applyProtection="1">
      <alignment vertical="center"/>
      <protection/>
    </xf>
    <xf numFmtId="44" fontId="0" fillId="0" borderId="12" xfId="44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67" fontId="0" fillId="4" borderId="16" xfId="44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/>
    </xf>
    <xf numFmtId="166" fontId="0" fillId="0" borderId="16" xfId="0" applyNumberFormat="1" applyBorder="1" applyAlignment="1" applyProtection="1">
      <alignment vertical="center"/>
      <protection/>
    </xf>
    <xf numFmtId="10" fontId="0" fillId="0" borderId="12" xfId="58" applyNumberFormat="1" applyFont="1" applyBorder="1" applyAlignment="1" applyProtection="1">
      <alignment vertical="center"/>
      <protection/>
    </xf>
    <xf numFmtId="0" fontId="0" fillId="4" borderId="0" xfId="0" applyFill="1" applyAlignment="1" applyProtection="1">
      <alignment vertical="top"/>
      <protection locked="0"/>
    </xf>
    <xf numFmtId="0" fontId="0" fillId="0" borderId="0" xfId="0" applyFill="1" applyAlignment="1" applyProtection="1">
      <alignment/>
      <protection/>
    </xf>
    <xf numFmtId="0" fontId="3" fillId="34" borderId="17" xfId="0" applyFont="1" applyFill="1" applyBorder="1" applyAlignment="1" applyProtection="1">
      <alignment vertical="top"/>
      <protection locked="0"/>
    </xf>
    <xf numFmtId="0" fontId="0" fillId="34" borderId="18" xfId="0" applyFill="1" applyBorder="1" applyAlignment="1" applyProtection="1">
      <alignment vertical="top"/>
      <protection/>
    </xf>
    <xf numFmtId="0" fontId="0" fillId="34" borderId="18" xfId="0" applyFill="1" applyBorder="1" applyAlignment="1" applyProtection="1">
      <alignment vertical="top"/>
      <protection locked="0"/>
    </xf>
    <xf numFmtId="167" fontId="0" fillId="34" borderId="10" xfId="44" applyNumberFormat="1" applyFont="1" applyFill="1" applyBorder="1" applyAlignment="1" applyProtection="1">
      <alignment vertical="top"/>
      <protection locked="0"/>
    </xf>
    <xf numFmtId="0" fontId="0" fillId="34" borderId="10" xfId="0" applyFill="1" applyBorder="1" applyAlignment="1" applyProtection="1">
      <alignment vertical="center"/>
      <protection locked="0"/>
    </xf>
    <xf numFmtId="44" fontId="0" fillId="34" borderId="19" xfId="44" applyFont="1" applyFill="1" applyBorder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167" fontId="0" fillId="34" borderId="10" xfId="44" applyNumberFormat="1" applyFont="1" applyFill="1" applyBorder="1" applyAlignment="1" applyProtection="1">
      <alignment vertical="center"/>
      <protection locked="0"/>
    </xf>
    <xf numFmtId="0" fontId="0" fillId="34" borderId="19" xfId="0" applyFill="1" applyBorder="1" applyAlignment="1" applyProtection="1">
      <alignment vertical="center"/>
      <protection locked="0"/>
    </xf>
    <xf numFmtId="166" fontId="3" fillId="34" borderId="10" xfId="0" applyNumberFormat="1" applyFont="1" applyFill="1" applyBorder="1" applyAlignment="1" applyProtection="1">
      <alignment vertical="center"/>
      <protection/>
    </xf>
    <xf numFmtId="10" fontId="3" fillId="34" borderId="19" xfId="58" applyNumberFormat="1" applyFont="1" applyFill="1" applyBorder="1" applyAlignment="1" applyProtection="1">
      <alignment vertical="center"/>
      <protection/>
    </xf>
    <xf numFmtId="0" fontId="8" fillId="4" borderId="0" xfId="0" applyFont="1" applyFill="1" applyAlignment="1" applyProtection="1">
      <alignment vertical="top" wrapText="1"/>
      <protection/>
    </xf>
    <xf numFmtId="0" fontId="0" fillId="0" borderId="2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8" fillId="0" borderId="0" xfId="0" applyFont="1" applyAlignment="1" applyProtection="1">
      <alignment vertical="top"/>
      <protection/>
    </xf>
    <xf numFmtId="0" fontId="3" fillId="34" borderId="17" xfId="0" applyFont="1" applyFill="1" applyBorder="1" applyAlignment="1" applyProtection="1">
      <alignment vertical="top" wrapText="1"/>
      <protection/>
    </xf>
    <xf numFmtId="0" fontId="0" fillId="34" borderId="18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 vertical="center"/>
      <protection/>
    </xf>
    <xf numFmtId="166" fontId="3" fillId="34" borderId="19" xfId="0" applyNumberFormat="1" applyFont="1" applyFill="1" applyBorder="1" applyAlignment="1" applyProtection="1">
      <alignment vertical="center"/>
      <protection/>
    </xf>
    <xf numFmtId="0" fontId="0" fillId="34" borderId="19" xfId="0" applyFill="1" applyBorder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/>
    </xf>
    <xf numFmtId="1" fontId="0" fillId="35" borderId="16" xfId="0" applyNumberFormat="1" applyFill="1" applyBorder="1" applyAlignment="1" applyProtection="1">
      <alignment vertical="center"/>
      <protection/>
    </xf>
    <xf numFmtId="1" fontId="0" fillId="35" borderId="12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top"/>
      <protection/>
    </xf>
    <xf numFmtId="0" fontId="3" fillId="34" borderId="0" xfId="0" applyFont="1" applyFill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19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top" wrapText="1"/>
      <protection/>
    </xf>
    <xf numFmtId="167" fontId="0" fillId="4" borderId="16" xfId="44" applyNumberFormat="1" applyFill="1" applyBorder="1" applyAlignment="1" applyProtection="1">
      <alignment vertical="top"/>
      <protection locked="0"/>
    </xf>
    <xf numFmtId="44" fontId="0" fillId="0" borderId="12" xfId="44" applyBorder="1" applyAlignment="1" applyProtection="1">
      <alignment vertical="center"/>
      <protection/>
    </xf>
    <xf numFmtId="167" fontId="0" fillId="4" borderId="16" xfId="44" applyNumberFormat="1" applyFill="1" applyBorder="1" applyAlignment="1" applyProtection="1">
      <alignment vertical="center"/>
      <protection locked="0"/>
    </xf>
    <xf numFmtId="10" fontId="0" fillId="0" borderId="12" xfId="58" applyNumberFormat="1" applyBorder="1" applyAlignment="1" applyProtection="1">
      <alignment vertical="center"/>
      <protection/>
    </xf>
    <xf numFmtId="1" fontId="0" fillId="0" borderId="16" xfId="0" applyNumberFormat="1" applyFill="1" applyBorder="1" applyAlignment="1" applyProtection="1">
      <alignment vertical="center"/>
      <protection/>
    </xf>
    <xf numFmtId="1" fontId="0" fillId="0" borderId="12" xfId="0" applyNumberFormat="1" applyFill="1" applyBorder="1" applyAlignment="1" applyProtection="1">
      <alignment vertical="center"/>
      <protection/>
    </xf>
    <xf numFmtId="167" fontId="0" fillId="0" borderId="16" xfId="44" applyNumberFormat="1" applyFill="1" applyBorder="1" applyAlignment="1" applyProtection="1">
      <alignment vertical="top"/>
      <protection locked="0"/>
    </xf>
    <xf numFmtId="166" fontId="0" fillId="0" borderId="0" xfId="0" applyNumberFormat="1" applyAlignment="1" applyProtection="1">
      <alignment/>
      <protection/>
    </xf>
    <xf numFmtId="0" fontId="8" fillId="0" borderId="0" xfId="55" applyProtection="1">
      <alignment/>
      <protection/>
    </xf>
    <xf numFmtId="0" fontId="8" fillId="0" borderId="0" xfId="55" applyFont="1" applyAlignment="1" applyProtection="1">
      <alignment vertical="top"/>
      <protection/>
    </xf>
    <xf numFmtId="0" fontId="8" fillId="0" borderId="0" xfId="55" applyAlignment="1" applyProtection="1">
      <alignment vertical="top"/>
      <protection/>
    </xf>
    <xf numFmtId="0" fontId="8" fillId="2" borderId="0" xfId="55" applyFill="1" applyAlignment="1" applyProtection="1">
      <alignment vertical="top"/>
      <protection locked="0"/>
    </xf>
    <xf numFmtId="0" fontId="8" fillId="0" borderId="0" xfId="55" applyFill="1" applyAlignment="1" applyProtection="1">
      <alignment vertical="top"/>
      <protection/>
    </xf>
    <xf numFmtId="1" fontId="8" fillId="36" borderId="16" xfId="55" applyNumberFormat="1" applyFill="1" applyBorder="1" applyAlignment="1" applyProtection="1">
      <alignment vertical="center"/>
      <protection/>
    </xf>
    <xf numFmtId="0" fontId="8" fillId="0" borderId="0" xfId="55" applyAlignment="1" applyProtection="1">
      <alignment vertical="center"/>
      <protection/>
    </xf>
    <xf numFmtId="166" fontId="8" fillId="0" borderId="16" xfId="55" applyNumberFormat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/>
      <protection/>
    </xf>
    <xf numFmtId="0" fontId="0" fillId="37" borderId="22" xfId="0" applyFill="1" applyBorder="1" applyAlignment="1" applyProtection="1">
      <alignment vertical="top"/>
      <protection/>
    </xf>
    <xf numFmtId="0" fontId="0" fillId="37" borderId="22" xfId="0" applyFill="1" applyBorder="1" applyAlignment="1" applyProtection="1">
      <alignment vertical="top"/>
      <protection locked="0"/>
    </xf>
    <xf numFmtId="167" fontId="0" fillId="37" borderId="23" xfId="44" applyNumberFormat="1" applyFill="1" applyBorder="1" applyAlignment="1" applyProtection="1">
      <alignment vertical="top"/>
      <protection locked="0"/>
    </xf>
    <xf numFmtId="0" fontId="0" fillId="37" borderId="24" xfId="0" applyFill="1" applyBorder="1" applyAlignment="1" applyProtection="1">
      <alignment vertical="center"/>
      <protection locked="0"/>
    </xf>
    <xf numFmtId="44" fontId="0" fillId="37" borderId="22" xfId="44" applyFill="1" applyBorder="1" applyAlignment="1" applyProtection="1">
      <alignment vertical="center"/>
      <protection/>
    </xf>
    <xf numFmtId="0" fontId="0" fillId="37" borderId="22" xfId="0" applyFill="1" applyBorder="1" applyAlignment="1" applyProtection="1">
      <alignment vertical="center"/>
      <protection/>
    </xf>
    <xf numFmtId="0" fontId="0" fillId="37" borderId="23" xfId="0" applyFill="1" applyBorder="1" applyAlignment="1" applyProtection="1">
      <alignment vertical="center"/>
      <protection locked="0"/>
    </xf>
    <xf numFmtId="166" fontId="0" fillId="37" borderId="23" xfId="0" applyNumberFormat="1" applyFill="1" applyBorder="1" applyAlignment="1" applyProtection="1">
      <alignment vertical="center"/>
      <protection/>
    </xf>
    <xf numFmtId="10" fontId="0" fillId="37" borderId="25" xfId="58" applyNumberForma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9" fontId="0" fillId="0" borderId="16" xfId="0" applyNumberFormat="1" applyFill="1" applyBorder="1" applyAlignment="1" applyProtection="1">
      <alignment vertical="top"/>
      <protection/>
    </xf>
    <xf numFmtId="9" fontId="0" fillId="0" borderId="0" xfId="0" applyNumberFormat="1" applyFill="1" applyBorder="1" applyAlignment="1" applyProtection="1">
      <alignment vertical="center"/>
      <protection/>
    </xf>
    <xf numFmtId="166" fontId="3" fillId="0" borderId="20" xfId="0" applyNumberFormat="1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9" fontId="3" fillId="0" borderId="16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66" fontId="3" fillId="0" borderId="16" xfId="0" applyNumberFormat="1" applyFont="1" applyFill="1" applyBorder="1" applyAlignment="1" applyProtection="1">
      <alignment vertical="center"/>
      <protection/>
    </xf>
    <xf numFmtId="10" fontId="3" fillId="0" borderId="12" xfId="58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left" vertical="top" indent="1"/>
      <protection/>
    </xf>
    <xf numFmtId="9" fontId="0" fillId="0" borderId="16" xfId="0" applyNumberFormat="1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vertical="center"/>
      <protection/>
    </xf>
    <xf numFmtId="166" fontId="8" fillId="0" borderId="20" xfId="0" applyNumberFormat="1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9" fontId="8" fillId="0" borderId="16" xfId="0" applyNumberFormat="1" applyFont="1" applyFill="1" applyBorder="1" applyAlignment="1" applyProtection="1">
      <alignment vertical="center"/>
      <protection locked="0"/>
    </xf>
    <xf numFmtId="166" fontId="8" fillId="0" borderId="12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6" fontId="8" fillId="0" borderId="16" xfId="0" applyNumberFormat="1" applyFont="1" applyFill="1" applyBorder="1" applyAlignment="1" applyProtection="1">
      <alignment vertical="center"/>
      <protection/>
    </xf>
    <xf numFmtId="10" fontId="8" fillId="0" borderId="12" xfId="58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top" wrapText="1" indent="1"/>
      <protection/>
    </xf>
    <xf numFmtId="0" fontId="0" fillId="0" borderId="16" xfId="0" applyFill="1" applyBorder="1" applyAlignment="1" applyProtection="1">
      <alignment vertical="top"/>
      <protection/>
    </xf>
    <xf numFmtId="166" fontId="48" fillId="0" borderId="20" xfId="0" applyNumberFormat="1" applyFont="1" applyFill="1" applyBorder="1" applyAlignment="1" applyProtection="1">
      <alignment vertical="center"/>
      <protection/>
    </xf>
    <xf numFmtId="166" fontId="48" fillId="0" borderId="12" xfId="0" applyNumberFormat="1" applyFont="1" applyFill="1" applyBorder="1" applyAlignment="1" applyProtection="1">
      <alignment vertical="center"/>
      <protection/>
    </xf>
    <xf numFmtId="166" fontId="48" fillId="0" borderId="16" xfId="0" applyNumberFormat="1" applyFont="1" applyFill="1" applyBorder="1" applyAlignment="1" applyProtection="1">
      <alignment vertical="center"/>
      <protection/>
    </xf>
    <xf numFmtId="10" fontId="48" fillId="0" borderId="12" xfId="58" applyNumberFormat="1" applyFont="1" applyFill="1" applyBorder="1" applyAlignment="1" applyProtection="1">
      <alignment vertical="center"/>
      <protection/>
    </xf>
    <xf numFmtId="0" fontId="0" fillId="7" borderId="0" xfId="0" applyFill="1" applyAlignment="1" applyProtection="1">
      <alignment vertical="top"/>
      <protection/>
    </xf>
    <xf numFmtId="0" fontId="0" fillId="7" borderId="14" xfId="0" applyFill="1" applyBorder="1" applyAlignment="1" applyProtection="1">
      <alignment vertical="top"/>
      <protection/>
    </xf>
    <xf numFmtId="0" fontId="0" fillId="7" borderId="26" xfId="0" applyFill="1" applyBorder="1" applyAlignment="1" applyProtection="1">
      <alignment vertical="center"/>
      <protection/>
    </xf>
    <xf numFmtId="166" fontId="3" fillId="7" borderId="27" xfId="0" applyNumberFormat="1" applyFont="1" applyFill="1" applyBorder="1" applyAlignment="1" applyProtection="1">
      <alignment vertical="center"/>
      <protection/>
    </xf>
    <xf numFmtId="0" fontId="3" fillId="7" borderId="14" xfId="0" applyFont="1" applyFill="1" applyBorder="1" applyAlignment="1" applyProtection="1">
      <alignment vertical="center"/>
      <protection/>
    </xf>
    <xf numFmtId="166" fontId="3" fillId="7" borderId="15" xfId="0" applyNumberFormat="1" applyFont="1" applyFill="1" applyBorder="1" applyAlignment="1" applyProtection="1">
      <alignment vertical="center"/>
      <protection/>
    </xf>
    <xf numFmtId="0" fontId="3" fillId="7" borderId="26" xfId="0" applyFont="1" applyFill="1" applyBorder="1" applyAlignment="1" applyProtection="1">
      <alignment vertical="center"/>
      <protection/>
    </xf>
    <xf numFmtId="166" fontId="3" fillId="7" borderId="14" xfId="0" applyNumberFormat="1" applyFont="1" applyFill="1" applyBorder="1" applyAlignment="1" applyProtection="1">
      <alignment vertical="center"/>
      <protection/>
    </xf>
    <xf numFmtId="10" fontId="3" fillId="7" borderId="15" xfId="58" applyNumberFormat="1" applyFont="1" applyFill="1" applyBorder="1" applyAlignment="1" applyProtection="1">
      <alignment vertical="center"/>
      <protection/>
    </xf>
    <xf numFmtId="0" fontId="8" fillId="37" borderId="21" xfId="55" applyFont="1" applyFill="1" applyBorder="1" applyProtection="1">
      <alignment/>
      <protection/>
    </xf>
    <xf numFmtId="0" fontId="8" fillId="37" borderId="22" xfId="55" applyFill="1" applyBorder="1" applyAlignment="1" applyProtection="1">
      <alignment vertical="top"/>
      <protection/>
    </xf>
    <xf numFmtId="0" fontId="8" fillId="37" borderId="22" xfId="55" applyFill="1" applyBorder="1" applyAlignment="1" applyProtection="1">
      <alignment vertical="top"/>
      <protection locked="0"/>
    </xf>
    <xf numFmtId="0" fontId="8" fillId="37" borderId="24" xfId="55" applyFill="1" applyBorder="1" applyAlignment="1" applyProtection="1">
      <alignment vertical="center"/>
      <protection locked="0"/>
    </xf>
    <xf numFmtId="0" fontId="8" fillId="37" borderId="22" xfId="55" applyFill="1" applyBorder="1" applyAlignment="1" applyProtection="1">
      <alignment vertical="center"/>
      <protection/>
    </xf>
    <xf numFmtId="0" fontId="8" fillId="37" borderId="23" xfId="55" applyFill="1" applyBorder="1" applyAlignment="1" applyProtection="1">
      <alignment vertical="center"/>
      <protection locked="0"/>
    </xf>
    <xf numFmtId="166" fontId="8" fillId="37" borderId="23" xfId="55" applyNumberFormat="1" applyFill="1" applyBorder="1" applyAlignment="1" applyProtection="1">
      <alignment vertical="center"/>
      <protection/>
    </xf>
    <xf numFmtId="0" fontId="3" fillId="0" borderId="0" xfId="55" applyFont="1" applyFill="1" applyAlignment="1" applyProtection="1">
      <alignment vertical="top"/>
      <protection/>
    </xf>
    <xf numFmtId="9" fontId="8" fillId="0" borderId="16" xfId="55" applyNumberFormat="1" applyFill="1" applyBorder="1" applyAlignment="1" applyProtection="1">
      <alignment vertical="top"/>
      <protection/>
    </xf>
    <xf numFmtId="9" fontId="8" fillId="0" borderId="0" xfId="55" applyNumberFormat="1" applyFill="1" applyBorder="1" applyAlignment="1" applyProtection="1">
      <alignment vertical="center"/>
      <protection/>
    </xf>
    <xf numFmtId="166" fontId="3" fillId="0" borderId="20" xfId="55" applyNumberFormat="1" applyFont="1" applyFill="1" applyBorder="1" applyAlignment="1" applyProtection="1">
      <alignment vertical="center"/>
      <protection/>
    </xf>
    <xf numFmtId="0" fontId="3" fillId="0" borderId="16" xfId="55" applyFont="1" applyFill="1" applyBorder="1" applyAlignment="1" applyProtection="1">
      <alignment vertical="center"/>
      <protection/>
    </xf>
    <xf numFmtId="9" fontId="3" fillId="0" borderId="16" xfId="55" applyNumberFormat="1" applyFont="1" applyFill="1" applyBorder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6" fontId="3" fillId="0" borderId="16" xfId="55" applyNumberFormat="1" applyFont="1" applyFill="1" applyBorder="1" applyAlignment="1" applyProtection="1">
      <alignment vertical="center"/>
      <protection/>
    </xf>
    <xf numFmtId="0" fontId="8" fillId="0" borderId="0" xfId="55" applyFont="1" applyFill="1" applyAlignment="1" applyProtection="1">
      <alignment horizontal="left" vertical="top" indent="1"/>
      <protection/>
    </xf>
    <xf numFmtId="9" fontId="8" fillId="0" borderId="16" xfId="55" applyNumberFormat="1" applyFill="1" applyBorder="1" applyAlignment="1" applyProtection="1">
      <alignment vertical="top"/>
      <protection locked="0"/>
    </xf>
    <xf numFmtId="166" fontId="8" fillId="0" borderId="20" xfId="55" applyNumberFormat="1" applyFont="1" applyFill="1" applyBorder="1" applyAlignment="1" applyProtection="1">
      <alignment vertical="center"/>
      <protection/>
    </xf>
    <xf numFmtId="0" fontId="8" fillId="0" borderId="16" xfId="55" applyFont="1" applyFill="1" applyBorder="1" applyAlignment="1" applyProtection="1">
      <alignment vertical="center"/>
      <protection/>
    </xf>
    <xf numFmtId="9" fontId="8" fillId="0" borderId="16" xfId="55" applyNumberFormat="1" applyFont="1" applyFill="1" applyBorder="1" applyAlignment="1" applyProtection="1">
      <alignment vertical="top"/>
      <protection locked="0"/>
    </xf>
    <xf numFmtId="9" fontId="8" fillId="0" borderId="16" xfId="55" applyNumberFormat="1" applyFont="1" applyFill="1" applyBorder="1" applyAlignment="1" applyProtection="1">
      <alignment vertical="center"/>
      <protection/>
    </xf>
    <xf numFmtId="166" fontId="8" fillId="0" borderId="12" xfId="55" applyNumberFormat="1" applyFont="1" applyFill="1" applyBorder="1" applyAlignment="1" applyProtection="1">
      <alignment vertical="center"/>
      <protection/>
    </xf>
    <xf numFmtId="0" fontId="8" fillId="0" borderId="0" xfId="55" applyFont="1" applyFill="1" applyBorder="1" applyAlignment="1" applyProtection="1">
      <alignment vertical="center"/>
      <protection/>
    </xf>
    <xf numFmtId="166" fontId="8" fillId="0" borderId="16" xfId="55" applyNumberFormat="1" applyFont="1" applyFill="1" applyBorder="1" applyAlignment="1" applyProtection="1">
      <alignment vertical="center"/>
      <protection/>
    </xf>
    <xf numFmtId="0" fontId="3" fillId="0" borderId="0" xfId="55" applyFont="1" applyAlignment="1" applyProtection="1">
      <alignment horizontal="left" vertical="top" wrapText="1" indent="1"/>
      <protection/>
    </xf>
    <xf numFmtId="0" fontId="8" fillId="0" borderId="16" xfId="55" applyFill="1" applyBorder="1" applyAlignment="1" applyProtection="1">
      <alignment vertical="top"/>
      <protection/>
    </xf>
    <xf numFmtId="0" fontId="8" fillId="0" borderId="0" xfId="55" applyFill="1" applyBorder="1" applyAlignment="1" applyProtection="1">
      <alignment vertical="center"/>
      <protection/>
    </xf>
    <xf numFmtId="166" fontId="48" fillId="0" borderId="20" xfId="55" applyNumberFormat="1" applyFont="1" applyFill="1" applyBorder="1" applyAlignment="1" applyProtection="1">
      <alignment vertical="center"/>
      <protection/>
    </xf>
    <xf numFmtId="166" fontId="48" fillId="0" borderId="12" xfId="55" applyNumberFormat="1" applyFont="1" applyFill="1" applyBorder="1" applyAlignment="1" applyProtection="1">
      <alignment vertical="center"/>
      <protection/>
    </xf>
    <xf numFmtId="166" fontId="48" fillId="0" borderId="16" xfId="55" applyNumberFormat="1" applyFont="1" applyFill="1" applyBorder="1" applyAlignment="1" applyProtection="1">
      <alignment vertical="center"/>
      <protection/>
    </xf>
    <xf numFmtId="0" fontId="8" fillId="7" borderId="0" xfId="55" applyFill="1" applyAlignment="1" applyProtection="1">
      <alignment vertical="top"/>
      <protection/>
    </xf>
    <xf numFmtId="0" fontId="8" fillId="7" borderId="16" xfId="55" applyFill="1" applyBorder="1" applyAlignment="1" applyProtection="1">
      <alignment vertical="top"/>
      <protection/>
    </xf>
    <xf numFmtId="0" fontId="8" fillId="7" borderId="0" xfId="55" applyFill="1" applyBorder="1" applyAlignment="1" applyProtection="1">
      <alignment vertical="center"/>
      <protection/>
    </xf>
    <xf numFmtId="166" fontId="3" fillId="7" borderId="20" xfId="55" applyNumberFormat="1" applyFont="1" applyFill="1" applyBorder="1" applyAlignment="1" applyProtection="1">
      <alignment vertical="center"/>
      <protection/>
    </xf>
    <xf numFmtId="0" fontId="3" fillId="7" borderId="16" xfId="55" applyFont="1" applyFill="1" applyBorder="1" applyAlignment="1" applyProtection="1">
      <alignment vertical="center"/>
      <protection/>
    </xf>
    <xf numFmtId="166" fontId="3" fillId="7" borderId="12" xfId="55" applyNumberFormat="1" applyFont="1" applyFill="1" applyBorder="1" applyAlignment="1" applyProtection="1">
      <alignment vertical="center"/>
      <protection/>
    </xf>
    <xf numFmtId="0" fontId="3" fillId="7" borderId="0" xfId="55" applyFont="1" applyFill="1" applyBorder="1" applyAlignment="1" applyProtection="1">
      <alignment vertical="center"/>
      <protection/>
    </xf>
    <xf numFmtId="166" fontId="3" fillId="7" borderId="16" xfId="55" applyNumberFormat="1" applyFont="1" applyFill="1" applyBorder="1" applyAlignment="1" applyProtection="1">
      <alignment vertical="center"/>
      <protection/>
    </xf>
    <xf numFmtId="10" fontId="3" fillId="7" borderId="12" xfId="58" applyNumberFormat="1" applyFont="1" applyFill="1" applyBorder="1" applyAlignment="1" applyProtection="1">
      <alignment vertical="center"/>
      <protection/>
    </xf>
    <xf numFmtId="167" fontId="0" fillId="37" borderId="24" xfId="44" applyNumberFormat="1" applyFill="1" applyBorder="1" applyAlignment="1" applyProtection="1">
      <alignment vertical="top"/>
      <protection locked="0"/>
    </xf>
    <xf numFmtId="0" fontId="8" fillId="37" borderId="22" xfId="55" applyFill="1" applyBorder="1" applyAlignment="1" applyProtection="1">
      <alignment vertical="center"/>
      <protection locked="0"/>
    </xf>
    <xf numFmtId="44" fontId="0" fillId="37" borderId="28" xfId="44" applyFill="1" applyBorder="1" applyAlignment="1" applyProtection="1">
      <alignment vertical="center"/>
      <protection/>
    </xf>
    <xf numFmtId="0" fontId="8" fillId="37" borderId="24" xfId="55" applyFill="1" applyBorder="1" applyAlignment="1" applyProtection="1">
      <alignment vertical="center"/>
      <protection/>
    </xf>
    <xf numFmtId="44" fontId="0" fillId="37" borderId="23" xfId="44" applyFill="1" applyBorder="1" applyAlignment="1" applyProtection="1">
      <alignment vertical="center"/>
      <protection/>
    </xf>
    <xf numFmtId="166" fontId="8" fillId="37" borderId="24" xfId="55" applyNumberFormat="1" applyFill="1" applyBorder="1" applyAlignment="1" applyProtection="1">
      <alignment vertical="center"/>
      <protection/>
    </xf>
    <xf numFmtId="10" fontId="0" fillId="4" borderId="10" xfId="58" applyNumberForma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6" fontId="0" fillId="4" borderId="16" xfId="44" applyNumberFormat="1" applyFont="1" applyFill="1" applyBorder="1" applyAlignment="1" applyProtection="1">
      <alignment vertical="center"/>
      <protection locked="0"/>
    </xf>
    <xf numFmtId="166" fontId="0" fillId="4" borderId="16" xfId="44" applyNumberFormat="1" applyFont="1" applyFill="1" applyBorder="1" applyAlignment="1" applyProtection="1">
      <alignment vertical="top"/>
      <protection locked="0"/>
    </xf>
    <xf numFmtId="0" fontId="0" fillId="4" borderId="0" xfId="0" applyFill="1" applyAlignment="1" applyProtection="1">
      <alignment vertical="top" wrapText="1"/>
      <protection/>
    </xf>
    <xf numFmtId="166" fontId="0" fillId="4" borderId="16" xfId="44" applyNumberFormat="1" applyFill="1" applyBorder="1" applyAlignment="1" applyProtection="1">
      <alignment vertical="top"/>
      <protection locked="0"/>
    </xf>
    <xf numFmtId="166" fontId="0" fillId="4" borderId="16" xfId="44" applyNumberFormat="1" applyFill="1" applyBorder="1" applyAlignment="1" applyProtection="1">
      <alignment vertical="center"/>
      <protection locked="0"/>
    </xf>
    <xf numFmtId="166" fontId="0" fillId="36" borderId="16" xfId="44" applyNumberFormat="1" applyFont="1" applyFill="1" applyBorder="1" applyAlignment="1" applyProtection="1">
      <alignment vertical="top"/>
      <protection locked="0"/>
    </xf>
    <xf numFmtId="165" fontId="0" fillId="0" borderId="16" xfId="0" applyNumberFormat="1" applyFill="1" applyBorder="1" applyAlignment="1" applyProtection="1">
      <alignment vertical="center"/>
      <protection/>
    </xf>
    <xf numFmtId="0" fontId="8" fillId="38" borderId="0" xfId="55" applyFont="1" applyFill="1" applyAlignment="1" applyProtection="1">
      <alignment vertical="top"/>
      <protection/>
    </xf>
    <xf numFmtId="0" fontId="8" fillId="0" borderId="0" xfId="0" applyFon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 locked="0"/>
    </xf>
    <xf numFmtId="167" fontId="0" fillId="0" borderId="16" xfId="44" applyNumberFormat="1" applyFont="1" applyFill="1" applyBorder="1" applyAlignment="1" applyProtection="1">
      <alignment vertical="top"/>
      <protection locked="0"/>
    </xf>
    <xf numFmtId="44" fontId="0" fillId="0" borderId="12" xfId="44" applyFont="1" applyFill="1" applyBorder="1" applyAlignment="1" applyProtection="1">
      <alignment vertical="center"/>
      <protection/>
    </xf>
    <xf numFmtId="167" fontId="0" fillId="0" borderId="16" xfId="44" applyNumberFormat="1" applyFont="1" applyFill="1" applyBorder="1" applyAlignment="1" applyProtection="1">
      <alignment vertical="center"/>
      <protection locked="0"/>
    </xf>
    <xf numFmtId="166" fontId="0" fillId="0" borderId="16" xfId="0" applyNumberFormat="1" applyFill="1" applyBorder="1" applyAlignment="1" applyProtection="1">
      <alignment vertical="center"/>
      <protection/>
    </xf>
    <xf numFmtId="10" fontId="0" fillId="0" borderId="12" xfId="58" applyNumberFormat="1" applyFont="1" applyFill="1" applyBorder="1" applyAlignment="1" applyProtection="1">
      <alignment vertical="center"/>
      <protection/>
    </xf>
    <xf numFmtId="44" fontId="0" fillId="0" borderId="12" xfId="44" applyFill="1" applyBorder="1" applyAlignment="1" applyProtection="1">
      <alignment vertical="center"/>
      <protection/>
    </xf>
    <xf numFmtId="166" fontId="3" fillId="0" borderId="29" xfId="55" applyNumberFormat="1" applyFont="1" applyFill="1" applyBorder="1" applyAlignment="1" applyProtection="1">
      <alignment vertical="center"/>
      <protection/>
    </xf>
    <xf numFmtId="166" fontId="3" fillId="0" borderId="29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 vertical="top"/>
    </xf>
    <xf numFmtId="0" fontId="0" fillId="33" borderId="0" xfId="0" applyFill="1" applyBorder="1" applyAlignment="1" applyProtection="1">
      <alignment horizontal="right"/>
      <protection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15" fontId="4" fillId="0" borderId="0" xfId="0" applyNumberFormat="1" applyFont="1" applyFill="1" applyAlignment="1">
      <alignment vertical="top"/>
    </xf>
    <xf numFmtId="0" fontId="0" fillId="39" borderId="30" xfId="0" applyFill="1" applyBorder="1" applyAlignment="1">
      <alignment horizontal="center"/>
    </xf>
    <xf numFmtId="0" fontId="0" fillId="39" borderId="31" xfId="0" applyFill="1" applyBorder="1" applyAlignment="1">
      <alignment horizontal="center"/>
    </xf>
    <xf numFmtId="0" fontId="0" fillId="39" borderId="32" xfId="0" applyFill="1" applyBorder="1" applyAlignment="1">
      <alignment horizontal="center"/>
    </xf>
    <xf numFmtId="0" fontId="0" fillId="39" borderId="33" xfId="0" applyFill="1" applyBorder="1" applyAlignment="1">
      <alignment horizontal="center"/>
    </xf>
    <xf numFmtId="0" fontId="0" fillId="0" borderId="26" xfId="0" applyBorder="1" applyAlignment="1">
      <alignment horizontal="center"/>
    </xf>
    <xf numFmtId="44" fontId="0" fillId="0" borderId="34" xfId="0" applyNumberFormat="1" applyBorder="1" applyAlignment="1">
      <alignment/>
    </xf>
    <xf numFmtId="10" fontId="0" fillId="0" borderId="35" xfId="58" applyNumberFormat="1" applyFont="1" applyBorder="1" applyAlignment="1">
      <alignment/>
    </xf>
    <xf numFmtId="10" fontId="0" fillId="0" borderId="36" xfId="58" applyNumberFormat="1" applyFont="1" applyBorder="1" applyAlignment="1">
      <alignment/>
    </xf>
    <xf numFmtId="0" fontId="0" fillId="0" borderId="18" xfId="0" applyBorder="1" applyAlignment="1">
      <alignment horizontal="center"/>
    </xf>
    <xf numFmtId="44" fontId="0" fillId="0" borderId="37" xfId="0" applyNumberFormat="1" applyBorder="1" applyAlignment="1">
      <alignment/>
    </xf>
    <xf numFmtId="10" fontId="0" fillId="0" borderId="27" xfId="58" applyNumberFormat="1" applyFont="1" applyBorder="1" applyAlignment="1">
      <alignment/>
    </xf>
    <xf numFmtId="44" fontId="0" fillId="0" borderId="38" xfId="0" applyNumberFormat="1" applyBorder="1" applyAlignment="1">
      <alignment/>
    </xf>
    <xf numFmtId="10" fontId="0" fillId="0" borderId="39" xfId="58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44" fontId="0" fillId="0" borderId="41" xfId="0" applyNumberFormat="1" applyBorder="1" applyAlignment="1">
      <alignment vertical="center"/>
    </xf>
    <xf numFmtId="10" fontId="0" fillId="0" borderId="42" xfId="58" applyNumberFormat="1" applyFont="1" applyBorder="1" applyAlignment="1">
      <alignment vertical="center"/>
    </xf>
    <xf numFmtId="44" fontId="0" fillId="0" borderId="43" xfId="0" applyNumberFormat="1" applyBorder="1" applyAlignment="1">
      <alignment vertical="center"/>
    </xf>
    <xf numFmtId="10" fontId="0" fillId="0" borderId="31" xfId="58" applyNumberFormat="1" applyFont="1" applyBorder="1" applyAlignment="1">
      <alignment vertical="center"/>
    </xf>
    <xf numFmtId="0" fontId="3" fillId="39" borderId="22" xfId="0" applyFont="1" applyFill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3" fontId="0" fillId="0" borderId="0" xfId="42" applyFont="1" applyBorder="1" applyAlignment="1">
      <alignment/>
    </xf>
    <xf numFmtId="10" fontId="0" fillId="0" borderId="45" xfId="58" applyNumberFormat="1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46" xfId="0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 horizontal="center"/>
    </xf>
    <xf numFmtId="43" fontId="0" fillId="0" borderId="26" xfId="42" applyFont="1" applyBorder="1" applyAlignment="1">
      <alignment/>
    </xf>
    <xf numFmtId="10" fontId="0" fillId="0" borderId="47" xfId="58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9" xfId="0" applyBorder="1" applyAlignment="1">
      <alignment horizontal="center"/>
    </xf>
    <xf numFmtId="43" fontId="0" fillId="0" borderId="49" xfId="42" applyFont="1" applyBorder="1" applyAlignment="1">
      <alignment/>
    </xf>
    <xf numFmtId="10" fontId="0" fillId="0" borderId="50" xfId="0" applyNumberFormat="1" applyBorder="1" applyAlignment="1">
      <alignment/>
    </xf>
    <xf numFmtId="0" fontId="8" fillId="0" borderId="4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10" fontId="0" fillId="0" borderId="45" xfId="58" applyNumberFormat="1" applyFont="1" applyBorder="1" applyAlignment="1">
      <alignment/>
    </xf>
    <xf numFmtId="0" fontId="0" fillId="0" borderId="0" xfId="0" applyBorder="1" applyAlignment="1" quotePrefix="1">
      <alignment horizontal="center"/>
    </xf>
    <xf numFmtId="43" fontId="0" fillId="0" borderId="0" xfId="42" applyFont="1" applyBorder="1" applyAlignment="1">
      <alignment vertical="center"/>
    </xf>
    <xf numFmtId="0" fontId="0" fillId="0" borderId="0" xfId="0" applyFill="1" applyBorder="1" applyAlignment="1" quotePrefix="1">
      <alignment horizontal="center"/>
    </xf>
    <xf numFmtId="0" fontId="0" fillId="0" borderId="45" xfId="0" applyBorder="1" applyAlignment="1" quotePrefix="1">
      <alignment horizontal="center"/>
    </xf>
    <xf numFmtId="44" fontId="0" fillId="0" borderId="12" xfId="44" applyFont="1" applyBorder="1" applyAlignment="1" applyProtection="1">
      <alignment vertical="center"/>
      <protection/>
    </xf>
    <xf numFmtId="10" fontId="0" fillId="0" borderId="12" xfId="58" applyNumberFormat="1" applyFont="1" applyBorder="1" applyAlignment="1" applyProtection="1">
      <alignment vertical="center"/>
      <protection/>
    </xf>
    <xf numFmtId="174" fontId="0" fillId="4" borderId="16" xfId="44" applyNumberFormat="1" applyFont="1" applyFill="1" applyBorder="1" applyAlignment="1" applyProtection="1">
      <alignment vertical="top"/>
      <protection locked="0"/>
    </xf>
    <xf numFmtId="174" fontId="0" fillId="4" borderId="16" xfId="44" applyNumberFormat="1" applyFont="1" applyFill="1" applyBorder="1" applyAlignment="1" applyProtection="1">
      <alignment vertical="center"/>
      <protection locked="0"/>
    </xf>
    <xf numFmtId="175" fontId="0" fillId="4" borderId="16" xfId="44" applyNumberFormat="1" applyFont="1" applyFill="1" applyBorder="1" applyAlignment="1" applyProtection="1">
      <alignment vertical="top"/>
      <protection locked="0"/>
    </xf>
    <xf numFmtId="175" fontId="0" fillId="4" borderId="16" xfId="44" applyNumberFormat="1" applyFont="1" applyFill="1" applyBorder="1" applyAlignment="1" applyProtection="1">
      <alignment vertical="center"/>
      <protection locked="0"/>
    </xf>
    <xf numFmtId="44" fontId="0" fillId="4" borderId="16" xfId="44" applyNumberFormat="1" applyFont="1" applyFill="1" applyBorder="1" applyAlignment="1" applyProtection="1">
      <alignment vertical="top"/>
      <protection locked="0"/>
    </xf>
    <xf numFmtId="44" fontId="48" fillId="0" borderId="20" xfId="55" applyNumberFormat="1" applyFont="1" applyFill="1" applyBorder="1" applyAlignment="1" applyProtection="1">
      <alignment vertical="center"/>
      <protection/>
    </xf>
    <xf numFmtId="44" fontId="48" fillId="0" borderId="12" xfId="55" applyNumberFormat="1" applyFont="1" applyFill="1" applyBorder="1" applyAlignment="1" applyProtection="1">
      <alignment vertical="center"/>
      <protection/>
    </xf>
    <xf numFmtId="44" fontId="48" fillId="0" borderId="16" xfId="55" applyNumberFormat="1" applyFont="1" applyFill="1" applyBorder="1" applyAlignment="1" applyProtection="1">
      <alignment vertical="center"/>
      <protection/>
    </xf>
    <xf numFmtId="44" fontId="0" fillId="0" borderId="16" xfId="0" applyNumberFormat="1" applyBorder="1" applyAlignment="1" applyProtection="1">
      <alignment vertical="center"/>
      <protection/>
    </xf>
    <xf numFmtId="44" fontId="3" fillId="34" borderId="10" xfId="0" applyNumberFormat="1" applyFont="1" applyFill="1" applyBorder="1" applyAlignment="1" applyProtection="1">
      <alignment vertical="center"/>
      <protection/>
    </xf>
    <xf numFmtId="167" fontId="0" fillId="4" borderId="16" xfId="44" applyNumberFormat="1" applyFont="1" applyFill="1" applyBorder="1" applyAlignment="1" applyProtection="1">
      <alignment vertical="top"/>
      <protection locked="0"/>
    </xf>
    <xf numFmtId="44" fontId="3" fillId="34" borderId="19" xfId="0" applyNumberFormat="1" applyFont="1" applyFill="1" applyBorder="1" applyAlignment="1" applyProtection="1">
      <alignment vertical="center"/>
      <protection/>
    </xf>
    <xf numFmtId="44" fontId="48" fillId="0" borderId="20" xfId="0" applyNumberFormat="1" applyFont="1" applyFill="1" applyBorder="1" applyAlignment="1" applyProtection="1">
      <alignment vertical="center"/>
      <protection/>
    </xf>
    <xf numFmtId="44" fontId="48" fillId="0" borderId="12" xfId="0" applyNumberFormat="1" applyFont="1" applyFill="1" applyBorder="1" applyAlignment="1" applyProtection="1">
      <alignment vertical="center"/>
      <protection/>
    </xf>
    <xf numFmtId="44" fontId="48" fillId="0" borderId="16" xfId="0" applyNumberFormat="1" applyFont="1" applyFill="1" applyBorder="1" applyAlignment="1" applyProtection="1">
      <alignment vertical="center"/>
      <protection/>
    </xf>
    <xf numFmtId="44" fontId="3" fillId="0" borderId="16" xfId="0" applyNumberFormat="1" applyFont="1" applyFill="1" applyBorder="1" applyAlignment="1" applyProtection="1">
      <alignment vertical="center"/>
      <protection/>
    </xf>
    <xf numFmtId="44" fontId="8" fillId="0" borderId="16" xfId="0" applyNumberFormat="1" applyFont="1" applyFill="1" applyBorder="1" applyAlignment="1" applyProtection="1">
      <alignment vertical="center"/>
      <protection/>
    </xf>
    <xf numFmtId="44" fontId="3" fillId="7" borderId="14" xfId="0" applyNumberFormat="1" applyFont="1" applyFill="1" applyBorder="1" applyAlignment="1" applyProtection="1">
      <alignment vertical="center"/>
      <protection/>
    </xf>
    <xf numFmtId="44" fontId="3" fillId="0" borderId="16" xfId="55" applyNumberFormat="1" applyFont="1" applyFill="1" applyBorder="1" applyAlignment="1" applyProtection="1">
      <alignment vertical="center"/>
      <protection/>
    </xf>
    <xf numFmtId="44" fontId="8" fillId="0" borderId="16" xfId="55" applyNumberFormat="1" applyFont="1" applyFill="1" applyBorder="1" applyAlignment="1" applyProtection="1">
      <alignment vertical="center"/>
      <protection/>
    </xf>
    <xf numFmtId="44" fontId="3" fillId="7" borderId="16" xfId="55" applyNumberFormat="1" applyFont="1" applyFill="1" applyBorder="1" applyAlignment="1" applyProtection="1">
      <alignment vertical="center"/>
      <protection/>
    </xf>
    <xf numFmtId="166" fontId="0" fillId="4" borderId="16" xfId="44" applyNumberFormat="1" applyFont="1" applyFill="1" applyBorder="1" applyAlignment="1" applyProtection="1">
      <alignment vertical="center"/>
      <protection locked="0"/>
    </xf>
    <xf numFmtId="0" fontId="3" fillId="39" borderId="22" xfId="0" applyFont="1" applyFill="1" applyBorder="1" applyAlignment="1">
      <alignment horizontal="center" vertical="center"/>
    </xf>
    <xf numFmtId="0" fontId="3" fillId="39" borderId="25" xfId="0" applyFont="1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/>
    </xf>
    <xf numFmtId="0" fontId="0" fillId="38" borderId="0" xfId="0" applyFill="1" applyBorder="1" applyAlignment="1">
      <alignment/>
    </xf>
    <xf numFmtId="43" fontId="0" fillId="38" borderId="0" xfId="42" applyFont="1" applyFill="1" applyBorder="1" applyAlignment="1">
      <alignment/>
    </xf>
    <xf numFmtId="10" fontId="0" fillId="38" borderId="45" xfId="58" applyNumberFormat="1" applyFont="1" applyFill="1" applyBorder="1" applyAlignment="1">
      <alignment/>
    </xf>
    <xf numFmtId="3" fontId="0" fillId="38" borderId="0" xfId="0" applyNumberFormat="1" applyFill="1" applyBorder="1" applyAlignment="1">
      <alignment horizontal="center"/>
    </xf>
    <xf numFmtId="0" fontId="3" fillId="39" borderId="21" xfId="0" applyFont="1" applyFill="1" applyBorder="1" applyAlignment="1">
      <alignment horizontal="center" vertical="center"/>
    </xf>
    <xf numFmtId="0" fontId="3" fillId="39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0" fontId="0" fillId="0" borderId="0" xfId="42" applyNumberFormat="1" applyFont="1" applyBorder="1" applyAlignment="1">
      <alignment vertical="center"/>
    </xf>
    <xf numFmtId="0" fontId="3" fillId="39" borderId="54" xfId="0" applyFont="1" applyFill="1" applyBorder="1" applyAlignment="1">
      <alignment horizontal="center" vertical="center" wrapText="1"/>
    </xf>
    <xf numFmtId="0" fontId="8" fillId="39" borderId="54" xfId="0" applyFont="1" applyFill="1" applyBorder="1" applyAlignment="1">
      <alignment horizontal="center" vertical="center" wrapText="1"/>
    </xf>
    <xf numFmtId="0" fontId="8" fillId="39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56" xfId="0" applyBorder="1" applyAlignment="1" quotePrefix="1">
      <alignment horizontal="center"/>
    </xf>
    <xf numFmtId="0" fontId="0" fillId="0" borderId="57" xfId="0" applyFill="1" applyBorder="1" applyAlignment="1" quotePrefix="1">
      <alignment horizontal="center"/>
    </xf>
    <xf numFmtId="10" fontId="0" fillId="0" borderId="45" xfId="42" applyNumberFormat="1" applyFont="1" applyBorder="1" applyAlignment="1">
      <alignment/>
    </xf>
    <xf numFmtId="3" fontId="0" fillId="0" borderId="52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43" fontId="0" fillId="0" borderId="52" xfId="42" applyFont="1" applyBorder="1" applyAlignment="1">
      <alignment/>
    </xf>
    <xf numFmtId="43" fontId="0" fillId="0" borderId="53" xfId="42" applyFont="1" applyBorder="1" applyAlignment="1">
      <alignment/>
    </xf>
    <xf numFmtId="43" fontId="0" fillId="0" borderId="56" xfId="42" applyFont="1" applyBorder="1" applyAlignment="1">
      <alignment/>
    </xf>
    <xf numFmtId="43" fontId="0" fillId="0" borderId="57" xfId="42" applyFont="1" applyBorder="1" applyAlignment="1">
      <alignment/>
    </xf>
    <xf numFmtId="3" fontId="0" fillId="0" borderId="56" xfId="0" applyNumberForma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39" borderId="21" xfId="0" applyFont="1" applyFill="1" applyBorder="1" applyAlignment="1">
      <alignment horizontal="center" vertical="center"/>
    </xf>
    <xf numFmtId="0" fontId="3" fillId="39" borderId="22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58" xfId="0" applyBorder="1" applyAlignment="1">
      <alignment horizontal="left" wrapText="1"/>
    </xf>
    <xf numFmtId="0" fontId="0" fillId="0" borderId="59" xfId="0" applyBorder="1" applyAlignment="1">
      <alignment horizontal="left" wrapText="1"/>
    </xf>
    <xf numFmtId="0" fontId="0" fillId="39" borderId="34" xfId="0" applyFill="1" applyBorder="1" applyAlignment="1">
      <alignment horizontal="center" vertical="center" wrapText="1"/>
    </xf>
    <xf numFmtId="0" fontId="0" fillId="39" borderId="36" xfId="0" applyFill="1" applyBorder="1" applyAlignment="1">
      <alignment horizontal="center" vertical="center" wrapText="1"/>
    </xf>
    <xf numFmtId="0" fontId="0" fillId="39" borderId="60" xfId="0" applyFill="1" applyBorder="1" applyAlignment="1">
      <alignment horizontal="center" vertical="center" wrapText="1"/>
    </xf>
    <xf numFmtId="0" fontId="0" fillId="39" borderId="43" xfId="0" applyFill="1" applyBorder="1" applyAlignment="1">
      <alignment horizontal="center" vertical="center" wrapText="1"/>
    </xf>
    <xf numFmtId="0" fontId="0" fillId="39" borderId="31" xfId="0" applyFill="1" applyBorder="1" applyAlignment="1">
      <alignment horizontal="center" vertical="center" wrapText="1"/>
    </xf>
    <xf numFmtId="0" fontId="0" fillId="39" borderId="61" xfId="0" applyFill="1" applyBorder="1" applyAlignment="1">
      <alignment horizontal="center" vertical="center" wrapText="1"/>
    </xf>
    <xf numFmtId="0" fontId="0" fillId="39" borderId="62" xfId="0" applyFill="1" applyBorder="1" applyAlignment="1">
      <alignment horizontal="center" vertical="center" wrapText="1"/>
    </xf>
    <xf numFmtId="0" fontId="0" fillId="0" borderId="37" xfId="0" applyBorder="1" applyAlignment="1">
      <alignment horizontal="left"/>
    </xf>
    <xf numFmtId="0" fontId="0" fillId="0" borderId="63" xfId="0" applyBorder="1" applyAlignment="1">
      <alignment horizontal="left"/>
    </xf>
    <xf numFmtId="0" fontId="8" fillId="39" borderId="21" xfId="0" applyFont="1" applyFill="1" applyBorder="1" applyAlignment="1">
      <alignment horizontal="center" vertical="center"/>
    </xf>
    <xf numFmtId="0" fontId="8" fillId="39" borderId="25" xfId="0" applyFont="1" applyFill="1" applyBorder="1" applyAlignment="1">
      <alignment horizontal="center" vertical="center"/>
    </xf>
    <xf numFmtId="0" fontId="3" fillId="7" borderId="0" xfId="55" applyFont="1" applyFill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3" fillId="0" borderId="16" xfId="0" applyFont="1" applyFill="1" applyBorder="1" applyAlignment="1" applyProtection="1">
      <alignment horizontal="center" wrapText="1"/>
      <protection/>
    </xf>
    <xf numFmtId="0" fontId="0" fillId="0" borderId="14" xfId="0" applyBorder="1" applyAlignment="1">
      <alignment wrapText="1"/>
    </xf>
    <xf numFmtId="0" fontId="3" fillId="0" borderId="12" xfId="0" applyFont="1" applyFill="1" applyBorder="1" applyAlignment="1" applyProtection="1">
      <alignment horizontal="center" wrapText="1"/>
      <protection/>
    </xf>
    <xf numFmtId="0" fontId="0" fillId="0" borderId="15" xfId="0" applyBorder="1" applyAlignment="1">
      <alignment wrapText="1"/>
    </xf>
    <xf numFmtId="0" fontId="10" fillId="0" borderId="0" xfId="0" applyFont="1" applyAlignment="1" applyProtection="1">
      <alignment horizontal="left" vertical="top" wrapText="1" indent="1"/>
      <protection/>
    </xf>
    <xf numFmtId="0" fontId="3" fillId="7" borderId="0" xfId="0" applyFont="1" applyFill="1" applyAlignment="1" applyProtection="1">
      <alignment horizontal="left" vertical="top" wrapText="1"/>
      <protection/>
    </xf>
    <xf numFmtId="0" fontId="10" fillId="0" borderId="0" xfId="55" applyFont="1" applyAlignment="1" applyProtection="1">
      <alignment horizontal="left" vertical="top" wrapText="1" indent="1"/>
      <protection/>
    </xf>
    <xf numFmtId="0" fontId="5" fillId="33" borderId="0" xfId="0" applyFont="1" applyFill="1" applyBorder="1" applyAlignment="1" applyProtection="1">
      <alignment horizontal="left" indent="7"/>
      <protection/>
    </xf>
    <xf numFmtId="0" fontId="7" fillId="0" borderId="0" xfId="0" applyFont="1" applyAlignment="1" applyProtection="1">
      <alignment horizontal="center"/>
      <protection/>
    </xf>
    <xf numFmtId="0" fontId="6" fillId="4" borderId="0" xfId="0" applyFont="1" applyFill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4" fillId="0" borderId="0" xfId="0" applyFont="1" applyAlignment="1">
      <alignment horizontal="right" vertical="top"/>
    </xf>
    <xf numFmtId="0" fontId="4" fillId="4" borderId="0" xfId="0" applyFont="1" applyFill="1" applyBorder="1" applyAlignment="1">
      <alignment horizontal="right" vertical="top"/>
    </xf>
    <xf numFmtId="49" fontId="4" fillId="4" borderId="0" xfId="0" applyNumberFormat="1" applyFont="1" applyFill="1" applyBorder="1" applyAlignment="1">
      <alignment horizontal="right" vertical="top"/>
    </xf>
    <xf numFmtId="0" fontId="4" fillId="4" borderId="0" xfId="0" applyFont="1" applyFill="1" applyAlignment="1">
      <alignment horizontal="right" vertical="top"/>
    </xf>
    <xf numFmtId="15" fontId="4" fillId="4" borderId="0" xfId="0" applyNumberFormat="1" applyFont="1" applyFill="1" applyAlignment="1">
      <alignment horizontal="right" vertical="top"/>
    </xf>
    <xf numFmtId="0" fontId="0" fillId="33" borderId="0" xfId="0" applyFill="1" applyBorder="1" applyAlignment="1" applyProtection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EB%20Rate%20Applications\2014%20COS%20Rate%20Rebasing\New%20Working%20Models%20August%202013\Revised_Filing_Requirements_Chapter2_Appendices_for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EB%20Rate%20Applications\2014%20COS%20Rate%20Rebasing\2014%20Working%20Models%20FINAL%20Sept\2014%20Rate%20Design%20Mode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ix Asset Cont.MIFRS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_MIFRS_DepExp_2014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>
        <row r="16">
          <cell r="E16" t="str">
            <v>EB-2013-0116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enue Input"/>
      <sheetName val="Transformer Allowance"/>
      <sheetName val="Forecast Data For 2014"/>
      <sheetName val="2013 Existing Rates"/>
      <sheetName val="2014 Test Yr On Existing Rates"/>
      <sheetName val="Cost Allocation Study"/>
      <sheetName val="Rates By Rate Class"/>
      <sheetName val="Allocation Low Voltage Costs"/>
      <sheetName val="Low Voltage Rates"/>
      <sheetName val="LRAM and SSM Rate Rider"/>
      <sheetName val="Distribution Rate Schedule"/>
      <sheetName val="BILL IMPACTS"/>
      <sheetName val="Rate Schedule "/>
      <sheetName val="Dist. Rev. Reconciliation"/>
      <sheetName val="Revenue Deficiency Analysis"/>
      <sheetName val="Appendix 2-O Table a"/>
      <sheetName val="Appendix 2-O Table b"/>
      <sheetName val="Appendix 2-O Table c"/>
      <sheetName val="Appendix 2-O Table d"/>
      <sheetName val="Tables for Exhibit 8"/>
    </sheetNames>
    <sheetDataSet>
      <sheetData sheetId="12">
        <row r="12">
          <cell r="E12">
            <v>0.0001</v>
          </cell>
        </row>
        <row r="18">
          <cell r="E18">
            <v>0.0001</v>
          </cell>
        </row>
        <row r="60">
          <cell r="E60">
            <v>0.0001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7"/>
  <sheetViews>
    <sheetView zoomScalePageLayoutView="0" workbookViewId="0" topLeftCell="A7">
      <selection activeCell="E29" sqref="E29"/>
    </sheetView>
  </sheetViews>
  <sheetFormatPr defaultColWidth="9.140625" defaultRowHeight="15"/>
  <cols>
    <col min="1" max="1" width="1.57421875" style="0" customWidth="1"/>
    <col min="4" max="4" width="10.140625" style="0" bestFit="1" customWidth="1"/>
    <col min="6" max="6" width="12.57421875" style="0" customWidth="1"/>
    <col min="7" max="7" width="15.421875" style="0" customWidth="1"/>
    <col min="8" max="8" width="13.28125" style="0" bestFit="1" customWidth="1"/>
    <col min="9" max="9" width="12.8515625" style="0" customWidth="1"/>
    <col min="10" max="10" width="11.28125" style="0" customWidth="1"/>
  </cols>
  <sheetData>
    <row r="1" ht="8.25" customHeight="1" thickBot="1"/>
    <row r="2" spans="2:10" ht="39" thickBot="1">
      <c r="B2" s="307" t="s">
        <v>117</v>
      </c>
      <c r="C2" s="308"/>
      <c r="D2" s="273" t="s">
        <v>118</v>
      </c>
      <c r="E2" s="273" t="s">
        <v>71</v>
      </c>
      <c r="F2" s="219" t="s">
        <v>119</v>
      </c>
      <c r="G2" s="219" t="s">
        <v>126</v>
      </c>
      <c r="H2" s="219" t="s">
        <v>127</v>
      </c>
      <c r="I2" s="219" t="s">
        <v>122</v>
      </c>
      <c r="J2" s="274" t="s">
        <v>123</v>
      </c>
    </row>
    <row r="3" spans="2:10" ht="15">
      <c r="B3" s="220"/>
      <c r="C3" s="221"/>
      <c r="D3" s="221"/>
      <c r="E3" s="222"/>
      <c r="F3" s="221"/>
      <c r="G3" s="245" t="s">
        <v>105</v>
      </c>
      <c r="H3" s="245" t="s">
        <v>105</v>
      </c>
      <c r="I3" s="247" t="s">
        <v>105</v>
      </c>
      <c r="J3" s="248" t="s">
        <v>106</v>
      </c>
    </row>
    <row r="4" spans="2:10" ht="15">
      <c r="B4" s="309" t="s">
        <v>61</v>
      </c>
      <c r="C4" s="310"/>
      <c r="D4" s="222">
        <v>100</v>
      </c>
      <c r="E4" s="222"/>
      <c r="F4" s="221"/>
      <c r="G4" s="246">
        <f>'Res (100kWh)'!H74</f>
        <v>28.225118459999997</v>
      </c>
      <c r="H4" s="223">
        <f>'Res (100kWh)'!L74</f>
        <v>25.290554110000002</v>
      </c>
      <c r="I4" s="223">
        <f aca="true" t="shared" si="0" ref="I4:I10">H4-G4</f>
        <v>-2.934564349999995</v>
      </c>
      <c r="J4" s="244">
        <f aca="true" t="shared" si="1" ref="J4:J10">I4/G4</f>
        <v>-0.10396995690766697</v>
      </c>
    </row>
    <row r="5" spans="2:10" ht="15">
      <c r="B5" s="309" t="s">
        <v>120</v>
      </c>
      <c r="C5" s="310"/>
      <c r="D5" s="222">
        <v>250</v>
      </c>
      <c r="E5" s="222"/>
      <c r="F5" s="221"/>
      <c r="G5" s="223">
        <f>'Res (250kWh)'!H74</f>
        <v>45.59564615</v>
      </c>
      <c r="H5" s="223">
        <f>'Res (250kWh)'!L74</f>
        <v>43.420285275000005</v>
      </c>
      <c r="I5" s="223">
        <f t="shared" si="0"/>
        <v>-2.1753608749999955</v>
      </c>
      <c r="J5" s="244">
        <f t="shared" si="1"/>
        <v>-0.047709837642030996</v>
      </c>
    </row>
    <row r="6" spans="2:10" ht="15">
      <c r="B6" s="220"/>
      <c r="C6" s="221"/>
      <c r="D6" s="222">
        <v>500</v>
      </c>
      <c r="E6" s="222"/>
      <c r="F6" s="221"/>
      <c r="G6" s="223">
        <f>'Res (500kWh)'!H74</f>
        <v>74.5531923</v>
      </c>
      <c r="H6" s="223">
        <f>'Res (500kWh)'!L74</f>
        <v>73.65317055</v>
      </c>
      <c r="I6" s="223">
        <f t="shared" si="0"/>
        <v>-0.9000217500000076</v>
      </c>
      <c r="J6" s="244">
        <f t="shared" si="1"/>
        <v>-0.012072209414968373</v>
      </c>
    </row>
    <row r="7" spans="2:10" ht="15">
      <c r="B7" s="220"/>
      <c r="C7" s="221"/>
      <c r="D7" s="275">
        <v>800</v>
      </c>
      <c r="E7" s="275"/>
      <c r="F7" s="276"/>
      <c r="G7" s="277">
        <f>'Res (800kWh)'!H74</f>
        <v>111.93224767999999</v>
      </c>
      <c r="H7" s="277">
        <f>'Res (800kWh)'!L74</f>
        <v>112.56063287999997</v>
      </c>
      <c r="I7" s="277">
        <f t="shared" si="0"/>
        <v>0.6283851999999825</v>
      </c>
      <c r="J7" s="278">
        <f t="shared" si="1"/>
        <v>0.005613978214718386</v>
      </c>
    </row>
    <row r="8" spans="2:10" ht="15">
      <c r="B8" s="220"/>
      <c r="C8" s="221"/>
      <c r="D8" s="225">
        <v>1000</v>
      </c>
      <c r="E8" s="222"/>
      <c r="F8" s="221"/>
      <c r="G8" s="223">
        <f>'Res (1,000kWh)'!H74</f>
        <v>137.74428459999996</v>
      </c>
      <c r="H8" s="223">
        <f>'Res (1,000kWh)'!L74</f>
        <v>139.3849411</v>
      </c>
      <c r="I8" s="223">
        <f t="shared" si="0"/>
        <v>1.6406565000000342</v>
      </c>
      <c r="J8" s="244">
        <f t="shared" si="1"/>
        <v>0.011910886210374456</v>
      </c>
    </row>
    <row r="9" spans="2:10" ht="15">
      <c r="B9" s="220"/>
      <c r="C9" s="221"/>
      <c r="D9" s="225">
        <v>1500</v>
      </c>
      <c r="E9" s="222"/>
      <c r="F9" s="221"/>
      <c r="G9" s="223">
        <f>'Res (1,500kWh)'!H74</f>
        <v>202.25437690000004</v>
      </c>
      <c r="H9" s="223">
        <f>'Res (1,500kWh)'!L74</f>
        <v>206.44571165000002</v>
      </c>
      <c r="I9" s="223">
        <f t="shared" si="0"/>
        <v>4.191334749999982</v>
      </c>
      <c r="J9" s="244">
        <f t="shared" si="1"/>
        <v>0.02072308552349544</v>
      </c>
    </row>
    <row r="10" spans="2:10" ht="15">
      <c r="B10" s="220"/>
      <c r="C10" s="221"/>
      <c r="D10" s="225">
        <v>2000</v>
      </c>
      <c r="E10" s="222"/>
      <c r="F10" s="221"/>
      <c r="G10" s="223">
        <f>'Res (2,000kWh)'!H74</f>
        <v>266.7644692</v>
      </c>
      <c r="H10" s="223">
        <f>'Res (2,000kWh)'!L74</f>
        <v>273.5064822</v>
      </c>
      <c r="I10" s="223">
        <f t="shared" si="0"/>
        <v>6.742012999999986</v>
      </c>
      <c r="J10" s="244">
        <f t="shared" si="1"/>
        <v>0.025273279534634464</v>
      </c>
    </row>
    <row r="11" spans="2:10" ht="15">
      <c r="B11" s="226"/>
      <c r="C11" s="227"/>
      <c r="D11" s="228"/>
      <c r="E11" s="205"/>
      <c r="F11" s="227"/>
      <c r="G11" s="229"/>
      <c r="H11" s="229"/>
      <c r="I11" s="229"/>
      <c r="J11" s="230"/>
    </row>
    <row r="12" spans="2:10" ht="15">
      <c r="B12" s="231"/>
      <c r="C12" s="232"/>
      <c r="D12" s="233"/>
      <c r="E12" s="233"/>
      <c r="F12" s="232"/>
      <c r="G12" s="234"/>
      <c r="H12" s="234"/>
      <c r="I12" s="234"/>
      <c r="J12" s="235"/>
    </row>
    <row r="13" spans="2:10" ht="15">
      <c r="B13" s="305" t="s">
        <v>68</v>
      </c>
      <c r="C13" s="306"/>
      <c r="D13" s="225">
        <v>1000</v>
      </c>
      <c r="E13" s="222"/>
      <c r="F13" s="221"/>
      <c r="G13" s="223">
        <f>'GS&lt;50 (1,000kWh)'!H74</f>
        <v>143.8327586</v>
      </c>
      <c r="H13" s="223">
        <f>'GS&lt;50 (1,000kWh)'!L74</f>
        <v>136.12741509999998</v>
      </c>
      <c r="I13" s="223">
        <f>H13-G13</f>
        <v>-7.705343500000026</v>
      </c>
      <c r="J13" s="224">
        <f>I13/G13</f>
        <v>-0.05357154778230073</v>
      </c>
    </row>
    <row r="14" spans="2:10" ht="15">
      <c r="B14" s="309" t="s">
        <v>120</v>
      </c>
      <c r="C14" s="310"/>
      <c r="D14" s="279">
        <v>2000</v>
      </c>
      <c r="E14" s="275"/>
      <c r="F14" s="276"/>
      <c r="G14" s="277">
        <f>'GS&lt;50 (2,000kWh)'!H74</f>
        <v>267.7275171999999</v>
      </c>
      <c r="H14" s="277">
        <f>'GS&lt;50 (2,000kWh)'!L74</f>
        <v>264.9175302</v>
      </c>
      <c r="I14" s="277">
        <f>H14-G14</f>
        <v>-2.8099869999999214</v>
      </c>
      <c r="J14" s="278">
        <f>I14/G14</f>
        <v>-0.01049569737689975</v>
      </c>
    </row>
    <row r="15" spans="2:10" ht="15">
      <c r="B15" s="220"/>
      <c r="C15" s="221"/>
      <c r="D15" s="225">
        <v>5000</v>
      </c>
      <c r="E15" s="222"/>
      <c r="F15" s="221"/>
      <c r="G15" s="223">
        <f>'GS&lt;50 (5,000kWh)'!H74</f>
        <v>639.421793</v>
      </c>
      <c r="H15" s="223">
        <f>'GS&lt;50 (5,000kWh)'!L74</f>
        <v>651.2878754999999</v>
      </c>
      <c r="I15" s="223">
        <f>H15-G15</f>
        <v>11.866082499999948</v>
      </c>
      <c r="J15" s="224">
        <f>I15/G15</f>
        <v>0.01855751966839821</v>
      </c>
    </row>
    <row r="16" spans="2:10" ht="15">
      <c r="B16" s="220"/>
      <c r="C16" s="221"/>
      <c r="D16" s="225">
        <v>10000</v>
      </c>
      <c r="E16" s="222"/>
      <c r="F16" s="221"/>
      <c r="G16" s="223">
        <f>'GS&lt;50 (10,000kWh)'!H74</f>
        <v>1258.9155859999996</v>
      </c>
      <c r="H16" s="223">
        <f>'GS&lt;50 (10,000kWh)'!L74</f>
        <v>1295.238451</v>
      </c>
      <c r="I16" s="223">
        <f>H16-G16</f>
        <v>36.32286500000032</v>
      </c>
      <c r="J16" s="224">
        <f>I16/G16</f>
        <v>0.02885250242664033</v>
      </c>
    </row>
    <row r="17" spans="2:10" ht="15">
      <c r="B17" s="220"/>
      <c r="C17" s="221"/>
      <c r="D17" s="225">
        <v>15000</v>
      </c>
      <c r="E17" s="222"/>
      <c r="F17" s="221"/>
      <c r="G17" s="223">
        <f>'GS&lt;50 (15,000kWh)'!H74</f>
        <v>1878.4093789999997</v>
      </c>
      <c r="H17" s="223">
        <f>'GS&lt;50 (15,000kWh)'!L74</f>
        <v>1939.1890265000002</v>
      </c>
      <c r="I17" s="223">
        <f>H17-G17</f>
        <v>60.779647500000465</v>
      </c>
      <c r="J17" s="224">
        <f>I17/G17</f>
        <v>0.03235697616264962</v>
      </c>
    </row>
    <row r="18" spans="2:10" ht="15">
      <c r="B18" s="226"/>
      <c r="C18" s="227"/>
      <c r="D18" s="228"/>
      <c r="E18" s="205"/>
      <c r="F18" s="227"/>
      <c r="G18" s="229"/>
      <c r="H18" s="229"/>
      <c r="I18" s="229"/>
      <c r="J18" s="230"/>
    </row>
    <row r="19" spans="2:10" ht="15">
      <c r="B19" s="231"/>
      <c r="C19" s="232"/>
      <c r="D19" s="233"/>
      <c r="E19" s="233"/>
      <c r="F19" s="232"/>
      <c r="G19" s="234"/>
      <c r="H19" s="234"/>
      <c r="I19" s="234"/>
      <c r="J19" s="235"/>
    </row>
    <row r="20" spans="2:10" ht="15">
      <c r="B20" s="305" t="s">
        <v>70</v>
      </c>
      <c r="C20" s="306"/>
      <c r="D20" s="225">
        <v>20000</v>
      </c>
      <c r="E20" s="222">
        <v>60</v>
      </c>
      <c r="F20" s="221"/>
      <c r="G20" s="223">
        <f>'GS 50-999 (60kW)'!H73</f>
        <v>2489.27183759</v>
      </c>
      <c r="H20" s="223">
        <f>'GS 50-999 (60kW)'!L73</f>
        <v>2742.07363465</v>
      </c>
      <c r="I20" s="223">
        <f>H20-G20</f>
        <v>252.8017970599999</v>
      </c>
      <c r="J20" s="224">
        <f>I20/G20</f>
        <v>0.1015565247806568</v>
      </c>
    </row>
    <row r="21" spans="2:10" ht="15">
      <c r="B21" s="236"/>
      <c r="C21" s="237"/>
      <c r="D21" s="225">
        <v>40000</v>
      </c>
      <c r="E21" s="222">
        <v>100</v>
      </c>
      <c r="F21" s="221"/>
      <c r="G21" s="223">
        <f>'GS 50-999 (100kW)'!H66</f>
        <v>4720.6370526499995</v>
      </c>
      <c r="H21" s="223">
        <f>'GS 50-999 (100kW)'!L66</f>
        <v>5140.3956477500005</v>
      </c>
      <c r="I21" s="223">
        <f>H21-G21</f>
        <v>419.758595100001</v>
      </c>
      <c r="J21" s="224">
        <f>I21/G21</f>
        <v>0.08891990433036222</v>
      </c>
    </row>
    <row r="22" spans="2:10" ht="15">
      <c r="B22" s="226"/>
      <c r="C22" s="227"/>
      <c r="D22" s="228"/>
      <c r="E22" s="205"/>
      <c r="F22" s="227"/>
      <c r="G22" s="229"/>
      <c r="H22" s="229"/>
      <c r="I22" s="229"/>
      <c r="J22" s="230"/>
    </row>
    <row r="23" spans="2:10" ht="15">
      <c r="B23" s="231"/>
      <c r="C23" s="232"/>
      <c r="D23" s="238"/>
      <c r="E23" s="233"/>
      <c r="F23" s="232"/>
      <c r="G23" s="234"/>
      <c r="H23" s="234"/>
      <c r="I23" s="234"/>
      <c r="J23" s="235"/>
    </row>
    <row r="24" spans="2:10" ht="15">
      <c r="B24" s="305" t="s">
        <v>73</v>
      </c>
      <c r="C24" s="306"/>
      <c r="D24" s="225">
        <v>400000</v>
      </c>
      <c r="E24" s="225">
        <v>1000</v>
      </c>
      <c r="F24" s="221"/>
      <c r="G24" s="223">
        <f>'GS 1000-4999 (1,000kW)'!H73</f>
        <v>41676.1229645</v>
      </c>
      <c r="H24" s="223">
        <f>'GS 1000-4999 (1,000kW)'!L73</f>
        <v>47183.5585225</v>
      </c>
      <c r="I24" s="223">
        <f>H24-G24</f>
        <v>5507.435558000005</v>
      </c>
      <c r="J24" s="224">
        <f>I24/G24</f>
        <v>0.13214846214680948</v>
      </c>
    </row>
    <row r="25" spans="2:10" ht="15">
      <c r="B25" s="220"/>
      <c r="C25" s="221"/>
      <c r="D25" s="225">
        <v>1800000</v>
      </c>
      <c r="E25" s="225">
        <v>5000</v>
      </c>
      <c r="F25" s="221"/>
      <c r="G25" s="223">
        <f>'GS 1000-4999 (5,000kW)'!H73</f>
        <v>196468.21972250004</v>
      </c>
      <c r="H25" s="223">
        <f>'GS 1000-4999 (5,000kW)'!L73</f>
        <v>223945.72911250003</v>
      </c>
      <c r="I25" s="223">
        <f>H25-G25</f>
        <v>27477.509389999992</v>
      </c>
      <c r="J25" s="224">
        <f>I25/G25</f>
        <v>0.13985727273759788</v>
      </c>
    </row>
    <row r="26" spans="2:10" ht="15">
      <c r="B26" s="226"/>
      <c r="C26" s="227"/>
      <c r="D26" s="228"/>
      <c r="E26" s="228"/>
      <c r="F26" s="227"/>
      <c r="G26" s="229"/>
      <c r="H26" s="229"/>
      <c r="I26" s="229"/>
      <c r="J26" s="230"/>
    </row>
    <row r="27" spans="2:10" ht="15">
      <c r="B27" s="231"/>
      <c r="C27" s="232"/>
      <c r="D27" s="233"/>
      <c r="E27" s="233"/>
      <c r="F27" s="232"/>
      <c r="G27" s="234"/>
      <c r="H27" s="234"/>
      <c r="I27" s="234"/>
      <c r="J27" s="235"/>
    </row>
    <row r="28" spans="2:10" ht="15">
      <c r="B28" s="305" t="s">
        <v>74</v>
      </c>
      <c r="C28" s="306"/>
      <c r="D28" s="225">
        <v>13000000</v>
      </c>
      <c r="E28" s="225">
        <v>25000</v>
      </c>
      <c r="F28" s="221"/>
      <c r="G28" s="223">
        <f>'LU (25,000kW) '!H74</f>
        <v>1427524.6311375</v>
      </c>
      <c r="H28" s="223">
        <f>'LU (25,000kW) '!L74</f>
        <v>1572887.41445</v>
      </c>
      <c r="I28" s="223">
        <f>H28-G28</f>
        <v>145362.7833125</v>
      </c>
      <c r="J28" s="224">
        <f>I28/G28</f>
        <v>0.1018285640344223</v>
      </c>
    </row>
    <row r="29" spans="2:10" ht="15">
      <c r="B29" s="239"/>
      <c r="C29" s="240"/>
      <c r="D29" s="228"/>
      <c r="E29" s="228"/>
      <c r="F29" s="227"/>
      <c r="G29" s="229"/>
      <c r="H29" s="229"/>
      <c r="I29" s="229"/>
      <c r="J29" s="230"/>
    </row>
    <row r="30" spans="2:10" ht="15">
      <c r="B30" s="231"/>
      <c r="C30" s="232"/>
      <c r="D30" s="233"/>
      <c r="E30" s="233"/>
      <c r="F30" s="232"/>
      <c r="G30" s="234"/>
      <c r="H30" s="234"/>
      <c r="I30" s="234"/>
      <c r="J30" s="235"/>
    </row>
    <row r="31" spans="2:10" ht="15">
      <c r="B31" s="305" t="s">
        <v>121</v>
      </c>
      <c r="C31" s="306"/>
      <c r="D31" s="225">
        <v>150</v>
      </c>
      <c r="E31" s="222"/>
      <c r="F31" s="222">
        <v>1</v>
      </c>
      <c r="G31" s="223">
        <f>'USL (150kWh)'!H73</f>
        <v>22.374813800000005</v>
      </c>
      <c r="H31" s="223">
        <f>'USL (150kWh)'!L73</f>
        <v>25.052767275</v>
      </c>
      <c r="I31" s="223">
        <f>H31-G31</f>
        <v>2.6779534749999954</v>
      </c>
      <c r="J31" s="224">
        <f>I31/G31</f>
        <v>0.11968606751042526</v>
      </c>
    </row>
    <row r="32" spans="2:10" ht="15">
      <c r="B32" s="239"/>
      <c r="C32" s="240"/>
      <c r="D32" s="228"/>
      <c r="E32" s="205"/>
      <c r="F32" s="205"/>
      <c r="G32" s="229"/>
      <c r="H32" s="229"/>
      <c r="I32" s="229"/>
      <c r="J32" s="230"/>
    </row>
    <row r="33" spans="2:10" ht="15">
      <c r="B33" s="231"/>
      <c r="C33" s="232"/>
      <c r="D33" s="233"/>
      <c r="E33" s="233"/>
      <c r="F33" s="233"/>
      <c r="G33" s="234"/>
      <c r="H33" s="234"/>
      <c r="I33" s="234"/>
      <c r="J33" s="235"/>
    </row>
    <row r="34" spans="2:10" ht="15">
      <c r="B34" s="305" t="s">
        <v>75</v>
      </c>
      <c r="C34" s="306"/>
      <c r="D34" s="222">
        <v>150</v>
      </c>
      <c r="E34" s="222">
        <v>1</v>
      </c>
      <c r="F34" s="222">
        <v>1</v>
      </c>
      <c r="G34" s="223">
        <f>'ST (1kW)'!H73</f>
        <v>32.272423483500006</v>
      </c>
      <c r="H34" s="223">
        <f>'ST (1kW)'!L73</f>
        <v>38.106340101</v>
      </c>
      <c r="I34" s="223">
        <f>H34-G34</f>
        <v>5.833916617499995</v>
      </c>
      <c r="J34" s="224">
        <f>I34/G34</f>
        <v>0.18077094893362175</v>
      </c>
    </row>
    <row r="35" spans="2:10" ht="15.75" thickBot="1">
      <c r="B35" s="241"/>
      <c r="C35" s="242"/>
      <c r="D35" s="242"/>
      <c r="E35" s="242"/>
      <c r="F35" s="242"/>
      <c r="G35" s="242"/>
      <c r="H35" s="242"/>
      <c r="I35" s="242"/>
      <c r="J35" s="243"/>
    </row>
    <row r="37" ht="15">
      <c r="B37" t="s">
        <v>132</v>
      </c>
    </row>
  </sheetData>
  <sheetProtection/>
  <mergeCells count="10">
    <mergeCell ref="B24:C24"/>
    <mergeCell ref="B28:C28"/>
    <mergeCell ref="B31:C31"/>
    <mergeCell ref="B34:C34"/>
    <mergeCell ref="B2:C2"/>
    <mergeCell ref="B4:C4"/>
    <mergeCell ref="B5:C5"/>
    <mergeCell ref="B13:C13"/>
    <mergeCell ref="B14:C14"/>
    <mergeCell ref="B20:C20"/>
  </mergeCells>
  <printOptions/>
  <pageMargins left="0.7" right="0.7" top="0.75" bottom="0.75" header="0.3" footer="0.3"/>
  <pageSetup fitToHeight="0" fitToWidth="1" horizontalDpi="600" verticalDpi="600" orientation="portrait" scale="86" r:id="rId1"/>
  <rowBreaks count="1" manualBreakCount="1">
    <brk id="35" max="255" man="1"/>
  </rowBreaks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93"/>
  <sheetViews>
    <sheetView showGridLines="0" zoomScalePageLayoutView="0" workbookViewId="0" topLeftCell="A9">
      <selection activeCell="J43" sqref="J43"/>
    </sheetView>
  </sheetViews>
  <sheetFormatPr defaultColWidth="9.140625" defaultRowHeight="15"/>
  <cols>
    <col min="1" max="1" width="2.140625" style="8" customWidth="1"/>
    <col min="2" max="2" width="44.5742187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8.57421875" style="8" customWidth="1"/>
    <col min="8" max="8" width="9.7109375" style="8" customWidth="1"/>
    <col min="9" max="9" width="2.8515625" style="8" customWidth="1"/>
    <col min="10" max="10" width="12.140625" style="8" customWidth="1"/>
    <col min="11" max="11" width="8.57421875" style="8" customWidth="1"/>
    <col min="12" max="12" width="9.7109375" style="8" customWidth="1"/>
    <col min="13" max="13" width="2.8515625" style="8" customWidth="1"/>
    <col min="14" max="14" width="12.7109375" style="8" bestFit="1" customWidth="1"/>
    <col min="15" max="15" width="10.8515625" style="8" bestFit="1" customWidth="1"/>
    <col min="16" max="16" width="7.851562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42" t="str">
        <f>EBNUMBER</f>
        <v>EB-2013-0116</v>
      </c>
      <c r="O1" s="342"/>
      <c r="P1" s="196"/>
      <c r="T1" s="2">
        <v>1</v>
      </c>
    </row>
    <row r="2" spans="1:16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343">
        <v>8</v>
      </c>
      <c r="O2" s="343"/>
      <c r="P2" s="197"/>
    </row>
    <row r="3" spans="1:16" s="2" customFormat="1" ht="15" customHeight="1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" t="s">
        <v>79</v>
      </c>
      <c r="N3" s="344" t="s">
        <v>80</v>
      </c>
      <c r="O3" s="344"/>
      <c r="P3" s="198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343">
        <v>7</v>
      </c>
      <c r="O4" s="343"/>
      <c r="P4" s="197"/>
    </row>
    <row r="5" spans="3:16" s="2" customFormat="1" ht="15" customHeight="1">
      <c r="C5" s="7"/>
      <c r="D5" s="7"/>
      <c r="E5" s="7"/>
      <c r="L5" s="3" t="s">
        <v>81</v>
      </c>
      <c r="N5" s="345" t="s">
        <v>89</v>
      </c>
      <c r="O5" s="345"/>
      <c r="P5" s="196"/>
    </row>
    <row r="6" spans="12:16" s="2" customFormat="1" ht="9" customHeight="1">
      <c r="L6" s="3"/>
      <c r="N6" s="347"/>
      <c r="O6" s="347"/>
      <c r="P6" s="199"/>
    </row>
    <row r="7" spans="12:16" s="2" customFormat="1" ht="15">
      <c r="L7" s="3" t="s">
        <v>83</v>
      </c>
      <c r="N7" s="346">
        <v>41575</v>
      </c>
      <c r="O7" s="346"/>
      <c r="P7" s="196"/>
    </row>
    <row r="8" spans="14:16" s="2" customFormat="1" ht="15" customHeight="1">
      <c r="N8" s="8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337" t="s">
        <v>3</v>
      </c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/>
    </row>
    <row r="11" spans="2:16" ht="18.75" customHeight="1">
      <c r="B11" s="337" t="s">
        <v>4</v>
      </c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338" t="s">
        <v>61</v>
      </c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7" ht="15">
      <c r="B18" s="13"/>
      <c r="D18" s="14" t="s">
        <v>8</v>
      </c>
      <c r="E18" s="14"/>
      <c r="F18" s="15">
        <v>2000</v>
      </c>
      <c r="G18" s="14" t="s">
        <v>9</v>
      </c>
    </row>
    <row r="19" ht="15">
      <c r="B19" s="13"/>
    </row>
    <row r="20" spans="2:15" ht="15">
      <c r="B20" s="13"/>
      <c r="D20" s="16"/>
      <c r="E20" s="16"/>
      <c r="F20" s="339" t="s">
        <v>10</v>
      </c>
      <c r="G20" s="340"/>
      <c r="H20" s="341"/>
      <c r="J20" s="339" t="s">
        <v>11</v>
      </c>
      <c r="K20" s="340"/>
      <c r="L20" s="341"/>
      <c r="N20" s="339" t="s">
        <v>12</v>
      </c>
      <c r="O20" s="341"/>
    </row>
    <row r="21" spans="2:15" ht="15">
      <c r="B21" s="13"/>
      <c r="D21" s="327" t="s">
        <v>13</v>
      </c>
      <c r="E21" s="17"/>
      <c r="F21" s="18" t="s">
        <v>14</v>
      </c>
      <c r="G21" s="18" t="s">
        <v>15</v>
      </c>
      <c r="H21" s="19" t="s">
        <v>16</v>
      </c>
      <c r="J21" s="18" t="s">
        <v>14</v>
      </c>
      <c r="K21" s="20" t="s">
        <v>15</v>
      </c>
      <c r="L21" s="19" t="s">
        <v>16</v>
      </c>
      <c r="N21" s="329" t="s">
        <v>17</v>
      </c>
      <c r="O21" s="331" t="s">
        <v>18</v>
      </c>
    </row>
    <row r="22" spans="2:15" ht="15">
      <c r="B22" s="13"/>
      <c r="D22" s="328"/>
      <c r="E22" s="17"/>
      <c r="F22" s="21" t="s">
        <v>19</v>
      </c>
      <c r="G22" s="21"/>
      <c r="H22" s="22" t="s">
        <v>19</v>
      </c>
      <c r="J22" s="21" t="s">
        <v>19</v>
      </c>
      <c r="K22" s="22"/>
      <c r="L22" s="22" t="s">
        <v>19</v>
      </c>
      <c r="N22" s="330"/>
      <c r="O22" s="332"/>
    </row>
    <row r="23" spans="2:15" ht="22.5" customHeight="1">
      <c r="B23" s="23" t="s">
        <v>20</v>
      </c>
      <c r="C23" s="23"/>
      <c r="D23" s="24" t="s">
        <v>62</v>
      </c>
      <c r="E23" s="25"/>
      <c r="F23" s="176">
        <f>'Res (100kWh)'!F23</f>
        <v>11</v>
      </c>
      <c r="G23" s="27">
        <v>1</v>
      </c>
      <c r="H23" s="28">
        <f>G23*F23</f>
        <v>11</v>
      </c>
      <c r="I23" s="29"/>
      <c r="J23" s="175">
        <f>'Res (100kWh)'!J23</f>
        <v>11.15</v>
      </c>
      <c r="K23" s="31">
        <v>1</v>
      </c>
      <c r="L23" s="28">
        <f>K23*J23</f>
        <v>11.15</v>
      </c>
      <c r="M23" s="29"/>
      <c r="N23" s="32">
        <f>L23-H23</f>
        <v>0.15000000000000036</v>
      </c>
      <c r="O23" s="33">
        <f>IF((H23)=0,"",(N23/H23))</f>
        <v>0.013636363636363669</v>
      </c>
    </row>
    <row r="24" spans="2:15" ht="22.5" customHeight="1">
      <c r="B24" s="23" t="s">
        <v>102</v>
      </c>
      <c r="C24" s="23"/>
      <c r="D24" s="24" t="s">
        <v>62</v>
      </c>
      <c r="E24" s="25"/>
      <c r="F24" s="255">
        <f>'Res (100kWh)'!F24</f>
        <v>0</v>
      </c>
      <c r="G24" s="27">
        <v>1</v>
      </c>
      <c r="H24" s="249">
        <f>G24*F24</f>
        <v>0</v>
      </c>
      <c r="I24" s="29"/>
      <c r="J24" s="175">
        <f>'Res (100kWh)'!J24</f>
        <v>0</v>
      </c>
      <c r="K24" s="31">
        <v>1</v>
      </c>
      <c r="L24" s="28">
        <f>K24*J24</f>
        <v>0</v>
      </c>
      <c r="M24" s="29"/>
      <c r="N24" s="32">
        <f>L24-H24</f>
        <v>0</v>
      </c>
      <c r="O24" s="33">
        <f>IF((H24)=0,"",(N24/H24))</f>
      </c>
    </row>
    <row r="25" spans="2:15" ht="36.75" customHeight="1">
      <c r="B25" s="66" t="s">
        <v>125</v>
      </c>
      <c r="C25" s="23"/>
      <c r="D25" s="57" t="s">
        <v>62</v>
      </c>
      <c r="E25" s="25"/>
      <c r="F25" s="272">
        <v>0</v>
      </c>
      <c r="G25" s="27">
        <v>1</v>
      </c>
      <c r="H25" s="249">
        <f>G25*F25</f>
        <v>0</v>
      </c>
      <c r="I25" s="29"/>
      <c r="J25" s="30">
        <f>'Res (100kWh)'!J25</f>
        <v>0.79</v>
      </c>
      <c r="K25" s="31">
        <v>1</v>
      </c>
      <c r="L25" s="249">
        <f>K25*J25</f>
        <v>0.79</v>
      </c>
      <c r="M25" s="29"/>
      <c r="N25" s="32">
        <f>L25-H25</f>
        <v>0.79</v>
      </c>
      <c r="O25" s="250">
        <f>IF((H25)=0,"",(N25/H25))</f>
      </c>
    </row>
    <row r="26" spans="2:15" ht="36.75" customHeight="1">
      <c r="B26" s="177" t="s">
        <v>64</v>
      </c>
      <c r="C26" s="23"/>
      <c r="D26" s="57" t="s">
        <v>62</v>
      </c>
      <c r="E26" s="58"/>
      <c r="F26" s="175">
        <v>0</v>
      </c>
      <c r="G26" s="27">
        <v>1</v>
      </c>
      <c r="H26" s="28">
        <f aca="true" t="shared" si="0" ref="H26:H40">G26*F26</f>
        <v>0</v>
      </c>
      <c r="I26" s="29"/>
      <c r="J26" s="30"/>
      <c r="K26" s="31">
        <v>1</v>
      </c>
      <c r="L26" s="28">
        <f aca="true" t="shared" si="1" ref="L26:L40">K26*J26</f>
        <v>0</v>
      </c>
      <c r="M26" s="29"/>
      <c r="N26" s="32">
        <f aca="true" t="shared" si="2" ref="N26:N68">L26-H26</f>
        <v>0</v>
      </c>
      <c r="O26" s="33">
        <f aca="true" t="shared" si="3" ref="O26:O48">IF((H26)=0,"",(N26/H26))</f>
      </c>
    </row>
    <row r="27" spans="2:15" ht="15">
      <c r="B27" s="177" t="s">
        <v>65</v>
      </c>
      <c r="C27" s="23"/>
      <c r="D27" s="24" t="s">
        <v>62</v>
      </c>
      <c r="E27" s="25"/>
      <c r="F27" s="26">
        <f>'Res (100kWh)'!F27</f>
        <v>4.33</v>
      </c>
      <c r="G27" s="27">
        <v>1</v>
      </c>
      <c r="H27" s="28">
        <f t="shared" si="0"/>
        <v>4.33</v>
      </c>
      <c r="I27" s="29"/>
      <c r="J27" s="175">
        <v>0</v>
      </c>
      <c r="K27" s="31">
        <v>1</v>
      </c>
      <c r="L27" s="28">
        <f t="shared" si="1"/>
        <v>0</v>
      </c>
      <c r="M27" s="29"/>
      <c r="N27" s="259">
        <f t="shared" si="2"/>
        <v>-4.33</v>
      </c>
      <c r="O27" s="33">
        <f t="shared" si="3"/>
        <v>-1</v>
      </c>
    </row>
    <row r="28" spans="2:15" ht="15">
      <c r="B28" s="47" t="s">
        <v>66</v>
      </c>
      <c r="C28" s="23"/>
      <c r="D28" s="24" t="s">
        <v>63</v>
      </c>
      <c r="E28" s="25"/>
      <c r="F28" s="26">
        <v>0</v>
      </c>
      <c r="G28" s="27">
        <f aca="true" t="shared" si="4" ref="G28:G33">$F$18</f>
        <v>2000</v>
      </c>
      <c r="H28" s="28">
        <f t="shared" si="0"/>
        <v>0</v>
      </c>
      <c r="I28" s="29"/>
      <c r="J28" s="175"/>
      <c r="K28" s="27">
        <f>$F$18</f>
        <v>2000</v>
      </c>
      <c r="L28" s="28">
        <f t="shared" si="1"/>
        <v>0</v>
      </c>
      <c r="M28" s="29"/>
      <c r="N28" s="32">
        <f t="shared" si="2"/>
        <v>0</v>
      </c>
      <c r="O28" s="33">
        <f t="shared" si="3"/>
      </c>
    </row>
    <row r="29" spans="2:15" ht="15">
      <c r="B29" s="47" t="s">
        <v>67</v>
      </c>
      <c r="C29" s="23"/>
      <c r="D29" s="24" t="s">
        <v>63</v>
      </c>
      <c r="E29" s="25"/>
      <c r="F29" s="253">
        <f>'Res (100kWh)'!F29</f>
        <v>-0.004</v>
      </c>
      <c r="G29" s="27">
        <f t="shared" si="4"/>
        <v>2000</v>
      </c>
      <c r="H29" s="28">
        <f t="shared" si="0"/>
        <v>-8</v>
      </c>
      <c r="I29" s="29"/>
      <c r="J29" s="30">
        <f>'Res (100kWh)'!J29</f>
        <v>0</v>
      </c>
      <c r="K29" s="27">
        <f>$F$18</f>
        <v>2000</v>
      </c>
      <c r="L29" s="28">
        <f t="shared" si="1"/>
        <v>0</v>
      </c>
      <c r="M29" s="29"/>
      <c r="N29" s="32">
        <f t="shared" si="2"/>
        <v>8</v>
      </c>
      <c r="O29" s="33">
        <f t="shared" si="3"/>
        <v>-1</v>
      </c>
    </row>
    <row r="30" spans="2:15" ht="15">
      <c r="B30" s="47" t="s">
        <v>103</v>
      </c>
      <c r="C30" s="23"/>
      <c r="D30" s="24" t="s">
        <v>63</v>
      </c>
      <c r="E30" s="25"/>
      <c r="F30" s="26">
        <f>'Res (100kWh)'!F30</f>
        <v>0</v>
      </c>
      <c r="G30" s="27">
        <f t="shared" si="4"/>
        <v>2000</v>
      </c>
      <c r="H30" s="249">
        <f t="shared" si="0"/>
        <v>0</v>
      </c>
      <c r="I30" s="29"/>
      <c r="J30" s="30">
        <f>'Res (100kWh)'!J30</f>
        <v>0</v>
      </c>
      <c r="K30" s="27">
        <f>$F$18</f>
        <v>2000</v>
      </c>
      <c r="L30" s="249">
        <f>K30*J30</f>
        <v>0</v>
      </c>
      <c r="M30" s="29"/>
      <c r="N30" s="259">
        <f>L30-H30</f>
        <v>0</v>
      </c>
      <c r="O30" s="250">
        <f>IF((H30)=0,"",(N30/H30))</f>
      </c>
    </row>
    <row r="31" spans="2:15" ht="15">
      <c r="B31" s="23" t="s">
        <v>21</v>
      </c>
      <c r="C31" s="23"/>
      <c r="D31" s="24" t="s">
        <v>63</v>
      </c>
      <c r="E31" s="25"/>
      <c r="F31" s="26">
        <f>'Res (100kWh)'!F31</f>
        <v>0.0178</v>
      </c>
      <c r="G31" s="27">
        <f t="shared" si="4"/>
        <v>2000</v>
      </c>
      <c r="H31" s="28">
        <f t="shared" si="0"/>
        <v>35.6</v>
      </c>
      <c r="I31" s="29"/>
      <c r="J31" s="30">
        <f>'Res (100kWh)'!J31</f>
        <v>0.018</v>
      </c>
      <c r="K31" s="27">
        <f>$F$18</f>
        <v>2000</v>
      </c>
      <c r="L31" s="28">
        <f t="shared" si="1"/>
        <v>36</v>
      </c>
      <c r="M31" s="29"/>
      <c r="N31" s="32">
        <f t="shared" si="2"/>
        <v>0.3999999999999986</v>
      </c>
      <c r="O31" s="33">
        <f t="shared" si="3"/>
        <v>0.011235955056179735</v>
      </c>
    </row>
    <row r="32" spans="2:15" ht="15">
      <c r="B32" s="23" t="s">
        <v>22</v>
      </c>
      <c r="C32" s="23"/>
      <c r="D32" s="24"/>
      <c r="E32" s="25"/>
      <c r="F32" s="26"/>
      <c r="G32" s="27">
        <f t="shared" si="4"/>
        <v>2000</v>
      </c>
      <c r="H32" s="28">
        <f t="shared" si="0"/>
        <v>0</v>
      </c>
      <c r="I32" s="29"/>
      <c r="J32" s="30"/>
      <c r="K32" s="27">
        <f aca="true" t="shared" si="5" ref="K32:K40">$F$18</f>
        <v>2000</v>
      </c>
      <c r="L32" s="28">
        <f t="shared" si="1"/>
        <v>0</v>
      </c>
      <c r="M32" s="29"/>
      <c r="N32" s="32">
        <f t="shared" si="2"/>
        <v>0</v>
      </c>
      <c r="O32" s="33">
        <f t="shared" si="3"/>
      </c>
    </row>
    <row r="33" spans="2:15" ht="15">
      <c r="B33" s="23" t="s">
        <v>124</v>
      </c>
      <c r="C33" s="23"/>
      <c r="D33" s="24" t="s">
        <v>63</v>
      </c>
      <c r="E33" s="25"/>
      <c r="F33" s="26">
        <v>0</v>
      </c>
      <c r="G33" s="27">
        <f t="shared" si="4"/>
        <v>2000</v>
      </c>
      <c r="H33" s="249">
        <f t="shared" si="0"/>
        <v>0</v>
      </c>
      <c r="I33" s="29"/>
      <c r="J33" s="30">
        <f>'Res (100kWh)'!$J33</f>
        <v>0.0001</v>
      </c>
      <c r="K33" s="27">
        <f t="shared" si="5"/>
        <v>2000</v>
      </c>
      <c r="L33" s="249">
        <f t="shared" si="1"/>
        <v>0.2</v>
      </c>
      <c r="M33" s="29"/>
      <c r="N33" s="32">
        <f t="shared" si="2"/>
        <v>0.2</v>
      </c>
      <c r="O33" s="250">
        <f t="shared" si="3"/>
      </c>
    </row>
    <row r="34" spans="2:15" ht="15" hidden="1">
      <c r="B34" s="34"/>
      <c r="C34" s="23"/>
      <c r="D34" s="24"/>
      <c r="E34" s="25"/>
      <c r="F34" s="26"/>
      <c r="G34" s="27">
        <f aca="true" t="shared" si="6" ref="G34:G40">$F$18</f>
        <v>2000</v>
      </c>
      <c r="H34" s="28">
        <f t="shared" si="0"/>
        <v>0</v>
      </c>
      <c r="I34" s="29"/>
      <c r="J34" s="30"/>
      <c r="K34" s="27">
        <f t="shared" si="5"/>
        <v>2000</v>
      </c>
      <c r="L34" s="28">
        <f t="shared" si="1"/>
        <v>0</v>
      </c>
      <c r="M34" s="29"/>
      <c r="N34" s="32">
        <f t="shared" si="2"/>
        <v>0</v>
      </c>
      <c r="O34" s="33">
        <f t="shared" si="3"/>
      </c>
    </row>
    <row r="35" spans="2:15" ht="15" hidden="1">
      <c r="B35" s="34"/>
      <c r="C35" s="23"/>
      <c r="D35" s="24"/>
      <c r="E35" s="25"/>
      <c r="F35" s="26"/>
      <c r="G35" s="27">
        <f t="shared" si="6"/>
        <v>2000</v>
      </c>
      <c r="H35" s="28">
        <f t="shared" si="0"/>
        <v>0</v>
      </c>
      <c r="I35" s="29"/>
      <c r="J35" s="30"/>
      <c r="K35" s="27">
        <f t="shared" si="5"/>
        <v>2000</v>
      </c>
      <c r="L35" s="28">
        <f t="shared" si="1"/>
        <v>0</v>
      </c>
      <c r="M35" s="29"/>
      <c r="N35" s="32">
        <f t="shared" si="2"/>
        <v>0</v>
      </c>
      <c r="O35" s="33">
        <f t="shared" si="3"/>
      </c>
    </row>
    <row r="36" spans="2:15" ht="15" hidden="1">
      <c r="B36" s="34"/>
      <c r="C36" s="23"/>
      <c r="D36" s="24"/>
      <c r="E36" s="25"/>
      <c r="F36" s="26"/>
      <c r="G36" s="27">
        <f t="shared" si="6"/>
        <v>2000</v>
      </c>
      <c r="H36" s="28">
        <f t="shared" si="0"/>
        <v>0</v>
      </c>
      <c r="I36" s="29"/>
      <c r="J36" s="30"/>
      <c r="K36" s="27">
        <f t="shared" si="5"/>
        <v>2000</v>
      </c>
      <c r="L36" s="28">
        <f t="shared" si="1"/>
        <v>0</v>
      </c>
      <c r="M36" s="29"/>
      <c r="N36" s="32">
        <f t="shared" si="2"/>
        <v>0</v>
      </c>
      <c r="O36" s="33">
        <f t="shared" si="3"/>
      </c>
    </row>
    <row r="37" spans="2:15" ht="15" hidden="1">
      <c r="B37" s="34"/>
      <c r="C37" s="23"/>
      <c r="D37" s="24"/>
      <c r="E37" s="25"/>
      <c r="F37" s="26"/>
      <c r="G37" s="27">
        <f t="shared" si="6"/>
        <v>2000</v>
      </c>
      <c r="H37" s="28">
        <f t="shared" si="0"/>
        <v>0</v>
      </c>
      <c r="I37" s="29"/>
      <c r="J37" s="30"/>
      <c r="K37" s="27">
        <f t="shared" si="5"/>
        <v>2000</v>
      </c>
      <c r="L37" s="28">
        <f t="shared" si="1"/>
        <v>0</v>
      </c>
      <c r="M37" s="29"/>
      <c r="N37" s="32">
        <f t="shared" si="2"/>
        <v>0</v>
      </c>
      <c r="O37" s="33">
        <f t="shared" si="3"/>
      </c>
    </row>
    <row r="38" spans="2:15" ht="15" hidden="1">
      <c r="B38" s="34"/>
      <c r="C38" s="23"/>
      <c r="D38" s="24"/>
      <c r="E38" s="25"/>
      <c r="F38" s="26"/>
      <c r="G38" s="27">
        <f t="shared" si="6"/>
        <v>2000</v>
      </c>
      <c r="H38" s="28">
        <f t="shared" si="0"/>
        <v>0</v>
      </c>
      <c r="I38" s="29"/>
      <c r="J38" s="30"/>
      <c r="K38" s="27">
        <f t="shared" si="5"/>
        <v>2000</v>
      </c>
      <c r="L38" s="28">
        <f t="shared" si="1"/>
        <v>0</v>
      </c>
      <c r="M38" s="29"/>
      <c r="N38" s="32">
        <f t="shared" si="2"/>
        <v>0</v>
      </c>
      <c r="O38" s="33">
        <f t="shared" si="3"/>
      </c>
    </row>
    <row r="39" spans="2:15" ht="15" hidden="1">
      <c r="B39" s="34"/>
      <c r="C39" s="23"/>
      <c r="D39" s="24"/>
      <c r="E39" s="25"/>
      <c r="F39" s="26"/>
      <c r="G39" s="27">
        <f t="shared" si="6"/>
        <v>2000</v>
      </c>
      <c r="H39" s="28">
        <f t="shared" si="0"/>
        <v>0</v>
      </c>
      <c r="I39" s="29"/>
      <c r="J39" s="30"/>
      <c r="K39" s="27">
        <f t="shared" si="5"/>
        <v>2000</v>
      </c>
      <c r="L39" s="28">
        <f t="shared" si="1"/>
        <v>0</v>
      </c>
      <c r="M39" s="29"/>
      <c r="N39" s="32">
        <f t="shared" si="2"/>
        <v>0</v>
      </c>
      <c r="O39" s="33">
        <f t="shared" si="3"/>
      </c>
    </row>
    <row r="40" spans="2:15" ht="15" hidden="1">
      <c r="B40" s="34"/>
      <c r="C40" s="23"/>
      <c r="D40" s="24"/>
      <c r="E40" s="25"/>
      <c r="F40" s="26"/>
      <c r="G40" s="27">
        <f t="shared" si="6"/>
        <v>2000</v>
      </c>
      <c r="H40" s="28">
        <f t="shared" si="0"/>
        <v>0</v>
      </c>
      <c r="I40" s="29"/>
      <c r="J40" s="30"/>
      <c r="K40" s="27">
        <f t="shared" si="5"/>
        <v>2000</v>
      </c>
      <c r="L40" s="28">
        <f t="shared" si="1"/>
        <v>0</v>
      </c>
      <c r="M40" s="29"/>
      <c r="N40" s="32">
        <f t="shared" si="2"/>
        <v>0</v>
      </c>
      <c r="O40" s="33">
        <f t="shared" si="3"/>
      </c>
    </row>
    <row r="41" spans="2:15" s="35" customFormat="1" ht="15">
      <c r="B41" s="36" t="s">
        <v>24</v>
      </c>
      <c r="C41" s="37"/>
      <c r="D41" s="38"/>
      <c r="E41" s="37"/>
      <c r="F41" s="39"/>
      <c r="G41" s="40"/>
      <c r="H41" s="41">
        <f>SUM(H23:H40)</f>
        <v>42.93</v>
      </c>
      <c r="I41" s="42"/>
      <c r="J41" s="43"/>
      <c r="K41" s="44"/>
      <c r="L41" s="41">
        <f>SUM(L23:L40)</f>
        <v>48.14</v>
      </c>
      <c r="M41" s="42"/>
      <c r="N41" s="45">
        <f t="shared" si="2"/>
        <v>5.210000000000001</v>
      </c>
      <c r="O41" s="46">
        <f t="shared" si="3"/>
        <v>0.1213603540647566</v>
      </c>
    </row>
    <row r="42" spans="2:15" ht="15" hidden="1">
      <c r="B42" s="177"/>
      <c r="C42" s="23"/>
      <c r="D42" s="57" t="s">
        <v>62</v>
      </c>
      <c r="E42" s="25"/>
      <c r="F42" s="26"/>
      <c r="G42" s="27">
        <v>1</v>
      </c>
      <c r="H42" s="28">
        <f>G42*F42</f>
        <v>0</v>
      </c>
      <c r="I42" s="29"/>
      <c r="J42" s="175"/>
      <c r="K42" s="31">
        <v>1</v>
      </c>
      <c r="L42" s="28">
        <f>K42*J42</f>
        <v>0</v>
      </c>
      <c r="M42" s="29"/>
      <c r="N42" s="32">
        <f>L42-H42</f>
        <v>0</v>
      </c>
      <c r="O42" s="33">
        <f>IF((H42)=0,"",(N42/H42))</f>
      </c>
    </row>
    <row r="43" spans="2:15" ht="25.5">
      <c r="B43" s="47" t="s">
        <v>25</v>
      </c>
      <c r="C43" s="23"/>
      <c r="D43" s="57" t="s">
        <v>63</v>
      </c>
      <c r="E43" s="58"/>
      <c r="F43" s="254">
        <f>'Res (100kWh)'!F43</f>
        <v>-0.002</v>
      </c>
      <c r="G43" s="27">
        <f>$F$18</f>
        <v>2000</v>
      </c>
      <c r="H43" s="28">
        <f aca="true" t="shared" si="7" ref="H43:H49">G43*F43</f>
        <v>-4</v>
      </c>
      <c r="I43" s="29"/>
      <c r="J43" s="254">
        <f>'Res (100kWh)'!J43</f>
        <v>-0.0016</v>
      </c>
      <c r="K43" s="27">
        <f>$F$18</f>
        <v>2000</v>
      </c>
      <c r="L43" s="28">
        <f aca="true" t="shared" si="8" ref="L43:L49">K43*J43</f>
        <v>-3.2</v>
      </c>
      <c r="M43" s="29"/>
      <c r="N43" s="32">
        <f t="shared" si="2"/>
        <v>0.7999999999999998</v>
      </c>
      <c r="O43" s="33">
        <f t="shared" si="3"/>
        <v>-0.19999999999999996</v>
      </c>
    </row>
    <row r="44" spans="2:15" ht="15" hidden="1">
      <c r="B44" s="47"/>
      <c r="C44" s="23"/>
      <c r="D44" s="24" t="s">
        <v>63</v>
      </c>
      <c r="E44" s="25"/>
      <c r="F44" s="26"/>
      <c r="G44" s="27">
        <f>$F$18</f>
        <v>2000</v>
      </c>
      <c r="H44" s="28">
        <f t="shared" si="7"/>
        <v>0</v>
      </c>
      <c r="I44" s="48"/>
      <c r="J44" s="30"/>
      <c r="K44" s="27">
        <f>$F$18</f>
        <v>2000</v>
      </c>
      <c r="L44" s="28">
        <f t="shared" si="8"/>
        <v>0</v>
      </c>
      <c r="M44" s="49"/>
      <c r="N44" s="32">
        <f t="shared" si="2"/>
        <v>0</v>
      </c>
      <c r="O44" s="33">
        <f t="shared" si="3"/>
      </c>
    </row>
    <row r="45" spans="2:15" ht="15" hidden="1">
      <c r="B45" s="47"/>
      <c r="C45" s="23"/>
      <c r="D45" s="24" t="s">
        <v>63</v>
      </c>
      <c r="E45" s="25"/>
      <c r="F45" s="26"/>
      <c r="G45" s="27">
        <f>$F$18</f>
        <v>2000</v>
      </c>
      <c r="H45" s="28">
        <f t="shared" si="7"/>
        <v>0</v>
      </c>
      <c r="I45" s="48"/>
      <c r="J45" s="30"/>
      <c r="K45" s="27">
        <f>$F$18</f>
        <v>2000</v>
      </c>
      <c r="L45" s="28">
        <f t="shared" si="8"/>
        <v>0</v>
      </c>
      <c r="M45" s="49"/>
      <c r="N45" s="32">
        <f t="shared" si="2"/>
        <v>0</v>
      </c>
      <c r="O45" s="33">
        <f t="shared" si="3"/>
      </c>
    </row>
    <row r="46" spans="2:15" ht="15" hidden="1">
      <c r="B46" s="47"/>
      <c r="C46" s="23"/>
      <c r="D46" s="24"/>
      <c r="E46" s="25"/>
      <c r="F46" s="26"/>
      <c r="G46" s="27">
        <f>$F$18</f>
        <v>2000</v>
      </c>
      <c r="H46" s="28">
        <f t="shared" si="7"/>
        <v>0</v>
      </c>
      <c r="I46" s="48"/>
      <c r="J46" s="30"/>
      <c r="K46" s="27">
        <f>$F$18</f>
        <v>2000</v>
      </c>
      <c r="L46" s="28">
        <f t="shared" si="8"/>
        <v>0</v>
      </c>
      <c r="M46" s="49"/>
      <c r="N46" s="32">
        <f t="shared" si="2"/>
        <v>0</v>
      </c>
      <c r="O46" s="33">
        <f t="shared" si="3"/>
      </c>
    </row>
    <row r="47" spans="2:15" ht="15">
      <c r="B47" s="50" t="s">
        <v>26</v>
      </c>
      <c r="C47" s="23"/>
      <c r="D47" s="24" t="s">
        <v>63</v>
      </c>
      <c r="E47" s="25"/>
      <c r="F47" s="26">
        <f>'Res (100kWh)'!F47</f>
        <v>0.0001</v>
      </c>
      <c r="G47" s="27">
        <f>$F$18</f>
        <v>2000</v>
      </c>
      <c r="H47" s="28">
        <f t="shared" si="7"/>
        <v>0.2</v>
      </c>
      <c r="I47" s="29"/>
      <c r="J47" s="30">
        <f>'Res (100kWh)'!J47</f>
        <v>0.0001</v>
      </c>
      <c r="K47" s="27">
        <f>$F$18</f>
        <v>2000</v>
      </c>
      <c r="L47" s="28">
        <f t="shared" si="8"/>
        <v>0.2</v>
      </c>
      <c r="M47" s="29"/>
      <c r="N47" s="32">
        <f t="shared" si="2"/>
        <v>0</v>
      </c>
      <c r="O47" s="33">
        <f t="shared" si="3"/>
        <v>0</v>
      </c>
    </row>
    <row r="48" spans="2:15" s="35" customFormat="1" ht="15">
      <c r="B48" s="183" t="s">
        <v>27</v>
      </c>
      <c r="C48" s="25"/>
      <c r="D48" s="184" t="s">
        <v>63</v>
      </c>
      <c r="E48" s="25"/>
      <c r="F48" s="185">
        <f>IF(ISBLANK(D16)=TRUE,0,IF(D16="TOU",0.64*$F$58+0.18*$F$59+0.18*$F$60,IF(AND(D16="non-TOU",G62&gt;0),F62,F61)))</f>
        <v>0.08392</v>
      </c>
      <c r="G48" s="27">
        <f>$F$18*(1+$F$77)-$F$18</f>
        <v>67</v>
      </c>
      <c r="H48" s="186">
        <f t="shared" si="7"/>
        <v>5.62264</v>
      </c>
      <c r="I48" s="58"/>
      <c r="J48" s="187">
        <f>0.64*$F$58+0.18*$F$59+0.18*$F$60</f>
        <v>0.08392</v>
      </c>
      <c r="K48" s="27">
        <f>$F$18*(1+$J$77)-$F$18</f>
        <v>67</v>
      </c>
      <c r="L48" s="186">
        <f t="shared" si="8"/>
        <v>5.62264</v>
      </c>
      <c r="M48" s="58"/>
      <c r="N48" s="188">
        <f t="shared" si="2"/>
        <v>0</v>
      </c>
      <c r="O48" s="189">
        <f t="shared" si="3"/>
        <v>0</v>
      </c>
    </row>
    <row r="49" spans="2:15" ht="15">
      <c r="B49" s="50" t="s">
        <v>28</v>
      </c>
      <c r="C49" s="23"/>
      <c r="D49" s="24" t="s">
        <v>62</v>
      </c>
      <c r="E49" s="25"/>
      <c r="F49" s="180">
        <v>0.79</v>
      </c>
      <c r="G49" s="27">
        <v>1</v>
      </c>
      <c r="H49" s="28">
        <f t="shared" si="7"/>
        <v>0.79</v>
      </c>
      <c r="I49" s="29"/>
      <c r="J49" s="180">
        <v>0.79</v>
      </c>
      <c r="K49" s="27">
        <v>1</v>
      </c>
      <c r="L49" s="28">
        <f t="shared" si="8"/>
        <v>0.79</v>
      </c>
      <c r="M49" s="29"/>
      <c r="N49" s="32">
        <f t="shared" si="2"/>
        <v>0</v>
      </c>
      <c r="O49" s="33"/>
    </row>
    <row r="50" spans="2:15" ht="25.5">
      <c r="B50" s="51" t="s">
        <v>29</v>
      </c>
      <c r="C50" s="52"/>
      <c r="D50" s="52"/>
      <c r="E50" s="52"/>
      <c r="F50" s="53"/>
      <c r="G50" s="54"/>
      <c r="H50" s="55">
        <f>SUM(H42:H49)+H41</f>
        <v>45.54264</v>
      </c>
      <c r="I50" s="42"/>
      <c r="J50" s="54"/>
      <c r="K50" s="56"/>
      <c r="L50" s="55">
        <f>SUM(L42:L49)+L41</f>
        <v>51.55264</v>
      </c>
      <c r="M50" s="42"/>
      <c r="N50" s="45">
        <f t="shared" si="2"/>
        <v>6.009999999999998</v>
      </c>
      <c r="O50" s="46">
        <f aca="true" t="shared" si="9" ref="O50:O68">IF((H50)=0,"",(N50/H50))</f>
        <v>0.1319642427404296</v>
      </c>
    </row>
    <row r="51" spans="2:15" ht="15">
      <c r="B51" s="29" t="s">
        <v>30</v>
      </c>
      <c r="C51" s="29"/>
      <c r="D51" s="57" t="s">
        <v>63</v>
      </c>
      <c r="E51" s="58"/>
      <c r="F51" s="30">
        <f>'Res (100kWh)'!F51</f>
        <v>0.0067</v>
      </c>
      <c r="G51" s="59">
        <f>F18*(1+F77)</f>
        <v>2067</v>
      </c>
      <c r="H51" s="28">
        <f>G51*F51</f>
        <v>13.8489</v>
      </c>
      <c r="I51" s="29"/>
      <c r="J51" s="30">
        <f>'Res (100kWh)'!J51</f>
        <v>0.0069</v>
      </c>
      <c r="K51" s="60">
        <f>F18*(1+J77)</f>
        <v>2067</v>
      </c>
      <c r="L51" s="28">
        <f>K51*J51</f>
        <v>14.2623</v>
      </c>
      <c r="M51" s="29"/>
      <c r="N51" s="32">
        <f t="shared" si="2"/>
        <v>0.4133999999999993</v>
      </c>
      <c r="O51" s="33">
        <f t="shared" si="9"/>
        <v>0.029850746268656667</v>
      </c>
    </row>
    <row r="52" spans="2:15" ht="15">
      <c r="B52" s="61" t="s">
        <v>31</v>
      </c>
      <c r="C52" s="29"/>
      <c r="D52" s="57" t="s">
        <v>63</v>
      </c>
      <c r="E52" s="58"/>
      <c r="F52" s="30">
        <f>'Res (100kWh)'!F52</f>
        <v>0.0042</v>
      </c>
      <c r="G52" s="59">
        <f>G51</f>
        <v>2067</v>
      </c>
      <c r="H52" s="28">
        <f>G52*F52</f>
        <v>8.6814</v>
      </c>
      <c r="I52" s="29"/>
      <c r="J52" s="30">
        <f>'Res (100kWh)'!J52</f>
        <v>0.0043</v>
      </c>
      <c r="K52" s="60">
        <f>K51</f>
        <v>2067</v>
      </c>
      <c r="L52" s="28">
        <f>K52*J52</f>
        <v>8.8881</v>
      </c>
      <c r="M52" s="29"/>
      <c r="N52" s="32">
        <f t="shared" si="2"/>
        <v>0.20669999999999966</v>
      </c>
      <c r="O52" s="33">
        <f t="shared" si="9"/>
        <v>0.02380952380952377</v>
      </c>
    </row>
    <row r="53" spans="2:15" ht="15">
      <c r="B53" s="51" t="s">
        <v>32</v>
      </c>
      <c r="C53" s="37"/>
      <c r="D53" s="37"/>
      <c r="E53" s="37"/>
      <c r="F53" s="62"/>
      <c r="G53" s="54"/>
      <c r="H53" s="55">
        <f>SUM(H50:H52)</f>
        <v>68.07294</v>
      </c>
      <c r="I53" s="63"/>
      <c r="J53" s="64"/>
      <c r="K53" s="65"/>
      <c r="L53" s="55">
        <f>SUM(L50:L52)</f>
        <v>74.70303999999999</v>
      </c>
      <c r="M53" s="63"/>
      <c r="N53" s="45">
        <f t="shared" si="2"/>
        <v>6.630099999999985</v>
      </c>
      <c r="O53" s="46">
        <f t="shared" si="9"/>
        <v>0.09739699798480841</v>
      </c>
    </row>
    <row r="54" spans="2:15" ht="15">
      <c r="B54" s="66" t="s">
        <v>33</v>
      </c>
      <c r="C54" s="23"/>
      <c r="D54" s="24" t="s">
        <v>63</v>
      </c>
      <c r="E54" s="25"/>
      <c r="F54" s="67">
        <v>0.0044</v>
      </c>
      <c r="G54" s="59">
        <f>G52</f>
        <v>2067</v>
      </c>
      <c r="H54" s="68">
        <f aca="true" t="shared" si="10" ref="H54:H60">G54*F54</f>
        <v>9.094800000000001</v>
      </c>
      <c r="I54" s="29"/>
      <c r="J54" s="69">
        <v>0.0044</v>
      </c>
      <c r="K54" s="60">
        <f>K52</f>
        <v>2067</v>
      </c>
      <c r="L54" s="68">
        <f aca="true" t="shared" si="11" ref="L54:L60">K54*J54</f>
        <v>9.094800000000001</v>
      </c>
      <c r="M54" s="29"/>
      <c r="N54" s="32">
        <f t="shared" si="2"/>
        <v>0</v>
      </c>
      <c r="O54" s="70">
        <f t="shared" si="9"/>
        <v>0</v>
      </c>
    </row>
    <row r="55" spans="2:15" ht="15">
      <c r="B55" s="66" t="s">
        <v>34</v>
      </c>
      <c r="C55" s="23"/>
      <c r="D55" s="24" t="s">
        <v>63</v>
      </c>
      <c r="E55" s="25"/>
      <c r="F55" s="67">
        <v>0.0013</v>
      </c>
      <c r="G55" s="59">
        <f>G52</f>
        <v>2067</v>
      </c>
      <c r="H55" s="68">
        <f t="shared" si="10"/>
        <v>2.6871</v>
      </c>
      <c r="I55" s="29"/>
      <c r="J55" s="69">
        <v>0.0013</v>
      </c>
      <c r="K55" s="60">
        <f>K52</f>
        <v>2067</v>
      </c>
      <c r="L55" s="68">
        <f t="shared" si="11"/>
        <v>2.6871</v>
      </c>
      <c r="M55" s="29"/>
      <c r="N55" s="32">
        <f t="shared" si="2"/>
        <v>0</v>
      </c>
      <c r="O55" s="70">
        <f t="shared" si="9"/>
        <v>0</v>
      </c>
    </row>
    <row r="56" spans="2:15" ht="15">
      <c r="B56" s="23" t="s">
        <v>35</v>
      </c>
      <c r="C56" s="23"/>
      <c r="D56" s="24" t="s">
        <v>62</v>
      </c>
      <c r="E56" s="25"/>
      <c r="F56" s="178">
        <v>0.25</v>
      </c>
      <c r="G56" s="27">
        <v>1</v>
      </c>
      <c r="H56" s="68">
        <f t="shared" si="10"/>
        <v>0.25</v>
      </c>
      <c r="I56" s="29"/>
      <c r="J56" s="179">
        <v>0.25</v>
      </c>
      <c r="K56" s="31">
        <v>1</v>
      </c>
      <c r="L56" s="68">
        <f t="shared" si="11"/>
        <v>0.25</v>
      </c>
      <c r="M56" s="29"/>
      <c r="N56" s="32">
        <f t="shared" si="2"/>
        <v>0</v>
      </c>
      <c r="O56" s="70">
        <f t="shared" si="9"/>
        <v>0</v>
      </c>
    </row>
    <row r="57" spans="2:15" ht="15">
      <c r="B57" s="23" t="s">
        <v>36</v>
      </c>
      <c r="C57" s="23"/>
      <c r="D57" s="24" t="s">
        <v>63</v>
      </c>
      <c r="E57" s="25"/>
      <c r="F57" s="67">
        <v>0.007</v>
      </c>
      <c r="G57" s="71">
        <f>F18</f>
        <v>2000</v>
      </c>
      <c r="H57" s="68">
        <f t="shared" si="10"/>
        <v>14</v>
      </c>
      <c r="I57" s="29"/>
      <c r="J57" s="69">
        <f>0.007</f>
        <v>0.007</v>
      </c>
      <c r="K57" s="72">
        <f>F18</f>
        <v>2000</v>
      </c>
      <c r="L57" s="68">
        <f t="shared" si="11"/>
        <v>14</v>
      </c>
      <c r="M57" s="29"/>
      <c r="N57" s="32">
        <f t="shared" si="2"/>
        <v>0</v>
      </c>
      <c r="O57" s="70">
        <f t="shared" si="9"/>
        <v>0</v>
      </c>
    </row>
    <row r="58" spans="2:19" ht="15">
      <c r="B58" s="50" t="s">
        <v>37</v>
      </c>
      <c r="C58" s="23"/>
      <c r="D58" s="24" t="s">
        <v>63</v>
      </c>
      <c r="E58" s="25"/>
      <c r="F58" s="73">
        <v>0.067</v>
      </c>
      <c r="G58" s="71">
        <f>0.64*$F$18</f>
        <v>1280</v>
      </c>
      <c r="H58" s="68">
        <f t="shared" si="10"/>
        <v>85.76</v>
      </c>
      <c r="I58" s="29"/>
      <c r="J58" s="67">
        <v>0.067</v>
      </c>
      <c r="K58" s="71">
        <f>G58</f>
        <v>1280</v>
      </c>
      <c r="L58" s="68">
        <f t="shared" si="11"/>
        <v>85.76</v>
      </c>
      <c r="M58" s="29"/>
      <c r="N58" s="32">
        <f t="shared" si="2"/>
        <v>0</v>
      </c>
      <c r="O58" s="70">
        <f t="shared" si="9"/>
        <v>0</v>
      </c>
      <c r="S58" s="74"/>
    </row>
    <row r="59" spans="2:19" ht="15">
      <c r="B59" s="50" t="s">
        <v>38</v>
      </c>
      <c r="C59" s="23"/>
      <c r="D59" s="24" t="s">
        <v>63</v>
      </c>
      <c r="E59" s="25"/>
      <c r="F59" s="73">
        <v>0.104</v>
      </c>
      <c r="G59" s="71">
        <f>0.18*$F$18</f>
        <v>360</v>
      </c>
      <c r="H59" s="68">
        <f t="shared" si="10"/>
        <v>37.44</v>
      </c>
      <c r="I59" s="29"/>
      <c r="J59" s="67">
        <v>0.104</v>
      </c>
      <c r="K59" s="71">
        <f>G59</f>
        <v>360</v>
      </c>
      <c r="L59" s="68">
        <f t="shared" si="11"/>
        <v>37.44</v>
      </c>
      <c r="M59" s="29"/>
      <c r="N59" s="32">
        <f t="shared" si="2"/>
        <v>0</v>
      </c>
      <c r="O59" s="70">
        <f t="shared" si="9"/>
        <v>0</v>
      </c>
      <c r="S59" s="74"/>
    </row>
    <row r="60" spans="2:19" ht="15">
      <c r="B60" s="13" t="s">
        <v>39</v>
      </c>
      <c r="C60" s="23"/>
      <c r="D60" s="24" t="s">
        <v>63</v>
      </c>
      <c r="E60" s="25"/>
      <c r="F60" s="73">
        <v>0.124</v>
      </c>
      <c r="G60" s="71">
        <f>0.18*$F$18</f>
        <v>360</v>
      </c>
      <c r="H60" s="68">
        <f t="shared" si="10"/>
        <v>44.64</v>
      </c>
      <c r="I60" s="29"/>
      <c r="J60" s="67">
        <v>0.124</v>
      </c>
      <c r="K60" s="71">
        <f>G60</f>
        <v>360</v>
      </c>
      <c r="L60" s="68">
        <f t="shared" si="11"/>
        <v>44.64</v>
      </c>
      <c r="M60" s="29"/>
      <c r="N60" s="32">
        <f t="shared" si="2"/>
        <v>0</v>
      </c>
      <c r="O60" s="70">
        <f t="shared" si="9"/>
        <v>0</v>
      </c>
      <c r="S60" s="74"/>
    </row>
    <row r="61" spans="2:15" s="75" customFormat="1" ht="15">
      <c r="B61" s="76" t="s">
        <v>40</v>
      </c>
      <c r="C61" s="77"/>
      <c r="D61" s="78" t="s">
        <v>63</v>
      </c>
      <c r="E61" s="79"/>
      <c r="F61" s="73">
        <v>0.075</v>
      </c>
      <c r="G61" s="80">
        <f>IF(AND($T$1=1,F18&gt;=600),600,IF(AND($T$1=1,AND(F18&lt;600,F18&gt;=0)),F18,IF(AND($T$1=2,F18&gt;=1000),1000,IF(AND($T$1=2,AND(F18&lt;1000,F18&gt;=0)),F18))))</f>
        <v>600</v>
      </c>
      <c r="H61" s="68">
        <f>G61*F61</f>
        <v>45</v>
      </c>
      <c r="I61" s="81"/>
      <c r="J61" s="67">
        <v>0.075</v>
      </c>
      <c r="K61" s="80">
        <f>G61</f>
        <v>600</v>
      </c>
      <c r="L61" s="68">
        <f>K61*J61</f>
        <v>45</v>
      </c>
      <c r="M61" s="81"/>
      <c r="N61" s="82">
        <f t="shared" si="2"/>
        <v>0</v>
      </c>
      <c r="O61" s="70">
        <f t="shared" si="9"/>
        <v>0</v>
      </c>
    </row>
    <row r="62" spans="2:15" s="75" customFormat="1" ht="15.75" thickBot="1">
      <c r="B62" s="76" t="s">
        <v>41</v>
      </c>
      <c r="C62" s="77"/>
      <c r="D62" s="78" t="s">
        <v>63</v>
      </c>
      <c r="E62" s="79"/>
      <c r="F62" s="73">
        <v>0.088</v>
      </c>
      <c r="G62" s="80">
        <f>IF(AND($T$1=1,F18&gt;=600),F18-600,IF(AND($T$1=1,AND(F18&lt;600,F18&gt;=0)),0,IF(AND($T$1=2,F18&gt;=1000),F18-1000,IF(AND($T$1=2,AND(F18&lt;1000,F18&gt;=0)),0))))</f>
        <v>1400</v>
      </c>
      <c r="H62" s="68">
        <f>G62*F62</f>
        <v>123.19999999999999</v>
      </c>
      <c r="I62" s="81"/>
      <c r="J62" s="67">
        <v>0.088</v>
      </c>
      <c r="K62" s="80">
        <f>G62</f>
        <v>1400</v>
      </c>
      <c r="L62" s="68">
        <f>K62*J62</f>
        <v>123.19999999999999</v>
      </c>
      <c r="M62" s="81"/>
      <c r="N62" s="82">
        <f t="shared" si="2"/>
        <v>0</v>
      </c>
      <c r="O62" s="70">
        <f t="shared" si="9"/>
        <v>0</v>
      </c>
    </row>
    <row r="63" spans="2:15" ht="8.25" customHeight="1" thickBot="1">
      <c r="B63" s="83"/>
      <c r="C63" s="84"/>
      <c r="D63" s="85"/>
      <c r="E63" s="84"/>
      <c r="F63" s="86"/>
      <c r="G63" s="87"/>
      <c r="H63" s="88"/>
      <c r="I63" s="89"/>
      <c r="J63" s="86"/>
      <c r="K63" s="90"/>
      <c r="L63" s="88"/>
      <c r="M63" s="89"/>
      <c r="N63" s="91"/>
      <c r="O63" s="92"/>
    </row>
    <row r="64" spans="2:19" ht="15">
      <c r="B64" s="93" t="s">
        <v>42</v>
      </c>
      <c r="C64" s="23"/>
      <c r="D64" s="23"/>
      <c r="E64" s="23"/>
      <c r="F64" s="94"/>
      <c r="G64" s="95"/>
      <c r="H64" s="96">
        <f>SUM(H54:H60,H53)</f>
        <v>261.94484</v>
      </c>
      <c r="I64" s="97"/>
      <c r="J64" s="98"/>
      <c r="K64" s="98"/>
      <c r="L64" s="192">
        <f>SUM(L54:L60,L53)</f>
        <v>268.57493999999997</v>
      </c>
      <c r="M64" s="99"/>
      <c r="N64" s="100">
        <f>L64-H64</f>
        <v>6.63009999999997</v>
      </c>
      <c r="O64" s="101">
        <f>IF((H64)=0,"",(N64/H64))</f>
        <v>0.025311054037178097</v>
      </c>
      <c r="S64" s="74"/>
    </row>
    <row r="65" spans="2:19" ht="15">
      <c r="B65" s="102" t="s">
        <v>43</v>
      </c>
      <c r="C65" s="23"/>
      <c r="D65" s="23"/>
      <c r="E65" s="23"/>
      <c r="F65" s="103">
        <v>0.13</v>
      </c>
      <c r="G65" s="104"/>
      <c r="H65" s="105">
        <f>H64*F65</f>
        <v>34.0528292</v>
      </c>
      <c r="I65" s="106"/>
      <c r="J65" s="107">
        <v>0.13</v>
      </c>
      <c r="K65" s="106"/>
      <c r="L65" s="108">
        <f>L64*J65</f>
        <v>34.9147422</v>
      </c>
      <c r="M65" s="109"/>
      <c r="N65" s="110">
        <f t="shared" si="2"/>
        <v>0.8619130000000013</v>
      </c>
      <c r="O65" s="111">
        <f t="shared" si="9"/>
        <v>0.025311054037178246</v>
      </c>
      <c r="S65" s="74"/>
    </row>
    <row r="66" spans="2:19" ht="15">
      <c r="B66" s="112" t="s">
        <v>44</v>
      </c>
      <c r="C66" s="23"/>
      <c r="D66" s="23"/>
      <c r="E66" s="23"/>
      <c r="F66" s="113"/>
      <c r="G66" s="104"/>
      <c r="H66" s="105">
        <f>H64+H65</f>
        <v>295.9976692</v>
      </c>
      <c r="I66" s="106"/>
      <c r="J66" s="106"/>
      <c r="K66" s="106"/>
      <c r="L66" s="108">
        <f>L64+L65</f>
        <v>303.48968219999995</v>
      </c>
      <c r="M66" s="109"/>
      <c r="N66" s="110">
        <f t="shared" si="2"/>
        <v>7.492012999999929</v>
      </c>
      <c r="O66" s="111">
        <f t="shared" si="9"/>
        <v>0.02531105403717797</v>
      </c>
      <c r="S66" s="74"/>
    </row>
    <row r="67" spans="2:15" ht="15.75" customHeight="1">
      <c r="B67" s="333" t="s">
        <v>45</v>
      </c>
      <c r="C67" s="333"/>
      <c r="D67" s="333"/>
      <c r="E67" s="23"/>
      <c r="F67" s="113"/>
      <c r="G67" s="104"/>
      <c r="H67" s="263">
        <f>ROUND(-H66*10%,2)</f>
        <v>-29.6</v>
      </c>
      <c r="I67" s="106"/>
      <c r="J67" s="106"/>
      <c r="K67" s="106"/>
      <c r="L67" s="264">
        <f>ROUND(-L66*10%,2)</f>
        <v>-30.35</v>
      </c>
      <c r="M67" s="109"/>
      <c r="N67" s="265">
        <f t="shared" si="2"/>
        <v>-0.75</v>
      </c>
      <c r="O67" s="117">
        <f t="shared" si="9"/>
        <v>0.025337837837837836</v>
      </c>
    </row>
    <row r="68" spans="2:15" ht="15.75" thickBot="1">
      <c r="B68" s="334" t="s">
        <v>46</v>
      </c>
      <c r="C68" s="334"/>
      <c r="D68" s="334"/>
      <c r="E68" s="118"/>
      <c r="F68" s="119"/>
      <c r="G68" s="120"/>
      <c r="H68" s="121">
        <f>H66+H67</f>
        <v>266.3976692</v>
      </c>
      <c r="I68" s="122"/>
      <c r="J68" s="122"/>
      <c r="K68" s="122"/>
      <c r="L68" s="123">
        <f>L66+L67</f>
        <v>273.1396821999999</v>
      </c>
      <c r="M68" s="124"/>
      <c r="N68" s="125">
        <f t="shared" si="2"/>
        <v>6.742012999999929</v>
      </c>
      <c r="O68" s="126">
        <f t="shared" si="9"/>
        <v>0.025308078033289074</v>
      </c>
    </row>
    <row r="69" spans="2:15" s="75" customFormat="1" ht="8.25" customHeight="1" thickBot="1">
      <c r="B69" s="127"/>
      <c r="C69" s="128"/>
      <c r="D69" s="129"/>
      <c r="E69" s="128"/>
      <c r="F69" s="86"/>
      <c r="G69" s="130"/>
      <c r="H69" s="88"/>
      <c r="I69" s="131"/>
      <c r="J69" s="86"/>
      <c r="K69" s="132"/>
      <c r="L69" s="88"/>
      <c r="M69" s="131"/>
      <c r="N69" s="133"/>
      <c r="O69" s="92"/>
    </row>
    <row r="70" spans="2:15" s="75" customFormat="1" ht="12.75">
      <c r="B70" s="134" t="s">
        <v>47</v>
      </c>
      <c r="C70" s="77"/>
      <c r="D70" s="77"/>
      <c r="E70" s="77"/>
      <c r="F70" s="135"/>
      <c r="G70" s="136"/>
      <c r="H70" s="137">
        <f>SUM(H61:H62,H53,H54:H57)</f>
        <v>262.30484</v>
      </c>
      <c r="I70" s="138"/>
      <c r="J70" s="139"/>
      <c r="K70" s="139"/>
      <c r="L70" s="191">
        <f>SUM(L61:L62,L53,L54:L57)</f>
        <v>268.93494</v>
      </c>
      <c r="M70" s="140"/>
      <c r="N70" s="141">
        <f>L70-H70</f>
        <v>6.63009999999997</v>
      </c>
      <c r="O70" s="101">
        <f>IF((H70)=0,"",(N70/H70))</f>
        <v>0.025276315907857325</v>
      </c>
    </row>
    <row r="71" spans="2:15" s="75" customFormat="1" ht="12.75">
      <c r="B71" s="142" t="s">
        <v>43</v>
      </c>
      <c r="C71" s="77"/>
      <c r="D71" s="77"/>
      <c r="E71" s="77"/>
      <c r="F71" s="143">
        <v>0.13</v>
      </c>
      <c r="G71" s="136"/>
      <c r="H71" s="144">
        <f>H70*F71</f>
        <v>34.0996292</v>
      </c>
      <c r="I71" s="145"/>
      <c r="J71" s="146">
        <v>0.13</v>
      </c>
      <c r="K71" s="147"/>
      <c r="L71" s="148">
        <f>L70*J71</f>
        <v>34.9615422</v>
      </c>
      <c r="M71" s="149"/>
      <c r="N71" s="150">
        <f>L71-H71</f>
        <v>0.8619129999999942</v>
      </c>
      <c r="O71" s="111">
        <f>IF((H71)=0,"",(N71/H71))</f>
        <v>0.025276315907857266</v>
      </c>
    </row>
    <row r="72" spans="2:15" s="75" customFormat="1" ht="12.75">
      <c r="B72" s="151" t="s">
        <v>44</v>
      </c>
      <c r="C72" s="77"/>
      <c r="D72" s="77"/>
      <c r="E72" s="77"/>
      <c r="F72" s="152"/>
      <c r="G72" s="153"/>
      <c r="H72" s="144">
        <f>H70+H71</f>
        <v>296.4044692</v>
      </c>
      <c r="I72" s="145"/>
      <c r="J72" s="145"/>
      <c r="K72" s="145"/>
      <c r="L72" s="148">
        <f>L70+L71</f>
        <v>303.8964822</v>
      </c>
      <c r="M72" s="149"/>
      <c r="N72" s="150">
        <f>L72-H72</f>
        <v>7.492012999999986</v>
      </c>
      <c r="O72" s="111">
        <f>IF((H72)=0,"",(N72/H72))</f>
        <v>0.02527631590785739</v>
      </c>
    </row>
    <row r="73" spans="2:15" s="75" customFormat="1" ht="15.75" customHeight="1">
      <c r="B73" s="335" t="s">
        <v>45</v>
      </c>
      <c r="C73" s="335"/>
      <c r="D73" s="335"/>
      <c r="E73" s="77"/>
      <c r="F73" s="152"/>
      <c r="G73" s="153"/>
      <c r="H73" s="256">
        <f>ROUND(-H72*10%,2)</f>
        <v>-29.64</v>
      </c>
      <c r="I73" s="145"/>
      <c r="J73" s="145"/>
      <c r="K73" s="145"/>
      <c r="L73" s="257">
        <f>ROUND(-L72*10%,2)</f>
        <v>-30.39</v>
      </c>
      <c r="M73" s="149"/>
      <c r="N73" s="258">
        <f>L73-H73</f>
        <v>-0.75</v>
      </c>
      <c r="O73" s="117">
        <f>IF((H73)=0,"",(N73/H73))</f>
        <v>0.025303643724696356</v>
      </c>
    </row>
    <row r="74" spans="2:15" s="75" customFormat="1" ht="13.5" thickBot="1">
      <c r="B74" s="326" t="s">
        <v>48</v>
      </c>
      <c r="C74" s="326"/>
      <c r="D74" s="326"/>
      <c r="E74" s="157"/>
      <c r="F74" s="158"/>
      <c r="G74" s="159"/>
      <c r="H74" s="160">
        <f>SUM(H72:H73)</f>
        <v>266.7644692</v>
      </c>
      <c r="I74" s="161"/>
      <c r="J74" s="161"/>
      <c r="K74" s="161"/>
      <c r="L74" s="162">
        <f>SUM(L72:L73)</f>
        <v>273.5064822</v>
      </c>
      <c r="M74" s="163"/>
      <c r="N74" s="164">
        <f>L74-H74</f>
        <v>6.742012999999986</v>
      </c>
      <c r="O74" s="165">
        <f>IF((H74)=0,"",(N74/H74))</f>
        <v>0.025273279534634464</v>
      </c>
    </row>
    <row r="75" spans="2:15" s="75" customFormat="1" ht="8.25" customHeight="1" thickBot="1">
      <c r="B75" s="127"/>
      <c r="C75" s="128"/>
      <c r="D75" s="129"/>
      <c r="E75" s="128"/>
      <c r="F75" s="166"/>
      <c r="G75" s="167"/>
      <c r="H75" s="168"/>
      <c r="I75" s="169"/>
      <c r="J75" s="166"/>
      <c r="K75" s="130"/>
      <c r="L75" s="170"/>
      <c r="M75" s="131"/>
      <c r="N75" s="171"/>
      <c r="O75" s="92"/>
    </row>
    <row r="76" ht="10.5" customHeight="1">
      <c r="L76" s="74"/>
    </row>
    <row r="77" spans="2:10" ht="15">
      <c r="B77" s="14" t="s">
        <v>49</v>
      </c>
      <c r="F77" s="172">
        <v>0.0335</v>
      </c>
      <c r="J77" s="172">
        <v>0.0335</v>
      </c>
    </row>
    <row r="78" ht="10.5" customHeight="1"/>
    <row r="79" ht="15">
      <c r="A79" s="173" t="s">
        <v>50</v>
      </c>
    </row>
    <row r="80" ht="10.5" customHeight="1"/>
    <row r="81" ht="15">
      <c r="A81" s="8" t="s">
        <v>51</v>
      </c>
    </row>
    <row r="82" ht="15">
      <c r="A82" s="8" t="s">
        <v>52</v>
      </c>
    </row>
    <row r="84" ht="15">
      <c r="A84" s="13" t="s">
        <v>53</v>
      </c>
    </row>
    <row r="85" ht="15">
      <c r="A85" s="13" t="s">
        <v>54</v>
      </c>
    </row>
    <row r="87" ht="15">
      <c r="A87" s="8" t="s">
        <v>55</v>
      </c>
    </row>
    <row r="88" ht="15">
      <c r="A88" s="8" t="s">
        <v>56</v>
      </c>
    </row>
    <row r="89" ht="15">
      <c r="A89" s="8" t="s">
        <v>57</v>
      </c>
    </row>
    <row r="90" ht="15">
      <c r="A90" s="8" t="s">
        <v>58</v>
      </c>
    </row>
    <row r="91" ht="15">
      <c r="A91" s="8" t="s">
        <v>59</v>
      </c>
    </row>
    <row r="93" spans="1:2" ht="15">
      <c r="A93" s="174"/>
      <c r="B93" s="8" t="s">
        <v>60</v>
      </c>
    </row>
  </sheetData>
  <sheetProtection/>
  <mergeCells count="21">
    <mergeCell ref="N1:O1"/>
    <mergeCell ref="N2:O2"/>
    <mergeCell ref="N6:O6"/>
    <mergeCell ref="N7:O7"/>
    <mergeCell ref="A3:K3"/>
    <mergeCell ref="B10:O10"/>
    <mergeCell ref="B11:O11"/>
    <mergeCell ref="D14:O14"/>
    <mergeCell ref="F20:H20"/>
    <mergeCell ref="J20:L20"/>
    <mergeCell ref="N20:O20"/>
    <mergeCell ref="N3:O3"/>
    <mergeCell ref="N4:O4"/>
    <mergeCell ref="N5:O5"/>
    <mergeCell ref="B74:D74"/>
    <mergeCell ref="D21:D22"/>
    <mergeCell ref="N21:N22"/>
    <mergeCell ref="O21:O22"/>
    <mergeCell ref="B67:D67"/>
    <mergeCell ref="B68:D68"/>
    <mergeCell ref="B73:D73"/>
  </mergeCells>
  <dataValidations count="4">
    <dataValidation type="list" allowBlank="1" showInputMessage="1" showErrorMessage="1" sqref="E51:E52 E54:E60 E63 E42:E49 E23:E40">
      <formula1>'Res (2,000kWh)'!#REF!</formula1>
    </dataValidation>
    <dataValidation type="list" allowBlank="1" showInputMessage="1" showErrorMessage="1" prompt="Select Charge Unit - monthly, per kWh, per kW" sqref="D51:D52 D69 D75 D54:D63 D42:D49 D23:D40">
      <formula1>"Monthly, per kWh, per kW"</formula1>
    </dataValidation>
    <dataValidation type="list" allowBlank="1" showInputMessage="1" showErrorMessage="1" sqref="E75 E69 E61:E62">
      <formula1>'Res (2,000kWh)'!#REF!</formula1>
    </dataValidation>
    <dataValidation type="list" allowBlank="1" showInputMessage="1" showErrorMessage="1" sqref="D16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93"/>
  <sheetViews>
    <sheetView showGridLines="0" zoomScalePageLayoutView="0" workbookViewId="0" topLeftCell="A12">
      <selection activeCell="F31" sqref="F31"/>
    </sheetView>
  </sheetViews>
  <sheetFormatPr defaultColWidth="9.140625" defaultRowHeight="15"/>
  <cols>
    <col min="1" max="1" width="2.140625" style="8" customWidth="1"/>
    <col min="2" max="2" width="44.5742187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8.57421875" style="8" customWidth="1"/>
    <col min="8" max="8" width="9.7109375" style="8" customWidth="1"/>
    <col min="9" max="9" width="2.8515625" style="8" customWidth="1"/>
    <col min="10" max="10" width="12.140625" style="8" customWidth="1"/>
    <col min="11" max="11" width="8.57421875" style="8" customWidth="1"/>
    <col min="12" max="12" width="9.7109375" style="8" customWidth="1"/>
    <col min="13" max="13" width="2.8515625" style="8" customWidth="1"/>
    <col min="14" max="14" width="12.7109375" style="8" bestFit="1" customWidth="1"/>
    <col min="15" max="15" width="10.8515625" style="8" bestFit="1" customWidth="1"/>
    <col min="16" max="16" width="9.710937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42" t="str">
        <f>EBNUMBER</f>
        <v>EB-2013-0116</v>
      </c>
      <c r="O1" s="342"/>
      <c r="P1" s="196"/>
      <c r="T1" s="2">
        <v>1</v>
      </c>
    </row>
    <row r="2" spans="1:16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343">
        <v>8</v>
      </c>
      <c r="O2" s="343"/>
      <c r="P2" s="197"/>
    </row>
    <row r="3" spans="1:16" s="2" customFormat="1" ht="15" customHeight="1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" t="s">
        <v>79</v>
      </c>
      <c r="N3" s="344" t="s">
        <v>80</v>
      </c>
      <c r="O3" s="344"/>
      <c r="P3" s="198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343">
        <v>8</v>
      </c>
      <c r="O4" s="343"/>
      <c r="P4" s="197"/>
    </row>
    <row r="5" spans="3:16" s="2" customFormat="1" ht="15" customHeight="1">
      <c r="C5" s="7"/>
      <c r="D5" s="7"/>
      <c r="E5" s="7"/>
      <c r="L5" s="3" t="s">
        <v>81</v>
      </c>
      <c r="N5" s="345" t="s">
        <v>90</v>
      </c>
      <c r="O5" s="345"/>
      <c r="P5" s="196"/>
    </row>
    <row r="6" spans="12:16" s="2" customFormat="1" ht="9" customHeight="1">
      <c r="L6" s="3"/>
      <c r="N6" s="347"/>
      <c r="O6" s="347"/>
      <c r="P6" s="199"/>
    </row>
    <row r="7" spans="12:16" s="2" customFormat="1" ht="15">
      <c r="L7" s="3" t="s">
        <v>83</v>
      </c>
      <c r="N7" s="346">
        <v>41575</v>
      </c>
      <c r="O7" s="346"/>
      <c r="P7" s="200"/>
    </row>
    <row r="8" spans="14:16" s="2" customFormat="1" ht="15" customHeight="1">
      <c r="N8" s="8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337" t="s">
        <v>3</v>
      </c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/>
    </row>
    <row r="11" spans="2:16" ht="18.75" customHeight="1">
      <c r="B11" s="337" t="s">
        <v>4</v>
      </c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338" t="s">
        <v>68</v>
      </c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7" ht="15">
      <c r="B18" s="13"/>
      <c r="D18" s="14" t="s">
        <v>8</v>
      </c>
      <c r="E18" s="14"/>
      <c r="F18" s="15">
        <v>1000</v>
      </c>
      <c r="G18" s="14" t="s">
        <v>9</v>
      </c>
    </row>
    <row r="19" ht="15">
      <c r="B19" s="13"/>
    </row>
    <row r="20" spans="2:15" ht="15">
      <c r="B20" s="13"/>
      <c r="D20" s="16"/>
      <c r="E20" s="16"/>
      <c r="F20" s="339" t="s">
        <v>10</v>
      </c>
      <c r="G20" s="340"/>
      <c r="H20" s="341"/>
      <c r="J20" s="339" t="s">
        <v>11</v>
      </c>
      <c r="K20" s="340"/>
      <c r="L20" s="341"/>
      <c r="N20" s="339" t="s">
        <v>12</v>
      </c>
      <c r="O20" s="341"/>
    </row>
    <row r="21" spans="2:15" ht="15">
      <c r="B21" s="13"/>
      <c r="D21" s="327" t="s">
        <v>13</v>
      </c>
      <c r="E21" s="17"/>
      <c r="F21" s="18" t="s">
        <v>14</v>
      </c>
      <c r="G21" s="18" t="s">
        <v>15</v>
      </c>
      <c r="H21" s="19" t="s">
        <v>16</v>
      </c>
      <c r="J21" s="18" t="s">
        <v>14</v>
      </c>
      <c r="K21" s="20" t="s">
        <v>15</v>
      </c>
      <c r="L21" s="19" t="s">
        <v>16</v>
      </c>
      <c r="N21" s="329" t="s">
        <v>17</v>
      </c>
      <c r="O21" s="331" t="s">
        <v>18</v>
      </c>
    </row>
    <row r="22" spans="2:15" ht="15">
      <c r="B22" s="13"/>
      <c r="D22" s="328"/>
      <c r="E22" s="17"/>
      <c r="F22" s="21" t="s">
        <v>19</v>
      </c>
      <c r="G22" s="21"/>
      <c r="H22" s="22" t="s">
        <v>19</v>
      </c>
      <c r="J22" s="21" t="s">
        <v>19</v>
      </c>
      <c r="K22" s="22"/>
      <c r="L22" s="22" t="s">
        <v>19</v>
      </c>
      <c r="N22" s="330"/>
      <c r="O22" s="332"/>
    </row>
    <row r="23" spans="2:15" ht="22.5" customHeight="1">
      <c r="B23" s="23" t="s">
        <v>20</v>
      </c>
      <c r="C23" s="23"/>
      <c r="D23" s="24" t="s">
        <v>62</v>
      </c>
      <c r="E23" s="25"/>
      <c r="F23" s="176">
        <v>13</v>
      </c>
      <c r="G23" s="27">
        <v>1</v>
      </c>
      <c r="H23" s="28">
        <f>G23*F23</f>
        <v>13</v>
      </c>
      <c r="I23" s="29"/>
      <c r="J23" s="175">
        <v>13.18</v>
      </c>
      <c r="K23" s="31">
        <v>1</v>
      </c>
      <c r="L23" s="28">
        <f>K23*J23</f>
        <v>13.18</v>
      </c>
      <c r="M23" s="29"/>
      <c r="N23" s="32">
        <f>L23-H23</f>
        <v>0.17999999999999972</v>
      </c>
      <c r="O23" s="33">
        <f>IF((H23)=0,"",(N23/H23))</f>
        <v>0.013846153846153824</v>
      </c>
    </row>
    <row r="24" spans="2:15" ht="22.5" customHeight="1">
      <c r="B24" s="23" t="s">
        <v>102</v>
      </c>
      <c r="C24" s="23"/>
      <c r="D24" s="24" t="s">
        <v>62</v>
      </c>
      <c r="E24" s="25"/>
      <c r="F24" s="255">
        <v>0</v>
      </c>
      <c r="G24" s="27">
        <v>1</v>
      </c>
      <c r="H24" s="249">
        <f>G24*F24</f>
        <v>0</v>
      </c>
      <c r="I24" s="29"/>
      <c r="J24" s="175">
        <v>0</v>
      </c>
      <c r="K24" s="31">
        <v>1</v>
      </c>
      <c r="L24" s="28">
        <f>K24*J24</f>
        <v>0</v>
      </c>
      <c r="M24" s="29"/>
      <c r="N24" s="32">
        <f>L24-H24</f>
        <v>0</v>
      </c>
      <c r="O24" s="33">
        <f>IF((H24)=0,"",(N24/H24))</f>
      </c>
    </row>
    <row r="25" spans="2:15" ht="36.75" customHeight="1">
      <c r="B25" s="66" t="s">
        <v>125</v>
      </c>
      <c r="C25" s="23"/>
      <c r="D25" s="57" t="s">
        <v>62</v>
      </c>
      <c r="E25" s="25"/>
      <c r="F25" s="272">
        <v>0</v>
      </c>
      <c r="G25" s="27">
        <v>1</v>
      </c>
      <c r="H25" s="249">
        <f>G25*F25</f>
        <v>0</v>
      </c>
      <c r="I25" s="29"/>
      <c r="J25" s="30">
        <f>'Res (100kWh)'!J25</f>
        <v>0.79</v>
      </c>
      <c r="K25" s="31">
        <v>1</v>
      </c>
      <c r="L25" s="249">
        <f>K25*J25</f>
        <v>0.79</v>
      </c>
      <c r="M25" s="29"/>
      <c r="N25" s="32">
        <f>L25-H25</f>
        <v>0.79</v>
      </c>
      <c r="O25" s="250">
        <f>IF((H25)=0,"",(N25/H25))</f>
      </c>
    </row>
    <row r="26" spans="2:15" ht="36.75" customHeight="1">
      <c r="B26" s="177" t="s">
        <v>64</v>
      </c>
      <c r="C26" s="23"/>
      <c r="D26" s="57" t="s">
        <v>62</v>
      </c>
      <c r="E26" s="58"/>
      <c r="F26" s="175">
        <v>0</v>
      </c>
      <c r="G26" s="27">
        <v>1</v>
      </c>
      <c r="H26" s="28">
        <f aca="true" t="shared" si="0" ref="H26:H40">G26*F26</f>
        <v>0</v>
      </c>
      <c r="I26" s="29"/>
      <c r="J26" s="30"/>
      <c r="K26" s="31">
        <v>1</v>
      </c>
      <c r="L26" s="28">
        <f aca="true" t="shared" si="1" ref="L26:L40">K26*J26</f>
        <v>0</v>
      </c>
      <c r="M26" s="29"/>
      <c r="N26" s="32">
        <f aca="true" t="shared" si="2" ref="N26:N41">L26-H26</f>
        <v>0</v>
      </c>
      <c r="O26" s="33">
        <f aca="true" t="shared" si="3" ref="O26:O41">IF((H26)=0,"",(N26/H26))</f>
      </c>
    </row>
    <row r="27" spans="2:15" ht="15">
      <c r="B27" s="177" t="s">
        <v>65</v>
      </c>
      <c r="C27" s="23"/>
      <c r="D27" s="24" t="s">
        <v>62</v>
      </c>
      <c r="E27" s="25"/>
      <c r="F27" s="26">
        <v>13.36</v>
      </c>
      <c r="G27" s="27">
        <v>1</v>
      </c>
      <c r="H27" s="28">
        <f t="shared" si="0"/>
        <v>13.36</v>
      </c>
      <c r="I27" s="29"/>
      <c r="J27" s="175">
        <v>0</v>
      </c>
      <c r="K27" s="31">
        <v>1</v>
      </c>
      <c r="L27" s="28">
        <f t="shared" si="1"/>
        <v>0</v>
      </c>
      <c r="M27" s="29"/>
      <c r="N27" s="259">
        <f t="shared" si="2"/>
        <v>-13.36</v>
      </c>
      <c r="O27" s="33">
        <f t="shared" si="3"/>
        <v>-1</v>
      </c>
    </row>
    <row r="28" spans="2:15" ht="15">
      <c r="B28" s="47" t="s">
        <v>66</v>
      </c>
      <c r="C28" s="23"/>
      <c r="D28" s="24" t="s">
        <v>63</v>
      </c>
      <c r="E28" s="25"/>
      <c r="F28" s="253">
        <v>0</v>
      </c>
      <c r="G28" s="27">
        <f aca="true" t="shared" si="4" ref="G28:G33">$F$18</f>
        <v>1000</v>
      </c>
      <c r="H28" s="28">
        <f t="shared" si="0"/>
        <v>0</v>
      </c>
      <c r="I28" s="29"/>
      <c r="J28" s="175"/>
      <c r="K28" s="27">
        <f>$F$18</f>
        <v>1000</v>
      </c>
      <c r="L28" s="28">
        <f t="shared" si="1"/>
        <v>0</v>
      </c>
      <c r="M28" s="29"/>
      <c r="N28" s="32">
        <f t="shared" si="2"/>
        <v>0</v>
      </c>
      <c r="O28" s="33">
        <f t="shared" si="3"/>
      </c>
    </row>
    <row r="29" spans="2:15" ht="15">
      <c r="B29" s="47" t="s">
        <v>67</v>
      </c>
      <c r="C29" s="23"/>
      <c r="D29" s="24" t="s">
        <v>63</v>
      </c>
      <c r="E29" s="25"/>
      <c r="F29" s="253">
        <v>-0.004</v>
      </c>
      <c r="G29" s="27">
        <f t="shared" si="4"/>
        <v>1000</v>
      </c>
      <c r="H29" s="28">
        <f t="shared" si="0"/>
        <v>-4</v>
      </c>
      <c r="I29" s="29"/>
      <c r="J29" s="30">
        <v>0</v>
      </c>
      <c r="K29" s="27">
        <f>$F$18</f>
        <v>1000</v>
      </c>
      <c r="L29" s="28">
        <f t="shared" si="1"/>
        <v>0</v>
      </c>
      <c r="M29" s="29"/>
      <c r="N29" s="32">
        <f t="shared" si="2"/>
        <v>4</v>
      </c>
      <c r="O29" s="33">
        <f t="shared" si="3"/>
        <v>-1</v>
      </c>
    </row>
    <row r="30" spans="2:15" ht="15">
      <c r="B30" s="47" t="s">
        <v>103</v>
      </c>
      <c r="C30" s="23"/>
      <c r="D30" s="24" t="s">
        <v>63</v>
      </c>
      <c r="E30" s="25"/>
      <c r="F30" s="26">
        <v>0</v>
      </c>
      <c r="G30" s="27">
        <f t="shared" si="4"/>
        <v>1000</v>
      </c>
      <c r="H30" s="249">
        <f t="shared" si="0"/>
        <v>0</v>
      </c>
      <c r="I30" s="29"/>
      <c r="J30" s="30">
        <v>0</v>
      </c>
      <c r="K30" s="27">
        <f>$F$18</f>
        <v>1000</v>
      </c>
      <c r="L30" s="249">
        <f>K30*J30</f>
        <v>0</v>
      </c>
      <c r="M30" s="29"/>
      <c r="N30" s="259">
        <f>L30-H30</f>
        <v>0</v>
      </c>
      <c r="O30" s="250">
        <f>IF((H30)=0,"",(N30/H30))</f>
      </c>
    </row>
    <row r="31" spans="2:15" ht="15">
      <c r="B31" s="23" t="s">
        <v>21</v>
      </c>
      <c r="C31" s="23"/>
      <c r="D31" s="24" t="s">
        <v>63</v>
      </c>
      <c r="E31" s="25"/>
      <c r="F31" s="26">
        <v>0.0139</v>
      </c>
      <c r="G31" s="27">
        <f t="shared" si="4"/>
        <v>1000</v>
      </c>
      <c r="H31" s="28">
        <f t="shared" si="0"/>
        <v>13.899999999999999</v>
      </c>
      <c r="I31" s="29"/>
      <c r="J31" s="30">
        <v>0.0141</v>
      </c>
      <c r="K31" s="27">
        <f>$F$18</f>
        <v>1000</v>
      </c>
      <c r="L31" s="28">
        <f t="shared" si="1"/>
        <v>14.1</v>
      </c>
      <c r="M31" s="29"/>
      <c r="N31" s="32">
        <f t="shared" si="2"/>
        <v>0.20000000000000107</v>
      </c>
      <c r="O31" s="33">
        <f t="shared" si="3"/>
        <v>0.014388489208633172</v>
      </c>
    </row>
    <row r="32" spans="2:15" ht="15">
      <c r="B32" s="23" t="s">
        <v>22</v>
      </c>
      <c r="C32" s="23"/>
      <c r="D32" s="24"/>
      <c r="E32" s="25"/>
      <c r="F32" s="26"/>
      <c r="G32" s="27">
        <f t="shared" si="4"/>
        <v>1000</v>
      </c>
      <c r="H32" s="28">
        <f t="shared" si="0"/>
        <v>0</v>
      </c>
      <c r="I32" s="29"/>
      <c r="J32" s="30"/>
      <c r="K32" s="27">
        <f aca="true" t="shared" si="5" ref="K32:K40">$F$18</f>
        <v>1000</v>
      </c>
      <c r="L32" s="28">
        <f t="shared" si="1"/>
        <v>0</v>
      </c>
      <c r="M32" s="29"/>
      <c r="N32" s="32">
        <f t="shared" si="2"/>
        <v>0</v>
      </c>
      <c r="O32" s="33">
        <f t="shared" si="3"/>
      </c>
    </row>
    <row r="33" spans="2:15" ht="15">
      <c r="B33" s="23" t="s">
        <v>124</v>
      </c>
      <c r="C33" s="23"/>
      <c r="D33" s="24" t="s">
        <v>63</v>
      </c>
      <c r="E33" s="25"/>
      <c r="F33" s="26">
        <v>0</v>
      </c>
      <c r="G33" s="27">
        <f t="shared" si="4"/>
        <v>1000</v>
      </c>
      <c r="H33" s="249">
        <f t="shared" si="0"/>
        <v>0</v>
      </c>
      <c r="I33" s="29"/>
      <c r="J33" s="30">
        <v>0.0001</v>
      </c>
      <c r="K33" s="27">
        <f t="shared" si="5"/>
        <v>1000</v>
      </c>
      <c r="L33" s="249">
        <f t="shared" si="1"/>
        <v>0.1</v>
      </c>
      <c r="M33" s="29"/>
      <c r="N33" s="32">
        <f t="shared" si="2"/>
        <v>0.1</v>
      </c>
      <c r="O33" s="250">
        <f t="shared" si="3"/>
      </c>
    </row>
    <row r="34" spans="2:15" ht="15" hidden="1">
      <c r="B34" s="34"/>
      <c r="C34" s="23"/>
      <c r="D34" s="24"/>
      <c r="E34" s="25"/>
      <c r="F34" s="26"/>
      <c r="G34" s="27">
        <f aca="true" t="shared" si="6" ref="G34:G40">$F$18</f>
        <v>1000</v>
      </c>
      <c r="H34" s="28">
        <f t="shared" si="0"/>
        <v>0</v>
      </c>
      <c r="I34" s="29"/>
      <c r="J34" s="30"/>
      <c r="K34" s="27">
        <f t="shared" si="5"/>
        <v>1000</v>
      </c>
      <c r="L34" s="28">
        <f t="shared" si="1"/>
        <v>0</v>
      </c>
      <c r="M34" s="29"/>
      <c r="N34" s="32">
        <f t="shared" si="2"/>
        <v>0</v>
      </c>
      <c r="O34" s="33">
        <f t="shared" si="3"/>
      </c>
    </row>
    <row r="35" spans="2:15" ht="15" hidden="1">
      <c r="B35" s="34"/>
      <c r="C35" s="23"/>
      <c r="D35" s="24"/>
      <c r="E35" s="25"/>
      <c r="F35" s="26"/>
      <c r="G35" s="27">
        <f t="shared" si="6"/>
        <v>1000</v>
      </c>
      <c r="H35" s="28">
        <f t="shared" si="0"/>
        <v>0</v>
      </c>
      <c r="I35" s="29"/>
      <c r="J35" s="30"/>
      <c r="K35" s="27">
        <f t="shared" si="5"/>
        <v>1000</v>
      </c>
      <c r="L35" s="28">
        <f t="shared" si="1"/>
        <v>0</v>
      </c>
      <c r="M35" s="29"/>
      <c r="N35" s="32">
        <f t="shared" si="2"/>
        <v>0</v>
      </c>
      <c r="O35" s="33">
        <f t="shared" si="3"/>
      </c>
    </row>
    <row r="36" spans="2:15" ht="15" hidden="1">
      <c r="B36" s="34"/>
      <c r="C36" s="23"/>
      <c r="D36" s="24"/>
      <c r="E36" s="25"/>
      <c r="F36" s="26"/>
      <c r="G36" s="27">
        <f t="shared" si="6"/>
        <v>1000</v>
      </c>
      <c r="H36" s="28">
        <f t="shared" si="0"/>
        <v>0</v>
      </c>
      <c r="I36" s="29"/>
      <c r="J36" s="30"/>
      <c r="K36" s="27">
        <f t="shared" si="5"/>
        <v>1000</v>
      </c>
      <c r="L36" s="28">
        <f t="shared" si="1"/>
        <v>0</v>
      </c>
      <c r="M36" s="29"/>
      <c r="N36" s="32">
        <f t="shared" si="2"/>
        <v>0</v>
      </c>
      <c r="O36" s="33">
        <f t="shared" si="3"/>
      </c>
    </row>
    <row r="37" spans="2:15" ht="15" hidden="1">
      <c r="B37" s="34"/>
      <c r="C37" s="23"/>
      <c r="D37" s="24"/>
      <c r="E37" s="25"/>
      <c r="F37" s="26"/>
      <c r="G37" s="27">
        <f t="shared" si="6"/>
        <v>1000</v>
      </c>
      <c r="H37" s="28">
        <f t="shared" si="0"/>
        <v>0</v>
      </c>
      <c r="I37" s="29"/>
      <c r="J37" s="30"/>
      <c r="K37" s="27">
        <f t="shared" si="5"/>
        <v>1000</v>
      </c>
      <c r="L37" s="28">
        <f t="shared" si="1"/>
        <v>0</v>
      </c>
      <c r="M37" s="29"/>
      <c r="N37" s="32">
        <f t="shared" si="2"/>
        <v>0</v>
      </c>
      <c r="O37" s="33">
        <f t="shared" si="3"/>
      </c>
    </row>
    <row r="38" spans="2:15" ht="15" hidden="1">
      <c r="B38" s="34"/>
      <c r="C38" s="23"/>
      <c r="D38" s="24"/>
      <c r="E38" s="25"/>
      <c r="F38" s="26"/>
      <c r="G38" s="27">
        <f t="shared" si="6"/>
        <v>1000</v>
      </c>
      <c r="H38" s="28">
        <f t="shared" si="0"/>
        <v>0</v>
      </c>
      <c r="I38" s="29"/>
      <c r="J38" s="30"/>
      <c r="K38" s="27">
        <f t="shared" si="5"/>
        <v>1000</v>
      </c>
      <c r="L38" s="28">
        <f t="shared" si="1"/>
        <v>0</v>
      </c>
      <c r="M38" s="29"/>
      <c r="N38" s="32">
        <f t="shared" si="2"/>
        <v>0</v>
      </c>
      <c r="O38" s="33">
        <f t="shared" si="3"/>
      </c>
    </row>
    <row r="39" spans="2:15" ht="15" hidden="1">
      <c r="B39" s="34"/>
      <c r="C39" s="23"/>
      <c r="D39" s="24"/>
      <c r="E39" s="25"/>
      <c r="F39" s="26"/>
      <c r="G39" s="27">
        <f t="shared" si="6"/>
        <v>1000</v>
      </c>
      <c r="H39" s="28">
        <f t="shared" si="0"/>
        <v>0</v>
      </c>
      <c r="I39" s="29"/>
      <c r="J39" s="30"/>
      <c r="K39" s="27">
        <f t="shared" si="5"/>
        <v>1000</v>
      </c>
      <c r="L39" s="28">
        <f t="shared" si="1"/>
        <v>0</v>
      </c>
      <c r="M39" s="29"/>
      <c r="N39" s="32">
        <f t="shared" si="2"/>
        <v>0</v>
      </c>
      <c r="O39" s="33">
        <f t="shared" si="3"/>
      </c>
    </row>
    <row r="40" spans="2:15" ht="15" hidden="1">
      <c r="B40" s="34"/>
      <c r="C40" s="23"/>
      <c r="D40" s="24"/>
      <c r="E40" s="25"/>
      <c r="F40" s="26"/>
      <c r="G40" s="27">
        <f t="shared" si="6"/>
        <v>1000</v>
      </c>
      <c r="H40" s="28">
        <f t="shared" si="0"/>
        <v>0</v>
      </c>
      <c r="I40" s="29"/>
      <c r="J40" s="30"/>
      <c r="K40" s="27">
        <f t="shared" si="5"/>
        <v>1000</v>
      </c>
      <c r="L40" s="28">
        <f t="shared" si="1"/>
        <v>0</v>
      </c>
      <c r="M40" s="29"/>
      <c r="N40" s="32">
        <f t="shared" si="2"/>
        <v>0</v>
      </c>
      <c r="O40" s="33">
        <f t="shared" si="3"/>
      </c>
    </row>
    <row r="41" spans="2:15" s="35" customFormat="1" ht="15">
      <c r="B41" s="36" t="s">
        <v>24</v>
      </c>
      <c r="C41" s="37"/>
      <c r="D41" s="38"/>
      <c r="E41" s="37"/>
      <c r="F41" s="39"/>
      <c r="G41" s="40"/>
      <c r="H41" s="41">
        <f>SUM(H23:H40)</f>
        <v>36.26</v>
      </c>
      <c r="I41" s="42"/>
      <c r="J41" s="43"/>
      <c r="K41" s="44"/>
      <c r="L41" s="41">
        <f>SUM(L23:L40)</f>
        <v>28.17</v>
      </c>
      <c r="M41" s="42"/>
      <c r="N41" s="260">
        <f t="shared" si="2"/>
        <v>-8.089999999999996</v>
      </c>
      <c r="O41" s="46">
        <f t="shared" si="3"/>
        <v>-0.22311086596800875</v>
      </c>
    </row>
    <row r="42" spans="2:15" ht="15" hidden="1">
      <c r="B42" s="177"/>
      <c r="C42" s="23"/>
      <c r="D42" s="57" t="s">
        <v>62</v>
      </c>
      <c r="E42" s="25"/>
      <c r="F42" s="26"/>
      <c r="G42" s="27">
        <v>1</v>
      </c>
      <c r="H42" s="28">
        <f>G42*F42</f>
        <v>0</v>
      </c>
      <c r="I42" s="29"/>
      <c r="J42" s="175"/>
      <c r="K42" s="31">
        <v>1</v>
      </c>
      <c r="L42" s="28">
        <f>K42*J42</f>
        <v>0</v>
      </c>
      <c r="M42" s="29"/>
      <c r="N42" s="32">
        <f>L42-H42</f>
        <v>0</v>
      </c>
      <c r="O42" s="33">
        <f>IF((H42)=0,"",(N42/H42))</f>
      </c>
    </row>
    <row r="43" spans="2:15" ht="25.5">
      <c r="B43" s="47" t="s">
        <v>25</v>
      </c>
      <c r="C43" s="23"/>
      <c r="D43" s="57" t="s">
        <v>63</v>
      </c>
      <c r="E43" s="58"/>
      <c r="F43" s="253">
        <v>-0.0019</v>
      </c>
      <c r="G43" s="27">
        <f>$F$18</f>
        <v>1000</v>
      </c>
      <c r="H43" s="28">
        <f aca="true" t="shared" si="7" ref="H43:H49">G43*F43</f>
        <v>-1.9</v>
      </c>
      <c r="I43" s="29"/>
      <c r="J43" s="254">
        <v>-0.0017</v>
      </c>
      <c r="K43" s="27">
        <f>$F$18</f>
        <v>1000</v>
      </c>
      <c r="L43" s="28">
        <f aca="true" t="shared" si="8" ref="L43:L49">K43*J43</f>
        <v>-1.7</v>
      </c>
      <c r="M43" s="29"/>
      <c r="N43" s="32">
        <f aca="true" t="shared" si="9" ref="N43:N49">L43-H43</f>
        <v>0.19999999999999996</v>
      </c>
      <c r="O43" s="33">
        <f aca="true" t="shared" si="10" ref="O43:O48">IF((H43)=0,"",(N43/H43))</f>
        <v>-0.10526315789473682</v>
      </c>
    </row>
    <row r="44" spans="2:15" ht="15" hidden="1">
      <c r="B44" s="47"/>
      <c r="C44" s="23"/>
      <c r="D44" s="24" t="s">
        <v>63</v>
      </c>
      <c r="E44" s="25"/>
      <c r="F44" s="26"/>
      <c r="G44" s="27">
        <f>$F$18</f>
        <v>1000</v>
      </c>
      <c r="H44" s="28">
        <f t="shared" si="7"/>
        <v>0</v>
      </c>
      <c r="I44" s="48"/>
      <c r="J44" s="30"/>
      <c r="K44" s="27">
        <f>$F$18</f>
        <v>1000</v>
      </c>
      <c r="L44" s="28">
        <f t="shared" si="8"/>
        <v>0</v>
      </c>
      <c r="M44" s="49"/>
      <c r="N44" s="32">
        <f t="shared" si="9"/>
        <v>0</v>
      </c>
      <c r="O44" s="33">
        <f t="shared" si="10"/>
      </c>
    </row>
    <row r="45" spans="2:15" ht="15" hidden="1">
      <c r="B45" s="47"/>
      <c r="C45" s="23"/>
      <c r="D45" s="24" t="s">
        <v>63</v>
      </c>
      <c r="E45" s="25"/>
      <c r="F45" s="26"/>
      <c r="G45" s="27">
        <f>$F$18</f>
        <v>1000</v>
      </c>
      <c r="H45" s="28">
        <f t="shared" si="7"/>
        <v>0</v>
      </c>
      <c r="I45" s="48"/>
      <c r="J45" s="30"/>
      <c r="K45" s="27">
        <f>$F$18</f>
        <v>1000</v>
      </c>
      <c r="L45" s="28">
        <f t="shared" si="8"/>
        <v>0</v>
      </c>
      <c r="M45" s="49"/>
      <c r="N45" s="32">
        <f t="shared" si="9"/>
        <v>0</v>
      </c>
      <c r="O45" s="33">
        <f t="shared" si="10"/>
      </c>
    </row>
    <row r="46" spans="2:15" ht="15" hidden="1">
      <c r="B46" s="47"/>
      <c r="C46" s="23"/>
      <c r="D46" s="24"/>
      <c r="E46" s="25"/>
      <c r="F46" s="26"/>
      <c r="G46" s="27">
        <f>$F$18</f>
        <v>1000</v>
      </c>
      <c r="H46" s="28">
        <f t="shared" si="7"/>
        <v>0</v>
      </c>
      <c r="I46" s="48"/>
      <c r="J46" s="30"/>
      <c r="K46" s="27">
        <f>$F$18</f>
        <v>1000</v>
      </c>
      <c r="L46" s="28">
        <f t="shared" si="8"/>
        <v>0</v>
      </c>
      <c r="M46" s="49"/>
      <c r="N46" s="32">
        <f t="shared" si="9"/>
        <v>0</v>
      </c>
      <c r="O46" s="33">
        <f t="shared" si="10"/>
      </c>
    </row>
    <row r="47" spans="2:15" ht="15">
      <c r="B47" s="50" t="s">
        <v>26</v>
      </c>
      <c r="C47" s="23"/>
      <c r="D47" s="24" t="s">
        <v>63</v>
      </c>
      <c r="E47" s="25"/>
      <c r="F47" s="26">
        <v>0.0001</v>
      </c>
      <c r="G47" s="27">
        <f>$F$18</f>
        <v>1000</v>
      </c>
      <c r="H47" s="28">
        <f t="shared" si="7"/>
        <v>0.1</v>
      </c>
      <c r="I47" s="29"/>
      <c r="J47" s="30">
        <f>'[2]Rate Schedule '!$E$18</f>
        <v>0.0001</v>
      </c>
      <c r="K47" s="27">
        <f>$F$18</f>
        <v>1000</v>
      </c>
      <c r="L47" s="28">
        <f t="shared" si="8"/>
        <v>0.1</v>
      </c>
      <c r="M47" s="29"/>
      <c r="N47" s="32">
        <f t="shared" si="9"/>
        <v>0</v>
      </c>
      <c r="O47" s="33">
        <f t="shared" si="10"/>
        <v>0</v>
      </c>
    </row>
    <row r="48" spans="2:15" s="35" customFormat="1" ht="15">
      <c r="B48" s="183" t="s">
        <v>27</v>
      </c>
      <c r="C48" s="25"/>
      <c r="D48" s="184" t="s">
        <v>63</v>
      </c>
      <c r="E48" s="25"/>
      <c r="F48" s="185">
        <f>IF(ISBLANK(D16)=TRUE,0,IF(D16="TOU",0.64*$F$58+0.18*$F$59+0.18*$F$60,IF(AND(D16="non-TOU",G62&gt;0),F62,F61)))</f>
        <v>0.08392</v>
      </c>
      <c r="G48" s="27">
        <f>$F$18*(1+$F$77)-$F$18</f>
        <v>33.5</v>
      </c>
      <c r="H48" s="186">
        <f t="shared" si="7"/>
        <v>2.81132</v>
      </c>
      <c r="I48" s="58"/>
      <c r="J48" s="187">
        <f>0.64*$F$58+0.18*$F$59+0.18*$F$60</f>
        <v>0.08392</v>
      </c>
      <c r="K48" s="27">
        <f>$F$18*(1+$J$77)-$F$18</f>
        <v>33.5</v>
      </c>
      <c r="L48" s="186">
        <f t="shared" si="8"/>
        <v>2.81132</v>
      </c>
      <c r="M48" s="58"/>
      <c r="N48" s="188">
        <f t="shared" si="9"/>
        <v>0</v>
      </c>
      <c r="O48" s="189">
        <f t="shared" si="10"/>
        <v>0</v>
      </c>
    </row>
    <row r="49" spans="2:15" ht="15">
      <c r="B49" s="50" t="s">
        <v>28</v>
      </c>
      <c r="C49" s="23"/>
      <c r="D49" s="24" t="s">
        <v>62</v>
      </c>
      <c r="E49" s="25"/>
      <c r="F49" s="180">
        <v>0.79</v>
      </c>
      <c r="G49" s="27">
        <v>1</v>
      </c>
      <c r="H49" s="28">
        <f t="shared" si="7"/>
        <v>0.79</v>
      </c>
      <c r="I49" s="29"/>
      <c r="J49" s="180">
        <v>0.79</v>
      </c>
      <c r="K49" s="27">
        <v>1</v>
      </c>
      <c r="L49" s="28">
        <f t="shared" si="8"/>
        <v>0.79</v>
      </c>
      <c r="M49" s="29"/>
      <c r="N49" s="32">
        <f t="shared" si="9"/>
        <v>0</v>
      </c>
      <c r="O49" s="33"/>
    </row>
    <row r="50" spans="2:15" ht="25.5">
      <c r="B50" s="51" t="s">
        <v>29</v>
      </c>
      <c r="C50" s="52"/>
      <c r="D50" s="52"/>
      <c r="E50" s="52"/>
      <c r="F50" s="53"/>
      <c r="G50" s="54"/>
      <c r="H50" s="55">
        <f>SUM(H42:H49)+H41</f>
        <v>38.061319999999995</v>
      </c>
      <c r="I50" s="42"/>
      <c r="J50" s="54"/>
      <c r="K50" s="56"/>
      <c r="L50" s="55">
        <f>SUM(L42:L49)+L41</f>
        <v>30.17132</v>
      </c>
      <c r="M50" s="42"/>
      <c r="N50" s="260">
        <f aca="true" t="shared" si="11" ref="N50:N68">L50-H50</f>
        <v>-7.8899999999999935</v>
      </c>
      <c r="O50" s="46">
        <f aca="true" t="shared" si="12" ref="O50:O68">IF((H50)=0,"",(N50/H50))</f>
        <v>-0.20729706694355304</v>
      </c>
    </row>
    <row r="51" spans="2:15" ht="15">
      <c r="B51" s="29" t="s">
        <v>30</v>
      </c>
      <c r="C51" s="29"/>
      <c r="D51" s="57" t="s">
        <v>63</v>
      </c>
      <c r="E51" s="58"/>
      <c r="F51" s="30">
        <v>0.0058</v>
      </c>
      <c r="G51" s="59">
        <f>F18*(1+F77)</f>
        <v>1033.5</v>
      </c>
      <c r="H51" s="28">
        <f>G51*F51</f>
        <v>5.9943</v>
      </c>
      <c r="I51" s="29"/>
      <c r="J51" s="30">
        <v>0.006</v>
      </c>
      <c r="K51" s="60">
        <f>F18*(1+J77)</f>
        <v>1033.5</v>
      </c>
      <c r="L51" s="28">
        <f>K51*J51</f>
        <v>6.2010000000000005</v>
      </c>
      <c r="M51" s="29"/>
      <c r="N51" s="32">
        <f t="shared" si="11"/>
        <v>0.20670000000000055</v>
      </c>
      <c r="O51" s="33">
        <f t="shared" si="12"/>
        <v>0.034482758620689745</v>
      </c>
    </row>
    <row r="52" spans="2:15" ht="30">
      <c r="B52" s="61" t="s">
        <v>31</v>
      </c>
      <c r="C52" s="29"/>
      <c r="D52" s="57" t="s">
        <v>63</v>
      </c>
      <c r="E52" s="58"/>
      <c r="F52" s="30">
        <v>0.0039</v>
      </c>
      <c r="G52" s="59">
        <f>G51</f>
        <v>1033.5</v>
      </c>
      <c r="H52" s="28">
        <f>G52*F52</f>
        <v>4.03065</v>
      </c>
      <c r="I52" s="29"/>
      <c r="J52" s="30">
        <v>0.004</v>
      </c>
      <c r="K52" s="60">
        <f>K51</f>
        <v>1033.5</v>
      </c>
      <c r="L52" s="28">
        <f>K52*J52</f>
        <v>4.134</v>
      </c>
      <c r="M52" s="29"/>
      <c r="N52" s="32">
        <f t="shared" si="11"/>
        <v>0.10335000000000072</v>
      </c>
      <c r="O52" s="33">
        <f t="shared" si="12"/>
        <v>0.02564102564102582</v>
      </c>
    </row>
    <row r="53" spans="2:15" ht="25.5">
      <c r="B53" s="51" t="s">
        <v>32</v>
      </c>
      <c r="C53" s="37"/>
      <c r="D53" s="37"/>
      <c r="E53" s="37"/>
      <c r="F53" s="62"/>
      <c r="G53" s="54"/>
      <c r="H53" s="55">
        <f>SUM(H50:H52)</f>
        <v>48.08627</v>
      </c>
      <c r="I53" s="63"/>
      <c r="J53" s="64"/>
      <c r="K53" s="65"/>
      <c r="L53" s="55">
        <f>SUM(L50:L52)</f>
        <v>40.50632</v>
      </c>
      <c r="M53" s="63"/>
      <c r="N53" s="260">
        <f t="shared" si="11"/>
        <v>-7.579949999999997</v>
      </c>
      <c r="O53" s="46">
        <f t="shared" si="12"/>
        <v>-0.15763231375608874</v>
      </c>
    </row>
    <row r="54" spans="2:15" ht="30">
      <c r="B54" s="66" t="s">
        <v>33</v>
      </c>
      <c r="C54" s="23"/>
      <c r="D54" s="24" t="s">
        <v>63</v>
      </c>
      <c r="E54" s="25"/>
      <c r="F54" s="67">
        <v>0.0044</v>
      </c>
      <c r="G54" s="59">
        <f>G52</f>
        <v>1033.5</v>
      </c>
      <c r="H54" s="68">
        <f aca="true" t="shared" si="13" ref="H54:H60">G54*F54</f>
        <v>4.5474000000000006</v>
      </c>
      <c r="I54" s="29"/>
      <c r="J54" s="69">
        <v>0.0044</v>
      </c>
      <c r="K54" s="60">
        <f>K52</f>
        <v>1033.5</v>
      </c>
      <c r="L54" s="68">
        <f aca="true" t="shared" si="14" ref="L54:L60">K54*J54</f>
        <v>4.5474000000000006</v>
      </c>
      <c r="M54" s="29"/>
      <c r="N54" s="32">
        <f t="shared" si="11"/>
        <v>0</v>
      </c>
      <c r="O54" s="70">
        <f t="shared" si="12"/>
        <v>0</v>
      </c>
    </row>
    <row r="55" spans="2:15" ht="30">
      <c r="B55" s="66" t="s">
        <v>34</v>
      </c>
      <c r="C55" s="23"/>
      <c r="D55" s="24" t="s">
        <v>63</v>
      </c>
      <c r="E55" s="25"/>
      <c r="F55" s="67">
        <v>0.0013</v>
      </c>
      <c r="G55" s="59">
        <f>G52</f>
        <v>1033.5</v>
      </c>
      <c r="H55" s="68">
        <f t="shared" si="13"/>
        <v>1.34355</v>
      </c>
      <c r="I55" s="29"/>
      <c r="J55" s="69">
        <v>0.0013</v>
      </c>
      <c r="K55" s="60">
        <f>K52</f>
        <v>1033.5</v>
      </c>
      <c r="L55" s="68">
        <f t="shared" si="14"/>
        <v>1.34355</v>
      </c>
      <c r="M55" s="29"/>
      <c r="N55" s="32">
        <f t="shared" si="11"/>
        <v>0</v>
      </c>
      <c r="O55" s="70">
        <f t="shared" si="12"/>
        <v>0</v>
      </c>
    </row>
    <row r="56" spans="2:15" ht="15">
      <c r="B56" s="23" t="s">
        <v>35</v>
      </c>
      <c r="C56" s="23"/>
      <c r="D56" s="24" t="s">
        <v>62</v>
      </c>
      <c r="E56" s="25"/>
      <c r="F56" s="178">
        <v>0.25</v>
      </c>
      <c r="G56" s="27">
        <v>1</v>
      </c>
      <c r="H56" s="68">
        <f t="shared" si="13"/>
        <v>0.25</v>
      </c>
      <c r="I56" s="29"/>
      <c r="J56" s="179">
        <v>0.25</v>
      </c>
      <c r="K56" s="31">
        <v>1</v>
      </c>
      <c r="L56" s="68">
        <f t="shared" si="14"/>
        <v>0.25</v>
      </c>
      <c r="M56" s="29"/>
      <c r="N56" s="32">
        <f t="shared" si="11"/>
        <v>0</v>
      </c>
      <c r="O56" s="70">
        <f t="shared" si="12"/>
        <v>0</v>
      </c>
    </row>
    <row r="57" spans="2:15" ht="15">
      <c r="B57" s="23" t="s">
        <v>36</v>
      </c>
      <c r="C57" s="23"/>
      <c r="D57" s="24" t="s">
        <v>63</v>
      </c>
      <c r="E57" s="25"/>
      <c r="F57" s="67">
        <v>0.007</v>
      </c>
      <c r="G57" s="71">
        <f>F18</f>
        <v>1000</v>
      </c>
      <c r="H57" s="68">
        <f t="shared" si="13"/>
        <v>7</v>
      </c>
      <c r="I57" s="29"/>
      <c r="J57" s="69">
        <f>0.007</f>
        <v>0.007</v>
      </c>
      <c r="K57" s="72">
        <f>F18</f>
        <v>1000</v>
      </c>
      <c r="L57" s="68">
        <f t="shared" si="14"/>
        <v>7</v>
      </c>
      <c r="M57" s="29"/>
      <c r="N57" s="32">
        <f t="shared" si="11"/>
        <v>0</v>
      </c>
      <c r="O57" s="70">
        <f t="shared" si="12"/>
        <v>0</v>
      </c>
    </row>
    <row r="58" spans="2:19" ht="15">
      <c r="B58" s="50" t="s">
        <v>37</v>
      </c>
      <c r="C58" s="23"/>
      <c r="D58" s="24" t="s">
        <v>63</v>
      </c>
      <c r="E58" s="25"/>
      <c r="F58" s="73">
        <v>0.067</v>
      </c>
      <c r="G58" s="71">
        <f>0.64*$F$18</f>
        <v>640</v>
      </c>
      <c r="H58" s="68">
        <f t="shared" si="13"/>
        <v>42.88</v>
      </c>
      <c r="I58" s="29"/>
      <c r="J58" s="67">
        <v>0.067</v>
      </c>
      <c r="K58" s="71">
        <f>G58</f>
        <v>640</v>
      </c>
      <c r="L58" s="68">
        <f t="shared" si="14"/>
        <v>42.88</v>
      </c>
      <c r="M58" s="29"/>
      <c r="N58" s="32">
        <f t="shared" si="11"/>
        <v>0</v>
      </c>
      <c r="O58" s="70">
        <f t="shared" si="12"/>
        <v>0</v>
      </c>
      <c r="S58" s="74"/>
    </row>
    <row r="59" spans="2:19" ht="15">
      <c r="B59" s="50" t="s">
        <v>38</v>
      </c>
      <c r="C59" s="23"/>
      <c r="D59" s="24" t="s">
        <v>63</v>
      </c>
      <c r="E59" s="25"/>
      <c r="F59" s="73">
        <v>0.104</v>
      </c>
      <c r="G59" s="71">
        <f>0.18*$F$18</f>
        <v>180</v>
      </c>
      <c r="H59" s="68">
        <f t="shared" si="13"/>
        <v>18.72</v>
      </c>
      <c r="I59" s="29"/>
      <c r="J59" s="67">
        <v>0.104</v>
      </c>
      <c r="K59" s="71">
        <f>G59</f>
        <v>180</v>
      </c>
      <c r="L59" s="68">
        <f t="shared" si="14"/>
        <v>18.72</v>
      </c>
      <c r="M59" s="29"/>
      <c r="N59" s="32">
        <f t="shared" si="11"/>
        <v>0</v>
      </c>
      <c r="O59" s="70">
        <f t="shared" si="12"/>
        <v>0</v>
      </c>
      <c r="S59" s="74"/>
    </row>
    <row r="60" spans="2:19" ht="15">
      <c r="B60" s="13" t="s">
        <v>39</v>
      </c>
      <c r="C60" s="23"/>
      <c r="D60" s="24" t="s">
        <v>63</v>
      </c>
      <c r="E60" s="25"/>
      <c r="F60" s="73">
        <v>0.124</v>
      </c>
      <c r="G60" s="71">
        <f>0.18*$F$18</f>
        <v>180</v>
      </c>
      <c r="H60" s="68">
        <f t="shared" si="13"/>
        <v>22.32</v>
      </c>
      <c r="I60" s="29"/>
      <c r="J60" s="67">
        <v>0.124</v>
      </c>
      <c r="K60" s="71">
        <f>G60</f>
        <v>180</v>
      </c>
      <c r="L60" s="68">
        <f t="shared" si="14"/>
        <v>22.32</v>
      </c>
      <c r="M60" s="29"/>
      <c r="N60" s="32">
        <f t="shared" si="11"/>
        <v>0</v>
      </c>
      <c r="O60" s="70">
        <f t="shared" si="12"/>
        <v>0</v>
      </c>
      <c r="S60" s="74"/>
    </row>
    <row r="61" spans="2:15" s="75" customFormat="1" ht="15">
      <c r="B61" s="76" t="s">
        <v>40</v>
      </c>
      <c r="C61" s="77"/>
      <c r="D61" s="78" t="s">
        <v>63</v>
      </c>
      <c r="E61" s="79"/>
      <c r="F61" s="73">
        <v>0.075</v>
      </c>
      <c r="G61" s="80">
        <f>IF(AND($T$1=1,F18&gt;=600),600,IF(AND($T$1=1,AND(F18&lt;600,F18&gt;=0)),F18,IF(AND($T$1=2,F18&gt;=1000),1000,IF(AND($T$1=2,AND(F18&lt;1000,F18&gt;=0)),F18))))</f>
        <v>600</v>
      </c>
      <c r="H61" s="68">
        <f>G61*F61</f>
        <v>45</v>
      </c>
      <c r="I61" s="81"/>
      <c r="J61" s="67">
        <v>0.075</v>
      </c>
      <c r="K61" s="80">
        <f>G61</f>
        <v>600</v>
      </c>
      <c r="L61" s="68">
        <f>K61*J61</f>
        <v>45</v>
      </c>
      <c r="M61" s="81"/>
      <c r="N61" s="82">
        <f t="shared" si="11"/>
        <v>0</v>
      </c>
      <c r="O61" s="70">
        <f t="shared" si="12"/>
        <v>0</v>
      </c>
    </row>
    <row r="62" spans="2:15" s="75" customFormat="1" ht="15.75" thickBot="1">
      <c r="B62" s="76" t="s">
        <v>41</v>
      </c>
      <c r="C62" s="77"/>
      <c r="D62" s="78" t="s">
        <v>63</v>
      </c>
      <c r="E62" s="79"/>
      <c r="F62" s="73">
        <v>0.088</v>
      </c>
      <c r="G62" s="80">
        <f>IF(AND($T$1=1,F18&gt;=600),F18-600,IF(AND($T$1=1,AND(F18&lt;600,F18&gt;=0)),0,IF(AND($T$1=2,F18&gt;=1000),F18-1000,IF(AND($T$1=2,AND(F18&lt;1000,F18&gt;=0)),0))))</f>
        <v>400</v>
      </c>
      <c r="H62" s="68">
        <f>G62*F62</f>
        <v>35.199999999999996</v>
      </c>
      <c r="I62" s="81"/>
      <c r="J62" s="67">
        <v>0.088</v>
      </c>
      <c r="K62" s="80">
        <f>G62</f>
        <v>400</v>
      </c>
      <c r="L62" s="68">
        <f>K62*J62</f>
        <v>35.199999999999996</v>
      </c>
      <c r="M62" s="81"/>
      <c r="N62" s="82">
        <f t="shared" si="11"/>
        <v>0</v>
      </c>
      <c r="O62" s="70">
        <f t="shared" si="12"/>
        <v>0</v>
      </c>
    </row>
    <row r="63" spans="2:15" ht="8.25" customHeight="1" thickBot="1">
      <c r="B63" s="83"/>
      <c r="C63" s="84"/>
      <c r="D63" s="85"/>
      <c r="E63" s="84"/>
      <c r="F63" s="86"/>
      <c r="G63" s="87"/>
      <c r="H63" s="88"/>
      <c r="I63" s="89"/>
      <c r="J63" s="86"/>
      <c r="K63" s="90"/>
      <c r="L63" s="88"/>
      <c r="M63" s="89"/>
      <c r="N63" s="91"/>
      <c r="O63" s="92"/>
    </row>
    <row r="64" spans="2:19" ht="15">
      <c r="B64" s="93" t="s">
        <v>42</v>
      </c>
      <c r="C64" s="23"/>
      <c r="D64" s="23"/>
      <c r="E64" s="23"/>
      <c r="F64" s="94"/>
      <c r="G64" s="95"/>
      <c r="H64" s="96">
        <f>SUM(H54:H60,H53)</f>
        <v>145.14722</v>
      </c>
      <c r="I64" s="97"/>
      <c r="J64" s="98"/>
      <c r="K64" s="98"/>
      <c r="L64" s="192">
        <f>SUM(L54:L60,L53)</f>
        <v>137.56727</v>
      </c>
      <c r="M64" s="99"/>
      <c r="N64" s="266">
        <f>L64-H64</f>
        <v>-7.579949999999997</v>
      </c>
      <c r="O64" s="101">
        <f>IF((H64)=0,"",(N64/H64))</f>
        <v>-0.05222249520176822</v>
      </c>
      <c r="S64" s="74"/>
    </row>
    <row r="65" spans="2:19" ht="15">
      <c r="B65" s="102" t="s">
        <v>43</v>
      </c>
      <c r="C65" s="23"/>
      <c r="D65" s="23"/>
      <c r="E65" s="23"/>
      <c r="F65" s="103">
        <v>0.13</v>
      </c>
      <c r="G65" s="104"/>
      <c r="H65" s="105">
        <f>H64*F65</f>
        <v>18.869138600000003</v>
      </c>
      <c r="I65" s="106"/>
      <c r="J65" s="107">
        <v>0.13</v>
      </c>
      <c r="K65" s="106"/>
      <c r="L65" s="108">
        <f>L64*J65</f>
        <v>17.883745100000002</v>
      </c>
      <c r="M65" s="109"/>
      <c r="N65" s="267">
        <f t="shared" si="11"/>
        <v>-0.9853935000000007</v>
      </c>
      <c r="O65" s="111">
        <f t="shared" si="12"/>
        <v>-0.052222495201768276</v>
      </c>
      <c r="S65" s="74"/>
    </row>
    <row r="66" spans="2:19" ht="15">
      <c r="B66" s="112" t="s">
        <v>44</v>
      </c>
      <c r="C66" s="23"/>
      <c r="D66" s="23"/>
      <c r="E66" s="23"/>
      <c r="F66" s="113"/>
      <c r="G66" s="104"/>
      <c r="H66" s="105">
        <f>H64+H65</f>
        <v>164.01635860000002</v>
      </c>
      <c r="I66" s="106"/>
      <c r="J66" s="106"/>
      <c r="K66" s="106"/>
      <c r="L66" s="108">
        <f>L64+L65</f>
        <v>155.4510151</v>
      </c>
      <c r="M66" s="109"/>
      <c r="N66" s="267">
        <f t="shared" si="11"/>
        <v>-8.565343500000012</v>
      </c>
      <c r="O66" s="111">
        <f t="shared" si="12"/>
        <v>-0.05222249520176831</v>
      </c>
      <c r="S66" s="74"/>
    </row>
    <row r="67" spans="2:15" ht="15.75" customHeight="1">
      <c r="B67" s="333" t="s">
        <v>45</v>
      </c>
      <c r="C67" s="333"/>
      <c r="D67" s="333"/>
      <c r="E67" s="23"/>
      <c r="F67" s="113"/>
      <c r="G67" s="104"/>
      <c r="H67" s="263">
        <f>ROUND(-H66*10%,2)</f>
        <v>-16.4</v>
      </c>
      <c r="I67" s="106"/>
      <c r="J67" s="106"/>
      <c r="K67" s="106"/>
      <c r="L67" s="264">
        <f>ROUND(-L66*10%,2)</f>
        <v>-15.55</v>
      </c>
      <c r="M67" s="109"/>
      <c r="N67" s="116">
        <f t="shared" si="11"/>
        <v>0.8499999999999979</v>
      </c>
      <c r="O67" s="117">
        <f t="shared" si="12"/>
        <v>-0.0518292682926828</v>
      </c>
    </row>
    <row r="68" spans="2:15" ht="15.75" thickBot="1">
      <c r="B68" s="334" t="s">
        <v>46</v>
      </c>
      <c r="C68" s="334"/>
      <c r="D68" s="334"/>
      <c r="E68" s="118"/>
      <c r="F68" s="119"/>
      <c r="G68" s="120"/>
      <c r="H68" s="121">
        <f>H66+H67</f>
        <v>147.6163586</v>
      </c>
      <c r="I68" s="122"/>
      <c r="J68" s="122"/>
      <c r="K68" s="122"/>
      <c r="L68" s="123">
        <f>L66+L67</f>
        <v>139.9010151</v>
      </c>
      <c r="M68" s="124"/>
      <c r="N68" s="268">
        <f t="shared" si="11"/>
        <v>-7.715343500000017</v>
      </c>
      <c r="O68" s="126">
        <f t="shared" si="12"/>
        <v>-0.05226618223869409</v>
      </c>
    </row>
    <row r="69" spans="2:15" s="75" customFormat="1" ht="8.25" customHeight="1" thickBot="1">
      <c r="B69" s="127"/>
      <c r="C69" s="128"/>
      <c r="D69" s="129"/>
      <c r="E69" s="128"/>
      <c r="F69" s="86"/>
      <c r="G69" s="130"/>
      <c r="H69" s="88"/>
      <c r="I69" s="131"/>
      <c r="J69" s="86"/>
      <c r="K69" s="132"/>
      <c r="L69" s="88"/>
      <c r="M69" s="131"/>
      <c r="N69" s="133"/>
      <c r="O69" s="92"/>
    </row>
    <row r="70" spans="2:15" s="75" customFormat="1" ht="12.75">
      <c r="B70" s="134" t="s">
        <v>47</v>
      </c>
      <c r="C70" s="77"/>
      <c r="D70" s="77"/>
      <c r="E70" s="77"/>
      <c r="F70" s="135"/>
      <c r="G70" s="136"/>
      <c r="H70" s="137">
        <f>SUM(H61:H62,H53,H54:H57)</f>
        <v>141.42722</v>
      </c>
      <c r="I70" s="138"/>
      <c r="J70" s="139"/>
      <c r="K70" s="139"/>
      <c r="L70" s="191">
        <f>SUM(L61:L62,L53,L54:L57)</f>
        <v>133.84726999999998</v>
      </c>
      <c r="M70" s="140"/>
      <c r="N70" s="269">
        <f>L70-H70</f>
        <v>-7.579950000000025</v>
      </c>
      <c r="O70" s="101">
        <f>IF((H70)=0,"",(N70/H70))</f>
        <v>-0.05359611820129127</v>
      </c>
    </row>
    <row r="71" spans="2:15" s="75" customFormat="1" ht="12.75">
      <c r="B71" s="142" t="s">
        <v>43</v>
      </c>
      <c r="C71" s="77"/>
      <c r="D71" s="77"/>
      <c r="E71" s="77"/>
      <c r="F71" s="143">
        <v>0.13</v>
      </c>
      <c r="G71" s="136"/>
      <c r="H71" s="144">
        <f>H70*F71</f>
        <v>18.3855386</v>
      </c>
      <c r="I71" s="145"/>
      <c r="J71" s="146">
        <v>0.13</v>
      </c>
      <c r="K71" s="147"/>
      <c r="L71" s="148">
        <f>L70*J71</f>
        <v>17.4001451</v>
      </c>
      <c r="M71" s="149"/>
      <c r="N71" s="270">
        <f>L71-H71</f>
        <v>-0.9853935000000007</v>
      </c>
      <c r="O71" s="111">
        <f>IF((H71)=0,"",(N71/H71))</f>
        <v>-0.053596118201291135</v>
      </c>
    </row>
    <row r="72" spans="2:15" s="75" customFormat="1" ht="12.75">
      <c r="B72" s="151" t="s">
        <v>44</v>
      </c>
      <c r="C72" s="77"/>
      <c r="D72" s="77"/>
      <c r="E72" s="77"/>
      <c r="F72" s="152"/>
      <c r="G72" s="153"/>
      <c r="H72" s="144">
        <f>H70+H71</f>
        <v>159.8127586</v>
      </c>
      <c r="I72" s="145"/>
      <c r="J72" s="145"/>
      <c r="K72" s="145"/>
      <c r="L72" s="148">
        <f>L70+L71</f>
        <v>151.24741509999998</v>
      </c>
      <c r="M72" s="149"/>
      <c r="N72" s="270">
        <f>L72-H72</f>
        <v>-8.565343500000012</v>
      </c>
      <c r="O72" s="111">
        <f>IF((H72)=0,"",(N72/H72))</f>
        <v>-0.05359611820129117</v>
      </c>
    </row>
    <row r="73" spans="2:15" s="75" customFormat="1" ht="15.75" customHeight="1">
      <c r="B73" s="335" t="s">
        <v>45</v>
      </c>
      <c r="C73" s="335"/>
      <c r="D73" s="335"/>
      <c r="E73" s="77"/>
      <c r="F73" s="152"/>
      <c r="G73" s="153"/>
      <c r="H73" s="256">
        <f>ROUND(-H72*10%,2)</f>
        <v>-15.98</v>
      </c>
      <c r="I73" s="145"/>
      <c r="J73" s="145"/>
      <c r="K73" s="145"/>
      <c r="L73" s="257">
        <f>ROUND(-L72*10%,2)</f>
        <v>-15.12</v>
      </c>
      <c r="M73" s="149"/>
      <c r="N73" s="156">
        <f>L73-H73</f>
        <v>0.8600000000000012</v>
      </c>
      <c r="O73" s="117">
        <f>IF((H73)=0,"",(N73/H73))</f>
        <v>-0.05381727158948693</v>
      </c>
    </row>
    <row r="74" spans="2:15" s="75" customFormat="1" ht="13.5" thickBot="1">
      <c r="B74" s="326" t="s">
        <v>48</v>
      </c>
      <c r="C74" s="326"/>
      <c r="D74" s="326"/>
      <c r="E74" s="157"/>
      <c r="F74" s="158"/>
      <c r="G74" s="159"/>
      <c r="H74" s="160">
        <f>SUM(H72:H73)</f>
        <v>143.8327586</v>
      </c>
      <c r="I74" s="161"/>
      <c r="J74" s="161"/>
      <c r="K74" s="161"/>
      <c r="L74" s="162">
        <f>SUM(L72:L73)</f>
        <v>136.12741509999998</v>
      </c>
      <c r="M74" s="163"/>
      <c r="N74" s="271">
        <f>L74-H74</f>
        <v>-7.705343500000026</v>
      </c>
      <c r="O74" s="165">
        <f>IF((H74)=0,"",(N74/H74))</f>
        <v>-0.05357154778230073</v>
      </c>
    </row>
    <row r="75" spans="2:15" s="75" customFormat="1" ht="8.25" customHeight="1" thickBot="1">
      <c r="B75" s="127"/>
      <c r="C75" s="128"/>
      <c r="D75" s="129"/>
      <c r="E75" s="128"/>
      <c r="F75" s="166"/>
      <c r="G75" s="167"/>
      <c r="H75" s="168"/>
      <c r="I75" s="169"/>
      <c r="J75" s="166"/>
      <c r="K75" s="130"/>
      <c r="L75" s="170"/>
      <c r="M75" s="131"/>
      <c r="N75" s="171"/>
      <c r="O75" s="92"/>
    </row>
    <row r="76" ht="10.5" customHeight="1">
      <c r="L76" s="74"/>
    </row>
    <row r="77" spans="2:10" ht="15">
      <c r="B77" s="14" t="s">
        <v>49</v>
      </c>
      <c r="F77" s="172">
        <v>0.0335</v>
      </c>
      <c r="J77" s="172">
        <v>0.0335</v>
      </c>
    </row>
    <row r="78" ht="10.5" customHeight="1"/>
    <row r="79" ht="15">
      <c r="A79" s="173" t="s">
        <v>50</v>
      </c>
    </row>
    <row r="80" ht="10.5" customHeight="1"/>
    <row r="81" ht="15">
      <c r="A81" s="8" t="s">
        <v>51</v>
      </c>
    </row>
    <row r="82" ht="15">
      <c r="A82" s="8" t="s">
        <v>52</v>
      </c>
    </row>
    <row r="84" ht="15">
      <c r="A84" s="13" t="s">
        <v>53</v>
      </c>
    </row>
    <row r="85" ht="15">
      <c r="A85" s="13" t="s">
        <v>54</v>
      </c>
    </row>
    <row r="87" ht="15">
      <c r="A87" s="8" t="s">
        <v>55</v>
      </c>
    </row>
    <row r="88" ht="15">
      <c r="A88" s="8" t="s">
        <v>56</v>
      </c>
    </row>
    <row r="89" ht="15">
      <c r="A89" s="8" t="s">
        <v>57</v>
      </c>
    </row>
    <row r="90" ht="15">
      <c r="A90" s="8" t="s">
        <v>58</v>
      </c>
    </row>
    <row r="91" ht="15">
      <c r="A91" s="8" t="s">
        <v>59</v>
      </c>
    </row>
    <row r="93" spans="1:2" ht="15">
      <c r="A93" s="174"/>
      <c r="B93" s="8" t="s">
        <v>60</v>
      </c>
    </row>
  </sheetData>
  <sheetProtection/>
  <mergeCells count="21">
    <mergeCell ref="N1:O1"/>
    <mergeCell ref="N2:O2"/>
    <mergeCell ref="N6:O6"/>
    <mergeCell ref="N7:O7"/>
    <mergeCell ref="A3:K3"/>
    <mergeCell ref="B10:O10"/>
    <mergeCell ref="B11:O11"/>
    <mergeCell ref="D14:O14"/>
    <mergeCell ref="F20:H20"/>
    <mergeCell ref="J20:L20"/>
    <mergeCell ref="N20:O20"/>
    <mergeCell ref="N3:O3"/>
    <mergeCell ref="N4:O4"/>
    <mergeCell ref="N5:O5"/>
    <mergeCell ref="B74:D74"/>
    <mergeCell ref="D21:D22"/>
    <mergeCell ref="N21:N22"/>
    <mergeCell ref="O21:O22"/>
    <mergeCell ref="B67:D67"/>
    <mergeCell ref="B68:D68"/>
    <mergeCell ref="B73:D73"/>
  </mergeCells>
  <dataValidations count="4">
    <dataValidation type="list" allowBlank="1" showInputMessage="1" showErrorMessage="1" sqref="E51:E52 E54:E60 E63 E42:E49 E23:E40">
      <formula1>'GS&lt;50 (1,000kWh)'!#REF!</formula1>
    </dataValidation>
    <dataValidation type="list" allowBlank="1" showInputMessage="1" showErrorMessage="1" prompt="Select Charge Unit - monthly, per kWh, per kW" sqref="D51:D52 D69 D75 D54:D63 D42:D49 D23:D40">
      <formula1>"Monthly, per kWh, per kW"</formula1>
    </dataValidation>
    <dataValidation type="list" allowBlank="1" showInputMessage="1" showErrorMessage="1" sqref="E75 E69 E61:E62">
      <formula1>'GS&lt;50 (1,000kWh)'!#REF!</formula1>
    </dataValidation>
    <dataValidation type="list" allowBlank="1" showInputMessage="1" showErrorMessage="1" sqref="D16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93"/>
  <sheetViews>
    <sheetView showGridLines="0" zoomScalePageLayoutView="0" workbookViewId="0" topLeftCell="A53">
      <selection activeCell="N74" sqref="N74"/>
    </sheetView>
  </sheetViews>
  <sheetFormatPr defaultColWidth="9.140625" defaultRowHeight="15"/>
  <cols>
    <col min="1" max="1" width="2.140625" style="8" customWidth="1"/>
    <col min="2" max="2" width="44.5742187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8.57421875" style="8" customWidth="1"/>
    <col min="8" max="8" width="9.7109375" style="8" customWidth="1"/>
    <col min="9" max="9" width="2.8515625" style="8" customWidth="1"/>
    <col min="10" max="10" width="12.140625" style="8" customWidth="1"/>
    <col min="11" max="11" width="8.57421875" style="8" customWidth="1"/>
    <col min="12" max="12" width="9.7109375" style="8" customWidth="1"/>
    <col min="13" max="13" width="2.8515625" style="8" customWidth="1"/>
    <col min="14" max="14" width="12.7109375" style="8" bestFit="1" customWidth="1"/>
    <col min="15" max="15" width="10.8515625" style="8" bestFit="1" customWidth="1"/>
    <col min="16" max="16" width="9.5742187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42" t="str">
        <f>EBNUMBER</f>
        <v>EB-2013-0116</v>
      </c>
      <c r="O1" s="342"/>
      <c r="P1" s="196"/>
      <c r="T1" s="2">
        <v>1</v>
      </c>
    </row>
    <row r="2" spans="1:16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343">
        <v>8</v>
      </c>
      <c r="O2" s="343"/>
      <c r="P2" s="197"/>
    </row>
    <row r="3" spans="1:16" s="2" customFormat="1" ht="15" customHeight="1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" t="s">
        <v>79</v>
      </c>
      <c r="N3" s="344" t="s">
        <v>80</v>
      </c>
      <c r="O3" s="344"/>
      <c r="P3" s="198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343">
        <v>9</v>
      </c>
      <c r="O4" s="343"/>
      <c r="P4" s="197"/>
    </row>
    <row r="5" spans="3:16" s="2" customFormat="1" ht="15" customHeight="1">
      <c r="C5" s="7"/>
      <c r="D5" s="7"/>
      <c r="E5" s="7"/>
      <c r="L5" s="3" t="s">
        <v>81</v>
      </c>
      <c r="N5" s="345" t="s">
        <v>91</v>
      </c>
      <c r="O5" s="345"/>
      <c r="P5" s="196"/>
    </row>
    <row r="6" spans="12:16" s="2" customFormat="1" ht="9" customHeight="1">
      <c r="L6" s="3"/>
      <c r="N6" s="347"/>
      <c r="O6" s="347"/>
      <c r="P6" s="199"/>
    </row>
    <row r="7" spans="12:16" s="2" customFormat="1" ht="15">
      <c r="L7" s="3" t="s">
        <v>83</v>
      </c>
      <c r="N7" s="346">
        <v>41575</v>
      </c>
      <c r="O7" s="346"/>
      <c r="P7" s="200"/>
    </row>
    <row r="8" spans="14:16" s="2" customFormat="1" ht="15" customHeight="1">
      <c r="N8" s="8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337" t="s">
        <v>3</v>
      </c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/>
    </row>
    <row r="11" spans="2:16" ht="18.75" customHeight="1">
      <c r="B11" s="337" t="s">
        <v>4</v>
      </c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338" t="s">
        <v>68</v>
      </c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7" ht="15">
      <c r="B18" s="13"/>
      <c r="D18" s="14" t="s">
        <v>8</v>
      </c>
      <c r="E18" s="14"/>
      <c r="F18" s="15">
        <v>2000</v>
      </c>
      <c r="G18" s="14" t="s">
        <v>9</v>
      </c>
    </row>
    <row r="19" ht="15">
      <c r="B19" s="13"/>
    </row>
    <row r="20" spans="2:15" ht="15">
      <c r="B20" s="13"/>
      <c r="D20" s="16"/>
      <c r="E20" s="16"/>
      <c r="F20" s="339" t="s">
        <v>10</v>
      </c>
      <c r="G20" s="340"/>
      <c r="H20" s="341"/>
      <c r="J20" s="339" t="s">
        <v>11</v>
      </c>
      <c r="K20" s="340"/>
      <c r="L20" s="341"/>
      <c r="N20" s="339" t="s">
        <v>12</v>
      </c>
      <c r="O20" s="341"/>
    </row>
    <row r="21" spans="2:15" ht="15">
      <c r="B21" s="13"/>
      <c r="D21" s="327" t="s">
        <v>13</v>
      </c>
      <c r="E21" s="17"/>
      <c r="F21" s="18" t="s">
        <v>14</v>
      </c>
      <c r="G21" s="18" t="s">
        <v>15</v>
      </c>
      <c r="H21" s="19" t="s">
        <v>16</v>
      </c>
      <c r="J21" s="18" t="s">
        <v>14</v>
      </c>
      <c r="K21" s="20" t="s">
        <v>15</v>
      </c>
      <c r="L21" s="19" t="s">
        <v>16</v>
      </c>
      <c r="N21" s="329" t="s">
        <v>17</v>
      </c>
      <c r="O21" s="331" t="s">
        <v>18</v>
      </c>
    </row>
    <row r="22" spans="2:15" ht="15">
      <c r="B22" s="13"/>
      <c r="D22" s="328"/>
      <c r="E22" s="17"/>
      <c r="F22" s="21" t="s">
        <v>19</v>
      </c>
      <c r="G22" s="21"/>
      <c r="H22" s="22" t="s">
        <v>19</v>
      </c>
      <c r="J22" s="21" t="s">
        <v>19</v>
      </c>
      <c r="K22" s="22"/>
      <c r="L22" s="22" t="s">
        <v>19</v>
      </c>
      <c r="N22" s="330"/>
      <c r="O22" s="332"/>
    </row>
    <row r="23" spans="2:15" ht="22.5" customHeight="1">
      <c r="B23" s="23" t="s">
        <v>20</v>
      </c>
      <c r="C23" s="23"/>
      <c r="D23" s="24" t="s">
        <v>62</v>
      </c>
      <c r="E23" s="25"/>
      <c r="F23" s="176">
        <f>'GS&lt;50 (1,000kWh)'!F23</f>
        <v>13</v>
      </c>
      <c r="G23" s="27">
        <v>1</v>
      </c>
      <c r="H23" s="28">
        <f>G23*F23</f>
        <v>13</v>
      </c>
      <c r="I23" s="29"/>
      <c r="J23" s="175">
        <f>'GS&lt;50 (1,000kWh)'!J23</f>
        <v>13.18</v>
      </c>
      <c r="K23" s="31">
        <v>1</v>
      </c>
      <c r="L23" s="28">
        <f>K23*J23</f>
        <v>13.18</v>
      </c>
      <c r="M23" s="29"/>
      <c r="N23" s="32">
        <f>L23-H23</f>
        <v>0.17999999999999972</v>
      </c>
      <c r="O23" s="33">
        <f>IF((H23)=0,"",(N23/H23))</f>
        <v>0.013846153846153824</v>
      </c>
    </row>
    <row r="24" spans="2:15" ht="22.5" customHeight="1">
      <c r="B24" s="23" t="s">
        <v>102</v>
      </c>
      <c r="C24" s="23"/>
      <c r="D24" s="24" t="s">
        <v>62</v>
      </c>
      <c r="E24" s="25"/>
      <c r="F24" s="255">
        <f>'GS&lt;50 (1,000kWh)'!F24</f>
        <v>0</v>
      </c>
      <c r="G24" s="27">
        <v>1</v>
      </c>
      <c r="H24" s="249">
        <f>G24*F24</f>
        <v>0</v>
      </c>
      <c r="I24" s="29"/>
      <c r="J24" s="175">
        <f>'GS&lt;50 (1,000kWh)'!J24</f>
        <v>0</v>
      </c>
      <c r="K24" s="31">
        <v>1</v>
      </c>
      <c r="L24" s="28">
        <f>K24*J24</f>
        <v>0</v>
      </c>
      <c r="M24" s="29"/>
      <c r="N24" s="32">
        <f>L24-H24</f>
        <v>0</v>
      </c>
      <c r="O24" s="33">
        <f>IF((H24)=0,"",(N24/H24))</f>
      </c>
    </row>
    <row r="25" spans="2:15" ht="36.75" customHeight="1">
      <c r="B25" s="66" t="s">
        <v>125</v>
      </c>
      <c r="C25" s="23"/>
      <c r="D25" s="57" t="s">
        <v>62</v>
      </c>
      <c r="E25" s="25"/>
      <c r="F25" s="272">
        <v>0</v>
      </c>
      <c r="G25" s="27">
        <v>1</v>
      </c>
      <c r="H25" s="249">
        <f>G25*F25</f>
        <v>0</v>
      </c>
      <c r="I25" s="29"/>
      <c r="J25" s="30">
        <f>'GS&lt;50 (1,000kWh)'!J25</f>
        <v>0.79</v>
      </c>
      <c r="K25" s="31">
        <v>1</v>
      </c>
      <c r="L25" s="249">
        <f>K25*J25</f>
        <v>0.79</v>
      </c>
      <c r="M25" s="29"/>
      <c r="N25" s="32">
        <f>L25-H25</f>
        <v>0.79</v>
      </c>
      <c r="O25" s="250">
        <f>IF((H25)=0,"",(N25/H25))</f>
      </c>
    </row>
    <row r="26" spans="2:15" ht="36.75" customHeight="1">
      <c r="B26" s="177" t="s">
        <v>64</v>
      </c>
      <c r="C26" s="23"/>
      <c r="D26" s="57" t="s">
        <v>62</v>
      </c>
      <c r="E26" s="58"/>
      <c r="F26" s="175">
        <v>0</v>
      </c>
      <c r="G26" s="27">
        <v>1</v>
      </c>
      <c r="H26" s="28">
        <f aca="true" t="shared" si="0" ref="H26:H40">G26*F26</f>
        <v>0</v>
      </c>
      <c r="I26" s="29"/>
      <c r="J26" s="30"/>
      <c r="K26" s="31">
        <v>1</v>
      </c>
      <c r="L26" s="28">
        <f aca="true" t="shared" si="1" ref="L26:L40">K26*J26</f>
        <v>0</v>
      </c>
      <c r="M26" s="29"/>
      <c r="N26" s="32">
        <f aca="true" t="shared" si="2" ref="N26:N68">L26-H26</f>
        <v>0</v>
      </c>
      <c r="O26" s="33">
        <f aca="true" t="shared" si="3" ref="O26:O48">IF((H26)=0,"",(N26/H26))</f>
      </c>
    </row>
    <row r="27" spans="2:15" ht="15">
      <c r="B27" s="177" t="s">
        <v>65</v>
      </c>
      <c r="C27" s="23"/>
      <c r="D27" s="24" t="s">
        <v>62</v>
      </c>
      <c r="E27" s="25"/>
      <c r="F27" s="26">
        <f>'GS&lt;50 (1,000kWh)'!F27</f>
        <v>13.36</v>
      </c>
      <c r="G27" s="27">
        <v>1</v>
      </c>
      <c r="H27" s="28">
        <f t="shared" si="0"/>
        <v>13.36</v>
      </c>
      <c r="I27" s="29"/>
      <c r="J27" s="175">
        <v>0</v>
      </c>
      <c r="K27" s="31">
        <v>1</v>
      </c>
      <c r="L27" s="28">
        <f t="shared" si="1"/>
        <v>0</v>
      </c>
      <c r="M27" s="29"/>
      <c r="N27" s="259">
        <f t="shared" si="2"/>
        <v>-13.36</v>
      </c>
      <c r="O27" s="33">
        <f t="shared" si="3"/>
        <v>-1</v>
      </c>
    </row>
    <row r="28" spans="2:15" ht="15">
      <c r="B28" s="47" t="s">
        <v>66</v>
      </c>
      <c r="C28" s="23"/>
      <c r="D28" s="24" t="s">
        <v>63</v>
      </c>
      <c r="E28" s="25"/>
      <c r="F28" s="26">
        <v>0</v>
      </c>
      <c r="G28" s="27">
        <f aca="true" t="shared" si="4" ref="G28:G33">$F$18</f>
        <v>2000</v>
      </c>
      <c r="H28" s="28">
        <f t="shared" si="0"/>
        <v>0</v>
      </c>
      <c r="I28" s="29"/>
      <c r="J28" s="175"/>
      <c r="K28" s="27">
        <f>$F$18</f>
        <v>2000</v>
      </c>
      <c r="L28" s="28">
        <f t="shared" si="1"/>
        <v>0</v>
      </c>
      <c r="M28" s="29"/>
      <c r="N28" s="32">
        <f t="shared" si="2"/>
        <v>0</v>
      </c>
      <c r="O28" s="33">
        <f t="shared" si="3"/>
      </c>
    </row>
    <row r="29" spans="2:15" ht="15">
      <c r="B29" s="47" t="s">
        <v>67</v>
      </c>
      <c r="C29" s="23"/>
      <c r="D29" s="24" t="s">
        <v>63</v>
      </c>
      <c r="E29" s="25"/>
      <c r="F29" s="253">
        <f>'GS&lt;50 (1,000kWh)'!F29</f>
        <v>-0.004</v>
      </c>
      <c r="G29" s="27">
        <f t="shared" si="4"/>
        <v>2000</v>
      </c>
      <c r="H29" s="28">
        <f t="shared" si="0"/>
        <v>-8</v>
      </c>
      <c r="I29" s="29"/>
      <c r="J29" s="30">
        <f>'GS&lt;50 (1,000kWh)'!J29</f>
        <v>0</v>
      </c>
      <c r="K29" s="27">
        <f>$F$18</f>
        <v>2000</v>
      </c>
      <c r="L29" s="28">
        <f t="shared" si="1"/>
        <v>0</v>
      </c>
      <c r="M29" s="29"/>
      <c r="N29" s="32">
        <f t="shared" si="2"/>
        <v>8</v>
      </c>
      <c r="O29" s="33">
        <f t="shared" si="3"/>
        <v>-1</v>
      </c>
    </row>
    <row r="30" spans="2:15" ht="15">
      <c r="B30" s="47" t="s">
        <v>103</v>
      </c>
      <c r="C30" s="23"/>
      <c r="D30" s="24" t="s">
        <v>63</v>
      </c>
      <c r="E30" s="25"/>
      <c r="F30" s="26">
        <f>'GS&lt;50 (1,000kWh)'!F30</f>
        <v>0</v>
      </c>
      <c r="G30" s="27">
        <f t="shared" si="4"/>
        <v>2000</v>
      </c>
      <c r="H30" s="249">
        <f t="shared" si="0"/>
        <v>0</v>
      </c>
      <c r="I30" s="29"/>
      <c r="J30" s="30">
        <f>'GS&lt;50 (1,000kWh)'!J30</f>
        <v>0</v>
      </c>
      <c r="K30" s="27">
        <f>$F$18</f>
        <v>2000</v>
      </c>
      <c r="L30" s="249">
        <f>K30*J30</f>
        <v>0</v>
      </c>
      <c r="M30" s="29"/>
      <c r="N30" s="259">
        <f>L30-H30</f>
        <v>0</v>
      </c>
      <c r="O30" s="250">
        <f>IF((H30)=0,"",(N30/H30))</f>
      </c>
    </row>
    <row r="31" spans="2:15" ht="15">
      <c r="B31" s="23" t="s">
        <v>21</v>
      </c>
      <c r="C31" s="23"/>
      <c r="D31" s="24" t="s">
        <v>63</v>
      </c>
      <c r="E31" s="25"/>
      <c r="F31" s="26">
        <f>'GS&lt;50 (1,000kWh)'!F31</f>
        <v>0.0139</v>
      </c>
      <c r="G31" s="27">
        <f t="shared" si="4"/>
        <v>2000</v>
      </c>
      <c r="H31" s="28">
        <f t="shared" si="0"/>
        <v>27.799999999999997</v>
      </c>
      <c r="I31" s="29"/>
      <c r="J31" s="30">
        <f>'GS&lt;50 (1,000kWh)'!J31</f>
        <v>0.0141</v>
      </c>
      <c r="K31" s="27">
        <f>$F$18</f>
        <v>2000</v>
      </c>
      <c r="L31" s="28">
        <f t="shared" si="1"/>
        <v>28.2</v>
      </c>
      <c r="M31" s="29"/>
      <c r="N31" s="32">
        <f t="shared" si="2"/>
        <v>0.40000000000000213</v>
      </c>
      <c r="O31" s="33">
        <f t="shared" si="3"/>
        <v>0.014388489208633172</v>
      </c>
    </row>
    <row r="32" spans="2:15" ht="15">
      <c r="B32" s="23" t="s">
        <v>22</v>
      </c>
      <c r="C32" s="23"/>
      <c r="D32" s="24"/>
      <c r="E32" s="25"/>
      <c r="F32" s="26"/>
      <c r="G32" s="27">
        <f t="shared" si="4"/>
        <v>2000</v>
      </c>
      <c r="H32" s="28">
        <f t="shared" si="0"/>
        <v>0</v>
      </c>
      <c r="I32" s="29"/>
      <c r="J32" s="30"/>
      <c r="K32" s="27">
        <f aca="true" t="shared" si="5" ref="K32:K40">$F$18</f>
        <v>2000</v>
      </c>
      <c r="L32" s="28">
        <f t="shared" si="1"/>
        <v>0</v>
      </c>
      <c r="M32" s="29"/>
      <c r="N32" s="32">
        <f t="shared" si="2"/>
        <v>0</v>
      </c>
      <c r="O32" s="33">
        <f t="shared" si="3"/>
      </c>
    </row>
    <row r="33" spans="2:15" ht="15">
      <c r="B33" s="23" t="s">
        <v>124</v>
      </c>
      <c r="C33" s="23"/>
      <c r="D33" s="24" t="s">
        <v>63</v>
      </c>
      <c r="E33" s="25"/>
      <c r="F33" s="26">
        <v>0</v>
      </c>
      <c r="G33" s="27">
        <f t="shared" si="4"/>
        <v>2000</v>
      </c>
      <c r="H33" s="249">
        <f t="shared" si="0"/>
        <v>0</v>
      </c>
      <c r="I33" s="29"/>
      <c r="J33" s="30">
        <f>'GS&lt;50 (1,000kWh)'!$J33</f>
        <v>0.0001</v>
      </c>
      <c r="K33" s="27">
        <f t="shared" si="5"/>
        <v>2000</v>
      </c>
      <c r="L33" s="249">
        <f t="shared" si="1"/>
        <v>0.2</v>
      </c>
      <c r="M33" s="29"/>
      <c r="N33" s="32">
        <f t="shared" si="2"/>
        <v>0.2</v>
      </c>
      <c r="O33" s="250">
        <f t="shared" si="3"/>
      </c>
    </row>
    <row r="34" spans="2:15" ht="15" hidden="1">
      <c r="B34" s="34"/>
      <c r="C34" s="23"/>
      <c r="D34" s="24"/>
      <c r="E34" s="25"/>
      <c r="F34" s="26"/>
      <c r="G34" s="27">
        <f aca="true" t="shared" si="6" ref="G34:G40">$F$18</f>
        <v>2000</v>
      </c>
      <c r="H34" s="28">
        <f t="shared" si="0"/>
        <v>0</v>
      </c>
      <c r="I34" s="29"/>
      <c r="J34" s="30"/>
      <c r="K34" s="27">
        <f t="shared" si="5"/>
        <v>2000</v>
      </c>
      <c r="L34" s="28">
        <f t="shared" si="1"/>
        <v>0</v>
      </c>
      <c r="M34" s="29"/>
      <c r="N34" s="32">
        <f t="shared" si="2"/>
        <v>0</v>
      </c>
      <c r="O34" s="33">
        <f t="shared" si="3"/>
      </c>
    </row>
    <row r="35" spans="2:15" ht="15" hidden="1">
      <c r="B35" s="34"/>
      <c r="C35" s="23"/>
      <c r="D35" s="24"/>
      <c r="E35" s="25"/>
      <c r="F35" s="26"/>
      <c r="G35" s="27">
        <f t="shared" si="6"/>
        <v>2000</v>
      </c>
      <c r="H35" s="28">
        <f t="shared" si="0"/>
        <v>0</v>
      </c>
      <c r="I35" s="29"/>
      <c r="J35" s="30"/>
      <c r="K35" s="27">
        <f t="shared" si="5"/>
        <v>2000</v>
      </c>
      <c r="L35" s="28">
        <f t="shared" si="1"/>
        <v>0</v>
      </c>
      <c r="M35" s="29"/>
      <c r="N35" s="32">
        <f t="shared" si="2"/>
        <v>0</v>
      </c>
      <c r="O35" s="33">
        <f t="shared" si="3"/>
      </c>
    </row>
    <row r="36" spans="2:15" ht="15" hidden="1">
      <c r="B36" s="34"/>
      <c r="C36" s="23"/>
      <c r="D36" s="24"/>
      <c r="E36" s="25"/>
      <c r="F36" s="26"/>
      <c r="G36" s="27">
        <f t="shared" si="6"/>
        <v>2000</v>
      </c>
      <c r="H36" s="28">
        <f t="shared" si="0"/>
        <v>0</v>
      </c>
      <c r="I36" s="29"/>
      <c r="J36" s="30"/>
      <c r="K36" s="27">
        <f t="shared" si="5"/>
        <v>2000</v>
      </c>
      <c r="L36" s="28">
        <f t="shared" si="1"/>
        <v>0</v>
      </c>
      <c r="M36" s="29"/>
      <c r="N36" s="32">
        <f t="shared" si="2"/>
        <v>0</v>
      </c>
      <c r="O36" s="33">
        <f t="shared" si="3"/>
      </c>
    </row>
    <row r="37" spans="2:15" ht="15" hidden="1">
      <c r="B37" s="34"/>
      <c r="C37" s="23"/>
      <c r="D37" s="24"/>
      <c r="E37" s="25"/>
      <c r="F37" s="26"/>
      <c r="G37" s="27">
        <f t="shared" si="6"/>
        <v>2000</v>
      </c>
      <c r="H37" s="28">
        <f t="shared" si="0"/>
        <v>0</v>
      </c>
      <c r="I37" s="29"/>
      <c r="J37" s="30"/>
      <c r="K37" s="27">
        <f t="shared" si="5"/>
        <v>2000</v>
      </c>
      <c r="L37" s="28">
        <f t="shared" si="1"/>
        <v>0</v>
      </c>
      <c r="M37" s="29"/>
      <c r="N37" s="32">
        <f t="shared" si="2"/>
        <v>0</v>
      </c>
      <c r="O37" s="33">
        <f t="shared" si="3"/>
      </c>
    </row>
    <row r="38" spans="2:15" ht="15" hidden="1">
      <c r="B38" s="34"/>
      <c r="C38" s="23"/>
      <c r="D38" s="24"/>
      <c r="E38" s="25"/>
      <c r="F38" s="26"/>
      <c r="G38" s="27">
        <f t="shared" si="6"/>
        <v>2000</v>
      </c>
      <c r="H38" s="28">
        <f t="shared" si="0"/>
        <v>0</v>
      </c>
      <c r="I38" s="29"/>
      <c r="J38" s="30"/>
      <c r="K38" s="27">
        <f t="shared" si="5"/>
        <v>2000</v>
      </c>
      <c r="L38" s="28">
        <f t="shared" si="1"/>
        <v>0</v>
      </c>
      <c r="M38" s="29"/>
      <c r="N38" s="32">
        <f t="shared" si="2"/>
        <v>0</v>
      </c>
      <c r="O38" s="33">
        <f t="shared" si="3"/>
      </c>
    </row>
    <row r="39" spans="2:15" ht="15" hidden="1">
      <c r="B39" s="34"/>
      <c r="C39" s="23"/>
      <c r="D39" s="24"/>
      <c r="E39" s="25"/>
      <c r="F39" s="26"/>
      <c r="G39" s="27">
        <f t="shared" si="6"/>
        <v>2000</v>
      </c>
      <c r="H39" s="28">
        <f t="shared" si="0"/>
        <v>0</v>
      </c>
      <c r="I39" s="29"/>
      <c r="J39" s="30"/>
      <c r="K39" s="27">
        <f t="shared" si="5"/>
        <v>2000</v>
      </c>
      <c r="L39" s="28">
        <f t="shared" si="1"/>
        <v>0</v>
      </c>
      <c r="M39" s="29"/>
      <c r="N39" s="32">
        <f t="shared" si="2"/>
        <v>0</v>
      </c>
      <c r="O39" s="33">
        <f t="shared" si="3"/>
      </c>
    </row>
    <row r="40" spans="2:15" ht="15" hidden="1">
      <c r="B40" s="34"/>
      <c r="C40" s="23"/>
      <c r="D40" s="24"/>
      <c r="E40" s="25"/>
      <c r="F40" s="26"/>
      <c r="G40" s="27">
        <f t="shared" si="6"/>
        <v>2000</v>
      </c>
      <c r="H40" s="28">
        <f t="shared" si="0"/>
        <v>0</v>
      </c>
      <c r="I40" s="29"/>
      <c r="J40" s="30"/>
      <c r="K40" s="27">
        <f t="shared" si="5"/>
        <v>2000</v>
      </c>
      <c r="L40" s="28">
        <f t="shared" si="1"/>
        <v>0</v>
      </c>
      <c r="M40" s="29"/>
      <c r="N40" s="32">
        <f t="shared" si="2"/>
        <v>0</v>
      </c>
      <c r="O40" s="33">
        <f t="shared" si="3"/>
      </c>
    </row>
    <row r="41" spans="2:15" s="35" customFormat="1" ht="15">
      <c r="B41" s="36" t="s">
        <v>24</v>
      </c>
      <c r="C41" s="37"/>
      <c r="D41" s="38"/>
      <c r="E41" s="37"/>
      <c r="F41" s="39"/>
      <c r="G41" s="40"/>
      <c r="H41" s="41">
        <f>SUM(H23:H40)</f>
        <v>46.16</v>
      </c>
      <c r="I41" s="42"/>
      <c r="J41" s="43"/>
      <c r="K41" s="44"/>
      <c r="L41" s="41">
        <f>SUM(L23:L40)</f>
        <v>42.370000000000005</v>
      </c>
      <c r="M41" s="42"/>
      <c r="N41" s="260">
        <f t="shared" si="2"/>
        <v>-3.789999999999992</v>
      </c>
      <c r="O41" s="46">
        <f t="shared" si="3"/>
        <v>-0.08210571923743484</v>
      </c>
    </row>
    <row r="42" spans="2:15" ht="15" hidden="1">
      <c r="B42" s="177"/>
      <c r="C42" s="23"/>
      <c r="D42" s="57" t="s">
        <v>62</v>
      </c>
      <c r="E42" s="25"/>
      <c r="F42" s="26"/>
      <c r="G42" s="27">
        <v>1</v>
      </c>
      <c r="H42" s="28">
        <f>G42*F42</f>
        <v>0</v>
      </c>
      <c r="I42" s="29"/>
      <c r="J42" s="175"/>
      <c r="K42" s="31">
        <v>1</v>
      </c>
      <c r="L42" s="28">
        <f>K42*J42</f>
        <v>0</v>
      </c>
      <c r="M42" s="29"/>
      <c r="N42" s="32">
        <f>L42-H42</f>
        <v>0</v>
      </c>
      <c r="O42" s="33">
        <f>IF((H42)=0,"",(N42/H42))</f>
      </c>
    </row>
    <row r="43" spans="2:15" ht="25.5">
      <c r="B43" s="47" t="s">
        <v>25</v>
      </c>
      <c r="C43" s="23"/>
      <c r="D43" s="57" t="s">
        <v>63</v>
      </c>
      <c r="E43" s="58"/>
      <c r="F43" s="254">
        <f>'GS&lt;50 (1,000kWh)'!F43</f>
        <v>-0.0019</v>
      </c>
      <c r="G43" s="27">
        <f>$F$18</f>
        <v>2000</v>
      </c>
      <c r="H43" s="28">
        <f aca="true" t="shared" si="7" ref="H43:H49">G43*F43</f>
        <v>-3.8</v>
      </c>
      <c r="I43" s="29"/>
      <c r="J43" s="254">
        <f>'GS&lt;50 (1,000kWh)'!J43</f>
        <v>-0.0017</v>
      </c>
      <c r="K43" s="27">
        <f>$F$18</f>
        <v>2000</v>
      </c>
      <c r="L43" s="28">
        <f aca="true" t="shared" si="8" ref="L43:L49">K43*J43</f>
        <v>-3.4</v>
      </c>
      <c r="M43" s="29"/>
      <c r="N43" s="32">
        <f t="shared" si="2"/>
        <v>0.3999999999999999</v>
      </c>
      <c r="O43" s="33">
        <f t="shared" si="3"/>
        <v>-0.10526315789473682</v>
      </c>
    </row>
    <row r="44" spans="2:15" ht="15" hidden="1">
      <c r="B44" s="47"/>
      <c r="C44" s="23"/>
      <c r="D44" s="24" t="s">
        <v>63</v>
      </c>
      <c r="E44" s="25"/>
      <c r="F44" s="26"/>
      <c r="G44" s="27">
        <f>$F$18</f>
        <v>2000</v>
      </c>
      <c r="H44" s="28">
        <f t="shared" si="7"/>
        <v>0</v>
      </c>
      <c r="I44" s="48"/>
      <c r="J44" s="30"/>
      <c r="K44" s="27">
        <f>$F$18</f>
        <v>2000</v>
      </c>
      <c r="L44" s="28">
        <f t="shared" si="8"/>
        <v>0</v>
      </c>
      <c r="M44" s="49"/>
      <c r="N44" s="32">
        <f t="shared" si="2"/>
        <v>0</v>
      </c>
      <c r="O44" s="33">
        <f t="shared" si="3"/>
      </c>
    </row>
    <row r="45" spans="2:15" ht="15" hidden="1">
      <c r="B45" s="47"/>
      <c r="C45" s="23"/>
      <c r="D45" s="24" t="s">
        <v>63</v>
      </c>
      <c r="E45" s="25"/>
      <c r="F45" s="26"/>
      <c r="G45" s="27">
        <f>$F$18</f>
        <v>2000</v>
      </c>
      <c r="H45" s="28">
        <f t="shared" si="7"/>
        <v>0</v>
      </c>
      <c r="I45" s="48"/>
      <c r="J45" s="30"/>
      <c r="K45" s="27">
        <f>$F$18</f>
        <v>2000</v>
      </c>
      <c r="L45" s="28">
        <f t="shared" si="8"/>
        <v>0</v>
      </c>
      <c r="M45" s="49"/>
      <c r="N45" s="32">
        <f t="shared" si="2"/>
        <v>0</v>
      </c>
      <c r="O45" s="33">
        <f t="shared" si="3"/>
      </c>
    </row>
    <row r="46" spans="2:15" ht="15" hidden="1">
      <c r="B46" s="47"/>
      <c r="C46" s="23"/>
      <c r="D46" s="24"/>
      <c r="E46" s="25"/>
      <c r="F46" s="26"/>
      <c r="G46" s="27">
        <f>$F$18</f>
        <v>2000</v>
      </c>
      <c r="H46" s="28">
        <f t="shared" si="7"/>
        <v>0</v>
      </c>
      <c r="I46" s="48"/>
      <c r="J46" s="30"/>
      <c r="K46" s="27">
        <f>$F$18</f>
        <v>2000</v>
      </c>
      <c r="L46" s="28">
        <f t="shared" si="8"/>
        <v>0</v>
      </c>
      <c r="M46" s="49"/>
      <c r="N46" s="32">
        <f t="shared" si="2"/>
        <v>0</v>
      </c>
      <c r="O46" s="33">
        <f t="shared" si="3"/>
      </c>
    </row>
    <row r="47" spans="2:15" ht="15">
      <c r="B47" s="50" t="s">
        <v>26</v>
      </c>
      <c r="C47" s="23"/>
      <c r="D47" s="24" t="s">
        <v>63</v>
      </c>
      <c r="E47" s="25"/>
      <c r="F47" s="26">
        <f>'GS&lt;50 (1,000kWh)'!F47</f>
        <v>0.0001</v>
      </c>
      <c r="G47" s="27">
        <f>$F$18</f>
        <v>2000</v>
      </c>
      <c r="H47" s="28">
        <f t="shared" si="7"/>
        <v>0.2</v>
      </c>
      <c r="I47" s="29"/>
      <c r="J47" s="30">
        <f>'GS&lt;50 (1,000kWh)'!J47</f>
        <v>0.0001</v>
      </c>
      <c r="K47" s="27">
        <f>$F$18</f>
        <v>2000</v>
      </c>
      <c r="L47" s="28">
        <f t="shared" si="8"/>
        <v>0.2</v>
      </c>
      <c r="M47" s="29"/>
      <c r="N47" s="32">
        <f t="shared" si="2"/>
        <v>0</v>
      </c>
      <c r="O47" s="33">
        <f t="shared" si="3"/>
        <v>0</v>
      </c>
    </row>
    <row r="48" spans="2:15" s="35" customFormat="1" ht="15">
      <c r="B48" s="183" t="s">
        <v>27</v>
      </c>
      <c r="C48" s="25"/>
      <c r="D48" s="184" t="s">
        <v>63</v>
      </c>
      <c r="E48" s="25"/>
      <c r="F48" s="185">
        <f>IF(ISBLANK(D16)=TRUE,0,IF(D16="TOU",0.64*$F$58+0.18*$F$59+0.18*$F$60,IF(AND(D16="non-TOU",G62&gt;0),F62,F61)))</f>
        <v>0.08392</v>
      </c>
      <c r="G48" s="27">
        <f>$F$18*(1+$F$77)-$F$18</f>
        <v>67</v>
      </c>
      <c r="H48" s="186">
        <f t="shared" si="7"/>
        <v>5.62264</v>
      </c>
      <c r="I48" s="58"/>
      <c r="J48" s="187">
        <f>0.64*$F$58+0.18*$F$59+0.18*$F$60</f>
        <v>0.08392</v>
      </c>
      <c r="K48" s="27">
        <f>$F$18*(1+$J$77)-$F$18</f>
        <v>67</v>
      </c>
      <c r="L48" s="186">
        <f t="shared" si="8"/>
        <v>5.62264</v>
      </c>
      <c r="M48" s="58"/>
      <c r="N48" s="188">
        <f t="shared" si="2"/>
        <v>0</v>
      </c>
      <c r="O48" s="189">
        <f t="shared" si="3"/>
        <v>0</v>
      </c>
    </row>
    <row r="49" spans="2:15" ht="15">
      <c r="B49" s="50" t="s">
        <v>28</v>
      </c>
      <c r="C49" s="23"/>
      <c r="D49" s="24" t="s">
        <v>62</v>
      </c>
      <c r="E49" s="25"/>
      <c r="F49" s="180">
        <v>0.79</v>
      </c>
      <c r="G49" s="27">
        <v>1</v>
      </c>
      <c r="H49" s="28">
        <f t="shared" si="7"/>
        <v>0.79</v>
      </c>
      <c r="I49" s="29"/>
      <c r="J49" s="180">
        <v>0.79</v>
      </c>
      <c r="K49" s="27">
        <v>1</v>
      </c>
      <c r="L49" s="28">
        <f t="shared" si="8"/>
        <v>0.79</v>
      </c>
      <c r="M49" s="29"/>
      <c r="N49" s="32">
        <f t="shared" si="2"/>
        <v>0</v>
      </c>
      <c r="O49" s="33"/>
    </row>
    <row r="50" spans="2:15" ht="25.5">
      <c r="B50" s="51" t="s">
        <v>29</v>
      </c>
      <c r="C50" s="52"/>
      <c r="D50" s="52"/>
      <c r="E50" s="52"/>
      <c r="F50" s="53"/>
      <c r="G50" s="54"/>
      <c r="H50" s="55">
        <f>SUM(H42:H49)+H41</f>
        <v>48.97264</v>
      </c>
      <c r="I50" s="42"/>
      <c r="J50" s="54"/>
      <c r="K50" s="56"/>
      <c r="L50" s="55">
        <f>SUM(L42:L49)+L41</f>
        <v>45.582640000000005</v>
      </c>
      <c r="M50" s="42"/>
      <c r="N50" s="260">
        <f t="shared" si="2"/>
        <v>-3.3899999999999935</v>
      </c>
      <c r="O50" s="46">
        <f aca="true" t="shared" si="9" ref="O50:O68">IF((H50)=0,"",(N50/H50))</f>
        <v>-0.06922232495532187</v>
      </c>
    </row>
    <row r="51" spans="2:15" ht="15">
      <c r="B51" s="29" t="s">
        <v>30</v>
      </c>
      <c r="C51" s="29"/>
      <c r="D51" s="57" t="s">
        <v>63</v>
      </c>
      <c r="E51" s="58"/>
      <c r="F51" s="30">
        <f>'GS&lt;50 (1,000kWh)'!F51</f>
        <v>0.0058</v>
      </c>
      <c r="G51" s="59">
        <f>F18*(1+F77)</f>
        <v>2067</v>
      </c>
      <c r="H51" s="28">
        <f>G51*F51</f>
        <v>11.9886</v>
      </c>
      <c r="I51" s="29"/>
      <c r="J51" s="30">
        <f>'GS&lt;50 (1,000kWh)'!J51</f>
        <v>0.006</v>
      </c>
      <c r="K51" s="60">
        <f>F18*(1+J77)</f>
        <v>2067</v>
      </c>
      <c r="L51" s="28">
        <f>K51*J51</f>
        <v>12.402000000000001</v>
      </c>
      <c r="M51" s="29"/>
      <c r="N51" s="32">
        <f t="shared" si="2"/>
        <v>0.4134000000000011</v>
      </c>
      <c r="O51" s="33">
        <f t="shared" si="9"/>
        <v>0.034482758620689745</v>
      </c>
    </row>
    <row r="52" spans="2:15" ht="15">
      <c r="B52" s="61" t="s">
        <v>31</v>
      </c>
      <c r="C52" s="29"/>
      <c r="D52" s="57" t="s">
        <v>63</v>
      </c>
      <c r="E52" s="58"/>
      <c r="F52" s="30">
        <f>'GS&lt;50 (1,000kWh)'!F52</f>
        <v>0.0039</v>
      </c>
      <c r="G52" s="59">
        <f>G51</f>
        <v>2067</v>
      </c>
      <c r="H52" s="28">
        <f>G52*F52</f>
        <v>8.0613</v>
      </c>
      <c r="I52" s="29"/>
      <c r="J52" s="30">
        <f>'GS&lt;50 (1,000kWh)'!J52</f>
        <v>0.004</v>
      </c>
      <c r="K52" s="60">
        <f>K51</f>
        <v>2067</v>
      </c>
      <c r="L52" s="28">
        <f>K52*J52</f>
        <v>8.268</v>
      </c>
      <c r="M52" s="29"/>
      <c r="N52" s="32">
        <f t="shared" si="2"/>
        <v>0.20670000000000144</v>
      </c>
      <c r="O52" s="33">
        <f t="shared" si="9"/>
        <v>0.02564102564102582</v>
      </c>
    </row>
    <row r="53" spans="2:15" ht="15">
      <c r="B53" s="51" t="s">
        <v>32</v>
      </c>
      <c r="C53" s="37"/>
      <c r="D53" s="37"/>
      <c r="E53" s="37"/>
      <c r="F53" s="62"/>
      <c r="G53" s="54"/>
      <c r="H53" s="55">
        <f>SUM(H50:H52)</f>
        <v>69.02253999999999</v>
      </c>
      <c r="I53" s="63"/>
      <c r="J53" s="64"/>
      <c r="K53" s="65"/>
      <c r="L53" s="55">
        <f>SUM(L50:L52)</f>
        <v>66.25264000000001</v>
      </c>
      <c r="M53" s="63"/>
      <c r="N53" s="260">
        <f t="shared" si="2"/>
        <v>-2.7698999999999785</v>
      </c>
      <c r="O53" s="46">
        <f t="shared" si="9"/>
        <v>-0.04013036900699364</v>
      </c>
    </row>
    <row r="54" spans="2:15" ht="15">
      <c r="B54" s="66" t="s">
        <v>33</v>
      </c>
      <c r="C54" s="23"/>
      <c r="D54" s="24" t="s">
        <v>63</v>
      </c>
      <c r="E54" s="25"/>
      <c r="F54" s="67">
        <v>0.0044</v>
      </c>
      <c r="G54" s="59">
        <f>G52</f>
        <v>2067</v>
      </c>
      <c r="H54" s="68">
        <f aca="true" t="shared" si="10" ref="H54:H60">G54*F54</f>
        <v>9.094800000000001</v>
      </c>
      <c r="I54" s="29"/>
      <c r="J54" s="69">
        <v>0.0044</v>
      </c>
      <c r="K54" s="60">
        <f>K52</f>
        <v>2067</v>
      </c>
      <c r="L54" s="68">
        <f aca="true" t="shared" si="11" ref="L54:L60">K54*J54</f>
        <v>9.094800000000001</v>
      </c>
      <c r="M54" s="29"/>
      <c r="N54" s="32">
        <f t="shared" si="2"/>
        <v>0</v>
      </c>
      <c r="O54" s="70">
        <f t="shared" si="9"/>
        <v>0</v>
      </c>
    </row>
    <row r="55" spans="2:15" ht="15">
      <c r="B55" s="66" t="s">
        <v>34</v>
      </c>
      <c r="C55" s="23"/>
      <c r="D55" s="24" t="s">
        <v>63</v>
      </c>
      <c r="E55" s="25"/>
      <c r="F55" s="67">
        <v>0.0013</v>
      </c>
      <c r="G55" s="59">
        <f>G52</f>
        <v>2067</v>
      </c>
      <c r="H55" s="68">
        <f t="shared" si="10"/>
        <v>2.6871</v>
      </c>
      <c r="I55" s="29"/>
      <c r="J55" s="69">
        <v>0.0013</v>
      </c>
      <c r="K55" s="60">
        <f>K52</f>
        <v>2067</v>
      </c>
      <c r="L55" s="68">
        <f t="shared" si="11"/>
        <v>2.6871</v>
      </c>
      <c r="M55" s="29"/>
      <c r="N55" s="32">
        <f t="shared" si="2"/>
        <v>0</v>
      </c>
      <c r="O55" s="70">
        <f t="shared" si="9"/>
        <v>0</v>
      </c>
    </row>
    <row r="56" spans="2:15" ht="15">
      <c r="B56" s="23" t="s">
        <v>35</v>
      </c>
      <c r="C56" s="23"/>
      <c r="D56" s="24" t="s">
        <v>62</v>
      </c>
      <c r="E56" s="25"/>
      <c r="F56" s="178">
        <v>0.25</v>
      </c>
      <c r="G56" s="27">
        <v>1</v>
      </c>
      <c r="H56" s="68">
        <f t="shared" si="10"/>
        <v>0.25</v>
      </c>
      <c r="I56" s="29"/>
      <c r="J56" s="179">
        <v>0.25</v>
      </c>
      <c r="K56" s="31">
        <v>1</v>
      </c>
      <c r="L56" s="68">
        <f t="shared" si="11"/>
        <v>0.25</v>
      </c>
      <c r="M56" s="29"/>
      <c r="N56" s="32">
        <f t="shared" si="2"/>
        <v>0</v>
      </c>
      <c r="O56" s="70">
        <f t="shared" si="9"/>
        <v>0</v>
      </c>
    </row>
    <row r="57" spans="2:15" ht="15">
      <c r="B57" s="23" t="s">
        <v>36</v>
      </c>
      <c r="C57" s="23"/>
      <c r="D57" s="24" t="s">
        <v>63</v>
      </c>
      <c r="E57" s="25"/>
      <c r="F57" s="67">
        <v>0.007</v>
      </c>
      <c r="G57" s="71">
        <f>F18</f>
        <v>2000</v>
      </c>
      <c r="H57" s="68">
        <f t="shared" si="10"/>
        <v>14</v>
      </c>
      <c r="I57" s="29"/>
      <c r="J57" s="69">
        <f>0.007</f>
        <v>0.007</v>
      </c>
      <c r="K57" s="72">
        <f>F18</f>
        <v>2000</v>
      </c>
      <c r="L57" s="68">
        <f t="shared" si="11"/>
        <v>14</v>
      </c>
      <c r="M57" s="29"/>
      <c r="N57" s="32">
        <f t="shared" si="2"/>
        <v>0</v>
      </c>
      <c r="O57" s="70">
        <f t="shared" si="9"/>
        <v>0</v>
      </c>
    </row>
    <row r="58" spans="2:19" ht="15">
      <c r="B58" s="50" t="s">
        <v>37</v>
      </c>
      <c r="C58" s="23"/>
      <c r="D58" s="24" t="s">
        <v>63</v>
      </c>
      <c r="E58" s="25"/>
      <c r="F58" s="73">
        <v>0.067</v>
      </c>
      <c r="G58" s="71">
        <f>0.64*$F$18</f>
        <v>1280</v>
      </c>
      <c r="H58" s="68">
        <f t="shared" si="10"/>
        <v>85.76</v>
      </c>
      <c r="I58" s="29"/>
      <c r="J58" s="67">
        <v>0.067</v>
      </c>
      <c r="K58" s="71">
        <f>G58</f>
        <v>1280</v>
      </c>
      <c r="L58" s="68">
        <f t="shared" si="11"/>
        <v>85.76</v>
      </c>
      <c r="M58" s="29"/>
      <c r="N58" s="32">
        <f t="shared" si="2"/>
        <v>0</v>
      </c>
      <c r="O58" s="70">
        <f t="shared" si="9"/>
        <v>0</v>
      </c>
      <c r="S58" s="74"/>
    </row>
    <row r="59" spans="2:19" ht="15">
      <c r="B59" s="50" t="s">
        <v>38</v>
      </c>
      <c r="C59" s="23"/>
      <c r="D59" s="24" t="s">
        <v>63</v>
      </c>
      <c r="E59" s="25"/>
      <c r="F59" s="73">
        <v>0.104</v>
      </c>
      <c r="G59" s="71">
        <f>0.18*$F$18</f>
        <v>360</v>
      </c>
      <c r="H59" s="68">
        <f t="shared" si="10"/>
        <v>37.44</v>
      </c>
      <c r="I59" s="29"/>
      <c r="J59" s="67">
        <v>0.104</v>
      </c>
      <c r="K59" s="71">
        <f>G59</f>
        <v>360</v>
      </c>
      <c r="L59" s="68">
        <f t="shared" si="11"/>
        <v>37.44</v>
      </c>
      <c r="M59" s="29"/>
      <c r="N59" s="32">
        <f t="shared" si="2"/>
        <v>0</v>
      </c>
      <c r="O59" s="70">
        <f t="shared" si="9"/>
        <v>0</v>
      </c>
      <c r="S59" s="74"/>
    </row>
    <row r="60" spans="2:19" ht="15">
      <c r="B60" s="13" t="s">
        <v>39</v>
      </c>
      <c r="C60" s="23"/>
      <c r="D60" s="24" t="s">
        <v>63</v>
      </c>
      <c r="E60" s="25"/>
      <c r="F60" s="73">
        <v>0.124</v>
      </c>
      <c r="G60" s="71">
        <f>0.18*$F$18</f>
        <v>360</v>
      </c>
      <c r="H60" s="68">
        <f t="shared" si="10"/>
        <v>44.64</v>
      </c>
      <c r="I60" s="29"/>
      <c r="J60" s="67">
        <v>0.124</v>
      </c>
      <c r="K60" s="71">
        <f>G60</f>
        <v>360</v>
      </c>
      <c r="L60" s="68">
        <f t="shared" si="11"/>
        <v>44.64</v>
      </c>
      <c r="M60" s="29"/>
      <c r="N60" s="32">
        <f t="shared" si="2"/>
        <v>0</v>
      </c>
      <c r="O60" s="70">
        <f t="shared" si="9"/>
        <v>0</v>
      </c>
      <c r="S60" s="74"/>
    </row>
    <row r="61" spans="2:15" s="75" customFormat="1" ht="15">
      <c r="B61" s="76" t="s">
        <v>40</v>
      </c>
      <c r="C61" s="77"/>
      <c r="D61" s="78" t="s">
        <v>63</v>
      </c>
      <c r="E61" s="79"/>
      <c r="F61" s="73">
        <v>0.075</v>
      </c>
      <c r="G61" s="80">
        <f>IF(AND($T$1=1,F18&gt;=600),600,IF(AND($T$1=1,AND(F18&lt;600,F18&gt;=0)),F18,IF(AND($T$1=2,F18&gt;=1000),1000,IF(AND($T$1=2,AND(F18&lt;1000,F18&gt;=0)),F18))))</f>
        <v>600</v>
      </c>
      <c r="H61" s="68">
        <f>G61*F61</f>
        <v>45</v>
      </c>
      <c r="I61" s="81"/>
      <c r="J61" s="67">
        <v>0.075</v>
      </c>
      <c r="K61" s="80">
        <f>G61</f>
        <v>600</v>
      </c>
      <c r="L61" s="68">
        <f>K61*J61</f>
        <v>45</v>
      </c>
      <c r="M61" s="81"/>
      <c r="N61" s="82">
        <f t="shared" si="2"/>
        <v>0</v>
      </c>
      <c r="O61" s="70">
        <f t="shared" si="9"/>
        <v>0</v>
      </c>
    </row>
    <row r="62" spans="2:15" s="75" customFormat="1" ht="15.75" thickBot="1">
      <c r="B62" s="76" t="s">
        <v>41</v>
      </c>
      <c r="C62" s="77"/>
      <c r="D62" s="78" t="s">
        <v>63</v>
      </c>
      <c r="E62" s="79"/>
      <c r="F62" s="73">
        <v>0.088</v>
      </c>
      <c r="G62" s="80">
        <f>IF(AND($T$1=1,F18&gt;=600),F18-600,IF(AND($T$1=1,AND(F18&lt;600,F18&gt;=0)),0,IF(AND($T$1=2,F18&gt;=1000),F18-1000,IF(AND($T$1=2,AND(F18&lt;1000,F18&gt;=0)),0))))</f>
        <v>1400</v>
      </c>
      <c r="H62" s="68">
        <f>G62*F62</f>
        <v>123.19999999999999</v>
      </c>
      <c r="I62" s="81"/>
      <c r="J62" s="67">
        <v>0.088</v>
      </c>
      <c r="K62" s="80">
        <f>G62</f>
        <v>1400</v>
      </c>
      <c r="L62" s="68">
        <f>K62*J62</f>
        <v>123.19999999999999</v>
      </c>
      <c r="M62" s="81"/>
      <c r="N62" s="82">
        <f t="shared" si="2"/>
        <v>0</v>
      </c>
      <c r="O62" s="70">
        <f t="shared" si="9"/>
        <v>0</v>
      </c>
    </row>
    <row r="63" spans="2:15" ht="8.25" customHeight="1" thickBot="1">
      <c r="B63" s="83"/>
      <c r="C63" s="84"/>
      <c r="D63" s="85"/>
      <c r="E63" s="84"/>
      <c r="F63" s="86"/>
      <c r="G63" s="87"/>
      <c r="H63" s="88"/>
      <c r="I63" s="89"/>
      <c r="J63" s="86"/>
      <c r="K63" s="90"/>
      <c r="L63" s="88"/>
      <c r="M63" s="89"/>
      <c r="N63" s="91"/>
      <c r="O63" s="92"/>
    </row>
    <row r="64" spans="2:19" ht="15">
      <c r="B64" s="93" t="s">
        <v>42</v>
      </c>
      <c r="C64" s="23"/>
      <c r="D64" s="23"/>
      <c r="E64" s="23"/>
      <c r="F64" s="94"/>
      <c r="G64" s="95"/>
      <c r="H64" s="96">
        <f>SUM(H54:H60,H53)</f>
        <v>262.89444</v>
      </c>
      <c r="I64" s="97"/>
      <c r="J64" s="98"/>
      <c r="K64" s="98"/>
      <c r="L64" s="192">
        <f>SUM(L54:L60,L53)</f>
        <v>260.12454</v>
      </c>
      <c r="M64" s="99"/>
      <c r="N64" s="266">
        <f>L64-H64</f>
        <v>-2.76989999999995</v>
      </c>
      <c r="O64" s="101">
        <f>IF((H64)=0,"",(N64/H64))</f>
        <v>-0.010536168052850224</v>
      </c>
      <c r="S64" s="74"/>
    </row>
    <row r="65" spans="2:19" ht="15">
      <c r="B65" s="102" t="s">
        <v>43</v>
      </c>
      <c r="C65" s="23"/>
      <c r="D65" s="23"/>
      <c r="E65" s="23"/>
      <c r="F65" s="103">
        <v>0.13</v>
      </c>
      <c r="G65" s="104"/>
      <c r="H65" s="105">
        <f>H64*F65</f>
        <v>34.1762772</v>
      </c>
      <c r="I65" s="106"/>
      <c r="J65" s="107">
        <v>0.13</v>
      </c>
      <c r="K65" s="106"/>
      <c r="L65" s="108">
        <f>L64*J65</f>
        <v>33.8161902</v>
      </c>
      <c r="M65" s="109"/>
      <c r="N65" s="267">
        <f t="shared" si="2"/>
        <v>-0.36008700000000005</v>
      </c>
      <c r="O65" s="111">
        <f t="shared" si="9"/>
        <v>-0.010536168052850415</v>
      </c>
      <c r="S65" s="74"/>
    </row>
    <row r="66" spans="2:19" ht="15">
      <c r="B66" s="112" t="s">
        <v>44</v>
      </c>
      <c r="C66" s="23"/>
      <c r="D66" s="23"/>
      <c r="E66" s="23"/>
      <c r="F66" s="113"/>
      <c r="G66" s="104"/>
      <c r="H66" s="105">
        <f>H64+H65</f>
        <v>297.0707172</v>
      </c>
      <c r="I66" s="106"/>
      <c r="J66" s="106"/>
      <c r="K66" s="106"/>
      <c r="L66" s="108">
        <f>L64+L65</f>
        <v>293.9407302</v>
      </c>
      <c r="M66" s="109"/>
      <c r="N66" s="267">
        <f t="shared" si="2"/>
        <v>-3.1299869999999714</v>
      </c>
      <c r="O66" s="111">
        <f t="shared" si="9"/>
        <v>-0.010536168052850318</v>
      </c>
      <c r="S66" s="74"/>
    </row>
    <row r="67" spans="2:15" ht="15.75" customHeight="1">
      <c r="B67" s="333" t="s">
        <v>45</v>
      </c>
      <c r="C67" s="333"/>
      <c r="D67" s="333"/>
      <c r="E67" s="23"/>
      <c r="F67" s="113"/>
      <c r="G67" s="104"/>
      <c r="H67" s="263">
        <f>ROUND(-H66*10%,2)</f>
        <v>-29.71</v>
      </c>
      <c r="I67" s="106"/>
      <c r="J67" s="106"/>
      <c r="K67" s="106"/>
      <c r="L67" s="264">
        <f>ROUND(-L66*10%,2)</f>
        <v>-29.39</v>
      </c>
      <c r="M67" s="109"/>
      <c r="N67" s="265">
        <f t="shared" si="2"/>
        <v>0.3200000000000003</v>
      </c>
      <c r="O67" s="117">
        <f t="shared" si="9"/>
        <v>-0.010770784247728047</v>
      </c>
    </row>
    <row r="68" spans="2:15" ht="15.75" thickBot="1">
      <c r="B68" s="334" t="s">
        <v>46</v>
      </c>
      <c r="C68" s="334"/>
      <c r="D68" s="334"/>
      <c r="E68" s="118"/>
      <c r="F68" s="119"/>
      <c r="G68" s="120"/>
      <c r="H68" s="121">
        <f>H66+H67</f>
        <v>267.3607172</v>
      </c>
      <c r="I68" s="122"/>
      <c r="J68" s="122"/>
      <c r="K68" s="122"/>
      <c r="L68" s="123">
        <f>L66+L67</f>
        <v>264.55073020000003</v>
      </c>
      <c r="M68" s="124"/>
      <c r="N68" s="268">
        <f t="shared" si="2"/>
        <v>-2.8099869999999783</v>
      </c>
      <c r="O68" s="126">
        <f t="shared" si="9"/>
        <v>-0.010510096731592618</v>
      </c>
    </row>
    <row r="69" spans="2:15" s="75" customFormat="1" ht="8.25" customHeight="1" thickBot="1">
      <c r="B69" s="127"/>
      <c r="C69" s="128"/>
      <c r="D69" s="129"/>
      <c r="E69" s="128"/>
      <c r="F69" s="86"/>
      <c r="G69" s="130"/>
      <c r="H69" s="88"/>
      <c r="I69" s="131"/>
      <c r="J69" s="86"/>
      <c r="K69" s="132"/>
      <c r="L69" s="88"/>
      <c r="M69" s="131"/>
      <c r="N69" s="133"/>
      <c r="O69" s="92"/>
    </row>
    <row r="70" spans="2:15" s="75" customFormat="1" ht="12.75">
      <c r="B70" s="134" t="s">
        <v>47</v>
      </c>
      <c r="C70" s="77"/>
      <c r="D70" s="77"/>
      <c r="E70" s="77"/>
      <c r="F70" s="135"/>
      <c r="G70" s="136"/>
      <c r="H70" s="137">
        <f>SUM(H61:H62,H53,H54:H57)</f>
        <v>263.25443999999993</v>
      </c>
      <c r="I70" s="138"/>
      <c r="J70" s="139"/>
      <c r="K70" s="139"/>
      <c r="L70" s="191">
        <f>SUM(L61:L62,L53,L54:L57)</f>
        <v>260.48454</v>
      </c>
      <c r="M70" s="140"/>
      <c r="N70" s="269">
        <f>L70-H70</f>
        <v>-2.76989999999995</v>
      </c>
      <c r="O70" s="101">
        <f>IF((H70)=0,"",(N70/H70))</f>
        <v>-0.010521759860916118</v>
      </c>
    </row>
    <row r="71" spans="2:15" s="75" customFormat="1" ht="12.75">
      <c r="B71" s="142" t="s">
        <v>43</v>
      </c>
      <c r="C71" s="77"/>
      <c r="D71" s="77"/>
      <c r="E71" s="77"/>
      <c r="F71" s="143">
        <v>0.13</v>
      </c>
      <c r="G71" s="136"/>
      <c r="H71" s="144">
        <f>H70*F71</f>
        <v>34.22307719999999</v>
      </c>
      <c r="I71" s="145"/>
      <c r="J71" s="146">
        <v>0.13</v>
      </c>
      <c r="K71" s="147"/>
      <c r="L71" s="148">
        <f>L70*J71</f>
        <v>33.8629902</v>
      </c>
      <c r="M71" s="149"/>
      <c r="N71" s="270">
        <f>L71-H71</f>
        <v>-0.36008699999999294</v>
      </c>
      <c r="O71" s="111">
        <f>IF((H71)=0,"",(N71/H71))</f>
        <v>-0.010521759860916103</v>
      </c>
    </row>
    <row r="72" spans="2:15" s="75" customFormat="1" ht="12.75">
      <c r="B72" s="151" t="s">
        <v>44</v>
      </c>
      <c r="C72" s="77"/>
      <c r="D72" s="77"/>
      <c r="E72" s="77"/>
      <c r="F72" s="152"/>
      <c r="G72" s="153"/>
      <c r="H72" s="144">
        <f>H70+H71</f>
        <v>297.4775171999999</v>
      </c>
      <c r="I72" s="145"/>
      <c r="J72" s="145"/>
      <c r="K72" s="145"/>
      <c r="L72" s="148">
        <f>L70+L71</f>
        <v>294.3475302</v>
      </c>
      <c r="M72" s="149"/>
      <c r="N72" s="270">
        <f>L72-H72</f>
        <v>-3.1299869999999146</v>
      </c>
      <c r="O72" s="111">
        <f>IF((H72)=0,"",(N72/H72))</f>
        <v>-0.010521759860916023</v>
      </c>
    </row>
    <row r="73" spans="2:15" s="75" customFormat="1" ht="15.75" customHeight="1">
      <c r="B73" s="335" t="s">
        <v>45</v>
      </c>
      <c r="C73" s="335"/>
      <c r="D73" s="335"/>
      <c r="E73" s="77"/>
      <c r="F73" s="152"/>
      <c r="G73" s="153"/>
      <c r="H73" s="256">
        <f>ROUND(-H72*10%,2)</f>
        <v>-29.75</v>
      </c>
      <c r="I73" s="145"/>
      <c r="J73" s="145"/>
      <c r="K73" s="145"/>
      <c r="L73" s="257">
        <f>ROUND(-L72*10%,2)</f>
        <v>-29.43</v>
      </c>
      <c r="M73" s="149"/>
      <c r="N73" s="258">
        <f>L73-H73</f>
        <v>0.3200000000000003</v>
      </c>
      <c r="O73" s="117">
        <f>IF((H73)=0,"",(N73/H73))</f>
        <v>-0.010756302521008412</v>
      </c>
    </row>
    <row r="74" spans="2:15" s="75" customFormat="1" ht="13.5" thickBot="1">
      <c r="B74" s="326" t="s">
        <v>48</v>
      </c>
      <c r="C74" s="326"/>
      <c r="D74" s="326"/>
      <c r="E74" s="157"/>
      <c r="F74" s="158"/>
      <c r="G74" s="159"/>
      <c r="H74" s="160">
        <f>SUM(H72:H73)</f>
        <v>267.7275171999999</v>
      </c>
      <c r="I74" s="161"/>
      <c r="J74" s="161"/>
      <c r="K74" s="161"/>
      <c r="L74" s="162">
        <f>SUM(L72:L73)</f>
        <v>264.9175302</v>
      </c>
      <c r="M74" s="163"/>
      <c r="N74" s="271">
        <f>L74-H74</f>
        <v>-2.8099869999999214</v>
      </c>
      <c r="O74" s="165">
        <f>IF((H74)=0,"",(N74/H74))</f>
        <v>-0.01049569737689975</v>
      </c>
    </row>
    <row r="75" spans="2:15" s="75" customFormat="1" ht="8.25" customHeight="1" thickBot="1">
      <c r="B75" s="127"/>
      <c r="C75" s="128"/>
      <c r="D75" s="129"/>
      <c r="E75" s="128"/>
      <c r="F75" s="166"/>
      <c r="G75" s="167"/>
      <c r="H75" s="168"/>
      <c r="I75" s="169"/>
      <c r="J75" s="166"/>
      <c r="K75" s="130"/>
      <c r="L75" s="170"/>
      <c r="M75" s="131"/>
      <c r="N75" s="171"/>
      <c r="O75" s="92"/>
    </row>
    <row r="76" ht="10.5" customHeight="1">
      <c r="L76" s="74"/>
    </row>
    <row r="77" spans="2:10" ht="15">
      <c r="B77" s="14" t="s">
        <v>49</v>
      </c>
      <c r="F77" s="172">
        <v>0.0335</v>
      </c>
      <c r="J77" s="172">
        <v>0.0335</v>
      </c>
    </row>
    <row r="78" ht="10.5" customHeight="1"/>
    <row r="79" ht="15">
      <c r="A79" s="173" t="s">
        <v>50</v>
      </c>
    </row>
    <row r="80" ht="10.5" customHeight="1"/>
    <row r="81" ht="15">
      <c r="A81" s="8" t="s">
        <v>51</v>
      </c>
    </row>
    <row r="82" ht="15">
      <c r="A82" s="8" t="s">
        <v>52</v>
      </c>
    </row>
    <row r="84" ht="15">
      <c r="A84" s="13" t="s">
        <v>53</v>
      </c>
    </row>
    <row r="85" ht="15">
      <c r="A85" s="13" t="s">
        <v>54</v>
      </c>
    </row>
    <row r="87" ht="15">
      <c r="A87" s="8" t="s">
        <v>55</v>
      </c>
    </row>
    <row r="88" ht="15">
      <c r="A88" s="8" t="s">
        <v>56</v>
      </c>
    </row>
    <row r="89" ht="15">
      <c r="A89" s="8" t="s">
        <v>57</v>
      </c>
    </row>
    <row r="90" ht="15">
      <c r="A90" s="8" t="s">
        <v>58</v>
      </c>
    </row>
    <row r="91" ht="15">
      <c r="A91" s="8" t="s">
        <v>59</v>
      </c>
    </row>
    <row r="93" spans="1:2" ht="15">
      <c r="A93" s="174"/>
      <c r="B93" s="8" t="s">
        <v>60</v>
      </c>
    </row>
  </sheetData>
  <sheetProtection/>
  <mergeCells count="21">
    <mergeCell ref="N1:O1"/>
    <mergeCell ref="N2:O2"/>
    <mergeCell ref="N6:O6"/>
    <mergeCell ref="N7:O7"/>
    <mergeCell ref="A3:K3"/>
    <mergeCell ref="B10:O10"/>
    <mergeCell ref="B11:O11"/>
    <mergeCell ref="D14:O14"/>
    <mergeCell ref="F20:H20"/>
    <mergeCell ref="J20:L20"/>
    <mergeCell ref="N20:O20"/>
    <mergeCell ref="N3:O3"/>
    <mergeCell ref="N4:O4"/>
    <mergeCell ref="N5:O5"/>
    <mergeCell ref="B74:D74"/>
    <mergeCell ref="D21:D22"/>
    <mergeCell ref="N21:N22"/>
    <mergeCell ref="O21:O22"/>
    <mergeCell ref="B67:D67"/>
    <mergeCell ref="B68:D68"/>
    <mergeCell ref="B73:D73"/>
  </mergeCells>
  <dataValidations count="4">
    <dataValidation type="list" allowBlank="1" showInputMessage="1" showErrorMessage="1" sqref="D16">
      <formula1>"TOU, non-TOU"</formula1>
    </dataValidation>
    <dataValidation type="list" allowBlank="1" showInputMessage="1" showErrorMessage="1" sqref="E75 E69 E61:E62">
      <formula1>'GS&lt;50 (2,000kWh)'!#REF!</formula1>
    </dataValidation>
    <dataValidation type="list" allowBlank="1" showInputMessage="1" showErrorMessage="1" prompt="Select Charge Unit - monthly, per kWh, per kW" sqref="D51:D52 D69 D75 D54:D63 D42:D49 D23:D40">
      <formula1>"Monthly, per kWh, per kW"</formula1>
    </dataValidation>
    <dataValidation type="list" allowBlank="1" showInputMessage="1" showErrorMessage="1" sqref="E51:E52 E54:E60 E63 E42:E49 E23:E40">
      <formula1>'GS&lt;50 (2,000kWh)'!#REF!</formula1>
    </dataValidation>
  </dataValidations>
  <printOptions/>
  <pageMargins left="0.7" right="0.7" top="0.75" bottom="0.75" header="0.3" footer="0.3"/>
  <pageSetup fitToHeight="1" fitToWidth="1" horizontalDpi="600" verticalDpi="600" orientation="portrait" scale="57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93"/>
  <sheetViews>
    <sheetView showGridLines="0" zoomScalePageLayoutView="0" workbookViewId="0" topLeftCell="A9">
      <selection activeCell="J43" sqref="J43"/>
    </sheetView>
  </sheetViews>
  <sheetFormatPr defaultColWidth="9.140625" defaultRowHeight="15"/>
  <cols>
    <col min="1" max="1" width="2.140625" style="8" customWidth="1"/>
    <col min="2" max="2" width="44.5742187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8.57421875" style="8" customWidth="1"/>
    <col min="8" max="8" width="9.7109375" style="8" customWidth="1"/>
    <col min="9" max="9" width="2.8515625" style="8" customWidth="1"/>
    <col min="10" max="10" width="12.140625" style="8" customWidth="1"/>
    <col min="11" max="11" width="8.57421875" style="8" customWidth="1"/>
    <col min="12" max="12" width="9.7109375" style="8" customWidth="1"/>
    <col min="13" max="13" width="2.8515625" style="8" customWidth="1"/>
    <col min="14" max="14" width="12.7109375" style="8" bestFit="1" customWidth="1"/>
    <col min="15" max="15" width="10.8515625" style="8" bestFit="1" customWidth="1"/>
    <col min="16" max="16" width="10.5742187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42" t="str">
        <f>EBNUMBER</f>
        <v>EB-2013-0116</v>
      </c>
      <c r="O1" s="342"/>
      <c r="P1" s="196"/>
      <c r="T1" s="2">
        <v>1</v>
      </c>
    </row>
    <row r="2" spans="1:16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343">
        <v>8</v>
      </c>
      <c r="O2" s="343"/>
      <c r="P2" s="197"/>
    </row>
    <row r="3" spans="1:16" s="2" customFormat="1" ht="15" customHeight="1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" t="s">
        <v>79</v>
      </c>
      <c r="N3" s="344" t="s">
        <v>80</v>
      </c>
      <c r="O3" s="344"/>
      <c r="P3" s="198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343">
        <v>10</v>
      </c>
      <c r="O4" s="343"/>
      <c r="P4" s="197"/>
    </row>
    <row r="5" spans="3:16" s="2" customFormat="1" ht="15" customHeight="1">
      <c r="C5" s="7"/>
      <c r="D5" s="7"/>
      <c r="E5" s="7"/>
      <c r="L5" s="3" t="s">
        <v>81</v>
      </c>
      <c r="N5" s="345" t="s">
        <v>92</v>
      </c>
      <c r="O5" s="345"/>
      <c r="P5" s="196"/>
    </row>
    <row r="6" spans="12:16" s="2" customFormat="1" ht="9" customHeight="1">
      <c r="L6" s="3"/>
      <c r="N6" s="347"/>
      <c r="O6" s="347"/>
      <c r="P6" s="199"/>
    </row>
    <row r="7" spans="12:16" s="2" customFormat="1" ht="15">
      <c r="L7" s="3" t="s">
        <v>83</v>
      </c>
      <c r="N7" s="346">
        <v>41575</v>
      </c>
      <c r="O7" s="346"/>
      <c r="P7" s="200"/>
    </row>
    <row r="8" spans="14:16" s="2" customFormat="1" ht="15" customHeight="1">
      <c r="N8" s="8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337" t="s">
        <v>3</v>
      </c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/>
    </row>
    <row r="11" spans="2:16" ht="18.75" customHeight="1">
      <c r="B11" s="337" t="s">
        <v>4</v>
      </c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338" t="s">
        <v>68</v>
      </c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7" ht="15">
      <c r="B18" s="13"/>
      <c r="D18" s="14" t="s">
        <v>8</v>
      </c>
      <c r="E18" s="14"/>
      <c r="F18" s="15">
        <v>5000</v>
      </c>
      <c r="G18" s="14" t="s">
        <v>9</v>
      </c>
    </row>
    <row r="19" ht="15">
      <c r="B19" s="13"/>
    </row>
    <row r="20" spans="2:15" ht="15">
      <c r="B20" s="13"/>
      <c r="D20" s="16"/>
      <c r="E20" s="16"/>
      <c r="F20" s="339" t="s">
        <v>10</v>
      </c>
      <c r="G20" s="340"/>
      <c r="H20" s="341"/>
      <c r="J20" s="339" t="s">
        <v>11</v>
      </c>
      <c r="K20" s="340"/>
      <c r="L20" s="341"/>
      <c r="N20" s="339" t="s">
        <v>12</v>
      </c>
      <c r="O20" s="341"/>
    </row>
    <row r="21" spans="2:15" ht="15">
      <c r="B21" s="13"/>
      <c r="D21" s="327" t="s">
        <v>13</v>
      </c>
      <c r="E21" s="17"/>
      <c r="F21" s="18" t="s">
        <v>14</v>
      </c>
      <c r="G21" s="18" t="s">
        <v>15</v>
      </c>
      <c r="H21" s="19" t="s">
        <v>16</v>
      </c>
      <c r="J21" s="18" t="s">
        <v>14</v>
      </c>
      <c r="K21" s="20" t="s">
        <v>15</v>
      </c>
      <c r="L21" s="19" t="s">
        <v>16</v>
      </c>
      <c r="N21" s="329" t="s">
        <v>17</v>
      </c>
      <c r="O21" s="331" t="s">
        <v>18</v>
      </c>
    </row>
    <row r="22" spans="2:15" ht="15">
      <c r="B22" s="13"/>
      <c r="D22" s="328"/>
      <c r="E22" s="17"/>
      <c r="F22" s="21" t="s">
        <v>19</v>
      </c>
      <c r="G22" s="21"/>
      <c r="H22" s="22" t="s">
        <v>19</v>
      </c>
      <c r="J22" s="21" t="s">
        <v>19</v>
      </c>
      <c r="K22" s="22"/>
      <c r="L22" s="22" t="s">
        <v>19</v>
      </c>
      <c r="N22" s="330"/>
      <c r="O22" s="332"/>
    </row>
    <row r="23" spans="2:15" ht="22.5" customHeight="1">
      <c r="B23" s="23" t="s">
        <v>20</v>
      </c>
      <c r="C23" s="23"/>
      <c r="D23" s="24" t="s">
        <v>62</v>
      </c>
      <c r="E23" s="25"/>
      <c r="F23" s="176">
        <f>'GS&lt;50 (1,000kWh)'!F23</f>
        <v>13</v>
      </c>
      <c r="G23" s="27">
        <v>1</v>
      </c>
      <c r="H23" s="28">
        <f>G23*F23</f>
        <v>13</v>
      </c>
      <c r="I23" s="29"/>
      <c r="J23" s="175">
        <f>'GS&lt;50 (1,000kWh)'!J23</f>
        <v>13.18</v>
      </c>
      <c r="K23" s="31">
        <v>1</v>
      </c>
      <c r="L23" s="28">
        <f>K23*J23</f>
        <v>13.18</v>
      </c>
      <c r="M23" s="29"/>
      <c r="N23" s="32">
        <f>L23-H23</f>
        <v>0.17999999999999972</v>
      </c>
      <c r="O23" s="33">
        <f>IF((H23)=0,"",(N23/H23))</f>
        <v>0.013846153846153824</v>
      </c>
    </row>
    <row r="24" spans="2:15" ht="22.5" customHeight="1">
      <c r="B24" s="23" t="s">
        <v>102</v>
      </c>
      <c r="C24" s="23"/>
      <c r="D24" s="24" t="s">
        <v>62</v>
      </c>
      <c r="E24" s="25"/>
      <c r="F24" s="255">
        <f>'GS&lt;50 (1,000kWh)'!F24</f>
        <v>0</v>
      </c>
      <c r="G24" s="27">
        <v>1</v>
      </c>
      <c r="H24" s="249">
        <f>G24*F24</f>
        <v>0</v>
      </c>
      <c r="I24" s="29"/>
      <c r="J24" s="175">
        <f>'GS&lt;50 (1,000kWh)'!J24</f>
        <v>0</v>
      </c>
      <c r="K24" s="31">
        <v>1</v>
      </c>
      <c r="L24" s="28">
        <f>K24*J24</f>
        <v>0</v>
      </c>
      <c r="M24" s="29"/>
      <c r="N24" s="32">
        <f>L24-H24</f>
        <v>0</v>
      </c>
      <c r="O24" s="33">
        <f>IF((H24)=0,"",(N24/H24))</f>
      </c>
    </row>
    <row r="25" spans="2:15" ht="36.75" customHeight="1">
      <c r="B25" s="66" t="s">
        <v>125</v>
      </c>
      <c r="C25" s="23"/>
      <c r="D25" s="57" t="s">
        <v>62</v>
      </c>
      <c r="E25" s="25"/>
      <c r="F25" s="272">
        <v>0</v>
      </c>
      <c r="G25" s="27">
        <v>1</v>
      </c>
      <c r="H25" s="249">
        <f>G25*F25</f>
        <v>0</v>
      </c>
      <c r="I25" s="29"/>
      <c r="J25" s="30">
        <f>'GS&lt;50 (1,000kWh)'!J25</f>
        <v>0.79</v>
      </c>
      <c r="K25" s="31">
        <v>1</v>
      </c>
      <c r="L25" s="249">
        <f>K25*J25</f>
        <v>0.79</v>
      </c>
      <c r="M25" s="29"/>
      <c r="N25" s="32">
        <f>L25-H25</f>
        <v>0.79</v>
      </c>
      <c r="O25" s="250">
        <f>IF((H25)=0,"",(N25/H25))</f>
      </c>
    </row>
    <row r="26" spans="2:15" ht="36.75" customHeight="1">
      <c r="B26" s="177" t="s">
        <v>64</v>
      </c>
      <c r="C26" s="23"/>
      <c r="D26" s="57" t="s">
        <v>62</v>
      </c>
      <c r="E26" s="58"/>
      <c r="F26" s="175">
        <v>0</v>
      </c>
      <c r="G26" s="27">
        <v>1</v>
      </c>
      <c r="H26" s="28">
        <f aca="true" t="shared" si="0" ref="H26:H40">G26*F26</f>
        <v>0</v>
      </c>
      <c r="I26" s="29"/>
      <c r="J26" s="30"/>
      <c r="K26" s="31">
        <v>1</v>
      </c>
      <c r="L26" s="28">
        <f aca="true" t="shared" si="1" ref="L26:L40">K26*J26</f>
        <v>0</v>
      </c>
      <c r="M26" s="29"/>
      <c r="N26" s="32">
        <f aca="true" t="shared" si="2" ref="N26:N68">L26-H26</f>
        <v>0</v>
      </c>
      <c r="O26" s="33">
        <f aca="true" t="shared" si="3" ref="O26:O48">IF((H26)=0,"",(N26/H26))</f>
      </c>
    </row>
    <row r="27" spans="2:15" ht="15">
      <c r="B27" s="177" t="s">
        <v>65</v>
      </c>
      <c r="C27" s="23"/>
      <c r="D27" s="24" t="s">
        <v>62</v>
      </c>
      <c r="E27" s="25"/>
      <c r="F27" s="26">
        <f>'GS&lt;50 (1,000kWh)'!F27</f>
        <v>13.36</v>
      </c>
      <c r="G27" s="27">
        <v>1</v>
      </c>
      <c r="H27" s="28">
        <f t="shared" si="0"/>
        <v>13.36</v>
      </c>
      <c r="I27" s="29"/>
      <c r="J27" s="175">
        <v>0</v>
      </c>
      <c r="K27" s="31">
        <v>1</v>
      </c>
      <c r="L27" s="28">
        <f t="shared" si="1"/>
        <v>0</v>
      </c>
      <c r="M27" s="29"/>
      <c r="N27" s="259">
        <f t="shared" si="2"/>
        <v>-13.36</v>
      </c>
      <c r="O27" s="33">
        <f t="shared" si="3"/>
        <v>-1</v>
      </c>
    </row>
    <row r="28" spans="2:15" ht="15">
      <c r="B28" s="47" t="s">
        <v>66</v>
      </c>
      <c r="C28" s="23"/>
      <c r="D28" s="24" t="s">
        <v>63</v>
      </c>
      <c r="E28" s="25"/>
      <c r="F28" s="26">
        <v>0</v>
      </c>
      <c r="G28" s="27">
        <f aca="true" t="shared" si="4" ref="G28:G33">$F$18</f>
        <v>5000</v>
      </c>
      <c r="H28" s="28">
        <f t="shared" si="0"/>
        <v>0</v>
      </c>
      <c r="I28" s="29"/>
      <c r="J28" s="175"/>
      <c r="K28" s="27">
        <f>$F$18</f>
        <v>5000</v>
      </c>
      <c r="L28" s="28">
        <f t="shared" si="1"/>
        <v>0</v>
      </c>
      <c r="M28" s="29"/>
      <c r="N28" s="32">
        <f t="shared" si="2"/>
        <v>0</v>
      </c>
      <c r="O28" s="33">
        <f t="shared" si="3"/>
      </c>
    </row>
    <row r="29" spans="2:15" ht="15">
      <c r="B29" s="47" t="s">
        <v>67</v>
      </c>
      <c r="C29" s="23"/>
      <c r="D29" s="24" t="s">
        <v>63</v>
      </c>
      <c r="E29" s="25"/>
      <c r="F29" s="253">
        <f>'GS&lt;50 (1,000kWh)'!F29</f>
        <v>-0.004</v>
      </c>
      <c r="G29" s="27">
        <f t="shared" si="4"/>
        <v>5000</v>
      </c>
      <c r="H29" s="28">
        <f t="shared" si="0"/>
        <v>-20</v>
      </c>
      <c r="I29" s="29"/>
      <c r="J29" s="30">
        <f>'GS&lt;50 (1,000kWh)'!J29</f>
        <v>0</v>
      </c>
      <c r="K29" s="27">
        <f>$F$18</f>
        <v>5000</v>
      </c>
      <c r="L29" s="28">
        <f t="shared" si="1"/>
        <v>0</v>
      </c>
      <c r="M29" s="29"/>
      <c r="N29" s="32">
        <f t="shared" si="2"/>
        <v>20</v>
      </c>
      <c r="O29" s="33">
        <f t="shared" si="3"/>
        <v>-1</v>
      </c>
    </row>
    <row r="30" spans="2:15" ht="15">
      <c r="B30" s="47" t="s">
        <v>103</v>
      </c>
      <c r="C30" s="23"/>
      <c r="D30" s="24" t="s">
        <v>63</v>
      </c>
      <c r="E30" s="25"/>
      <c r="F30" s="26">
        <f>'GS&lt;50 (1,000kWh)'!F30</f>
        <v>0</v>
      </c>
      <c r="G30" s="27">
        <f t="shared" si="4"/>
        <v>5000</v>
      </c>
      <c r="H30" s="249">
        <f t="shared" si="0"/>
        <v>0</v>
      </c>
      <c r="I30" s="29"/>
      <c r="J30" s="30">
        <f>'GS&lt;50 (1,000kWh)'!J30</f>
        <v>0</v>
      </c>
      <c r="K30" s="27">
        <f>$F$18</f>
        <v>5000</v>
      </c>
      <c r="L30" s="249">
        <f>K30*J30</f>
        <v>0</v>
      </c>
      <c r="M30" s="29"/>
      <c r="N30" s="259">
        <f>L30-H30</f>
        <v>0</v>
      </c>
      <c r="O30" s="250">
        <f>IF((H30)=0,"",(N30/H30))</f>
      </c>
    </row>
    <row r="31" spans="2:15" ht="15">
      <c r="B31" s="23" t="s">
        <v>21</v>
      </c>
      <c r="C31" s="23"/>
      <c r="D31" s="24" t="s">
        <v>63</v>
      </c>
      <c r="E31" s="25"/>
      <c r="F31" s="26">
        <f>'GS&lt;50 (1,000kWh)'!F31</f>
        <v>0.0139</v>
      </c>
      <c r="G31" s="27">
        <f t="shared" si="4"/>
        <v>5000</v>
      </c>
      <c r="H31" s="28">
        <f t="shared" si="0"/>
        <v>69.5</v>
      </c>
      <c r="I31" s="29"/>
      <c r="J31" s="30">
        <f>'GS&lt;50 (1,000kWh)'!J31</f>
        <v>0.0141</v>
      </c>
      <c r="K31" s="27">
        <f>$F$18</f>
        <v>5000</v>
      </c>
      <c r="L31" s="28">
        <f t="shared" si="1"/>
        <v>70.5</v>
      </c>
      <c r="M31" s="29"/>
      <c r="N31" s="32">
        <f t="shared" si="2"/>
        <v>1</v>
      </c>
      <c r="O31" s="33">
        <f t="shared" si="3"/>
        <v>0.014388489208633094</v>
      </c>
    </row>
    <row r="32" spans="2:15" ht="15">
      <c r="B32" s="23" t="s">
        <v>22</v>
      </c>
      <c r="C32" s="23"/>
      <c r="D32" s="24"/>
      <c r="E32" s="25"/>
      <c r="F32" s="26"/>
      <c r="G32" s="27">
        <f t="shared" si="4"/>
        <v>5000</v>
      </c>
      <c r="H32" s="28">
        <f t="shared" si="0"/>
        <v>0</v>
      </c>
      <c r="I32" s="29"/>
      <c r="J32" s="30"/>
      <c r="K32" s="27">
        <f aca="true" t="shared" si="5" ref="K32:K40">$F$18</f>
        <v>5000</v>
      </c>
      <c r="L32" s="28">
        <f t="shared" si="1"/>
        <v>0</v>
      </c>
      <c r="M32" s="29"/>
      <c r="N32" s="32">
        <f t="shared" si="2"/>
        <v>0</v>
      </c>
      <c r="O32" s="33">
        <f t="shared" si="3"/>
      </c>
    </row>
    <row r="33" spans="2:15" ht="15">
      <c r="B33" s="23" t="s">
        <v>124</v>
      </c>
      <c r="C33" s="23"/>
      <c r="D33" s="24" t="s">
        <v>63</v>
      </c>
      <c r="E33" s="25"/>
      <c r="F33" s="26">
        <v>0</v>
      </c>
      <c r="G33" s="27">
        <f t="shared" si="4"/>
        <v>5000</v>
      </c>
      <c r="H33" s="249">
        <f t="shared" si="0"/>
        <v>0</v>
      </c>
      <c r="I33" s="29"/>
      <c r="J33" s="30">
        <f>'GS&lt;50 (1,000kWh)'!$J33</f>
        <v>0.0001</v>
      </c>
      <c r="K33" s="27">
        <f t="shared" si="5"/>
        <v>5000</v>
      </c>
      <c r="L33" s="249">
        <f t="shared" si="1"/>
        <v>0.5</v>
      </c>
      <c r="M33" s="29"/>
      <c r="N33" s="32">
        <f t="shared" si="2"/>
        <v>0.5</v>
      </c>
      <c r="O33" s="250">
        <f t="shared" si="3"/>
      </c>
    </row>
    <row r="34" spans="2:15" ht="15" hidden="1">
      <c r="B34" s="34"/>
      <c r="C34" s="23"/>
      <c r="D34" s="24"/>
      <c r="E34" s="25"/>
      <c r="F34" s="26"/>
      <c r="G34" s="27">
        <f aca="true" t="shared" si="6" ref="G34:G40">$F$18</f>
        <v>5000</v>
      </c>
      <c r="H34" s="28">
        <f t="shared" si="0"/>
        <v>0</v>
      </c>
      <c r="I34" s="29"/>
      <c r="J34" s="30"/>
      <c r="K34" s="27">
        <f t="shared" si="5"/>
        <v>5000</v>
      </c>
      <c r="L34" s="28">
        <f t="shared" si="1"/>
        <v>0</v>
      </c>
      <c r="M34" s="29"/>
      <c r="N34" s="32">
        <f t="shared" si="2"/>
        <v>0</v>
      </c>
      <c r="O34" s="33">
        <f t="shared" si="3"/>
      </c>
    </row>
    <row r="35" spans="2:15" ht="15" hidden="1">
      <c r="B35" s="34"/>
      <c r="C35" s="23"/>
      <c r="D35" s="24"/>
      <c r="E35" s="25"/>
      <c r="F35" s="26"/>
      <c r="G35" s="27">
        <f t="shared" si="6"/>
        <v>5000</v>
      </c>
      <c r="H35" s="28">
        <f t="shared" si="0"/>
        <v>0</v>
      </c>
      <c r="I35" s="29"/>
      <c r="J35" s="30"/>
      <c r="K35" s="27">
        <f t="shared" si="5"/>
        <v>5000</v>
      </c>
      <c r="L35" s="28">
        <f t="shared" si="1"/>
        <v>0</v>
      </c>
      <c r="M35" s="29"/>
      <c r="N35" s="32">
        <f t="shared" si="2"/>
        <v>0</v>
      </c>
      <c r="O35" s="33">
        <f t="shared" si="3"/>
      </c>
    </row>
    <row r="36" spans="2:15" ht="15" hidden="1">
      <c r="B36" s="34"/>
      <c r="C36" s="23"/>
      <c r="D36" s="24"/>
      <c r="E36" s="25"/>
      <c r="F36" s="26"/>
      <c r="G36" s="27">
        <f t="shared" si="6"/>
        <v>5000</v>
      </c>
      <c r="H36" s="28">
        <f t="shared" si="0"/>
        <v>0</v>
      </c>
      <c r="I36" s="29"/>
      <c r="J36" s="30"/>
      <c r="K36" s="27">
        <f t="shared" si="5"/>
        <v>5000</v>
      </c>
      <c r="L36" s="28">
        <f t="shared" si="1"/>
        <v>0</v>
      </c>
      <c r="M36" s="29"/>
      <c r="N36" s="32">
        <f t="shared" si="2"/>
        <v>0</v>
      </c>
      <c r="O36" s="33">
        <f t="shared" si="3"/>
      </c>
    </row>
    <row r="37" spans="2:15" ht="15" hidden="1">
      <c r="B37" s="34"/>
      <c r="C37" s="23"/>
      <c r="D37" s="24"/>
      <c r="E37" s="25"/>
      <c r="F37" s="26"/>
      <c r="G37" s="27">
        <f t="shared" si="6"/>
        <v>5000</v>
      </c>
      <c r="H37" s="28">
        <f t="shared" si="0"/>
        <v>0</v>
      </c>
      <c r="I37" s="29"/>
      <c r="J37" s="30"/>
      <c r="K37" s="27">
        <f t="shared" si="5"/>
        <v>5000</v>
      </c>
      <c r="L37" s="28">
        <f t="shared" si="1"/>
        <v>0</v>
      </c>
      <c r="M37" s="29"/>
      <c r="N37" s="32">
        <f t="shared" si="2"/>
        <v>0</v>
      </c>
      <c r="O37" s="33">
        <f t="shared" si="3"/>
      </c>
    </row>
    <row r="38" spans="2:15" ht="15" hidden="1">
      <c r="B38" s="34"/>
      <c r="C38" s="23"/>
      <c r="D38" s="24"/>
      <c r="E38" s="25"/>
      <c r="F38" s="26"/>
      <c r="G38" s="27">
        <f t="shared" si="6"/>
        <v>5000</v>
      </c>
      <c r="H38" s="28">
        <f t="shared" si="0"/>
        <v>0</v>
      </c>
      <c r="I38" s="29"/>
      <c r="J38" s="30"/>
      <c r="K38" s="27">
        <f t="shared" si="5"/>
        <v>5000</v>
      </c>
      <c r="L38" s="28">
        <f t="shared" si="1"/>
        <v>0</v>
      </c>
      <c r="M38" s="29"/>
      <c r="N38" s="32">
        <f t="shared" si="2"/>
        <v>0</v>
      </c>
      <c r="O38" s="33">
        <f t="shared" si="3"/>
      </c>
    </row>
    <row r="39" spans="2:15" ht="15" hidden="1">
      <c r="B39" s="34"/>
      <c r="C39" s="23"/>
      <c r="D39" s="24"/>
      <c r="E39" s="25"/>
      <c r="F39" s="26"/>
      <c r="G39" s="27">
        <f t="shared" si="6"/>
        <v>5000</v>
      </c>
      <c r="H39" s="28">
        <f t="shared" si="0"/>
        <v>0</v>
      </c>
      <c r="I39" s="29"/>
      <c r="J39" s="30"/>
      <c r="K39" s="27">
        <f t="shared" si="5"/>
        <v>5000</v>
      </c>
      <c r="L39" s="28">
        <f t="shared" si="1"/>
        <v>0</v>
      </c>
      <c r="M39" s="29"/>
      <c r="N39" s="32">
        <f t="shared" si="2"/>
        <v>0</v>
      </c>
      <c r="O39" s="33">
        <f t="shared" si="3"/>
      </c>
    </row>
    <row r="40" spans="2:15" ht="15" hidden="1">
      <c r="B40" s="34"/>
      <c r="C40" s="23"/>
      <c r="D40" s="24"/>
      <c r="E40" s="25"/>
      <c r="F40" s="26"/>
      <c r="G40" s="27">
        <f t="shared" si="6"/>
        <v>5000</v>
      </c>
      <c r="H40" s="28">
        <f t="shared" si="0"/>
        <v>0</v>
      </c>
      <c r="I40" s="29"/>
      <c r="J40" s="30"/>
      <c r="K40" s="27">
        <f t="shared" si="5"/>
        <v>5000</v>
      </c>
      <c r="L40" s="28">
        <f t="shared" si="1"/>
        <v>0</v>
      </c>
      <c r="M40" s="29"/>
      <c r="N40" s="32">
        <f t="shared" si="2"/>
        <v>0</v>
      </c>
      <c r="O40" s="33">
        <f t="shared" si="3"/>
      </c>
    </row>
    <row r="41" spans="2:15" s="35" customFormat="1" ht="15">
      <c r="B41" s="36" t="s">
        <v>24</v>
      </c>
      <c r="C41" s="37"/>
      <c r="D41" s="38"/>
      <c r="E41" s="37"/>
      <c r="F41" s="39"/>
      <c r="G41" s="40"/>
      <c r="H41" s="41">
        <f>SUM(H23:H40)</f>
        <v>75.86</v>
      </c>
      <c r="I41" s="42"/>
      <c r="J41" s="43"/>
      <c r="K41" s="44"/>
      <c r="L41" s="41">
        <f>SUM(L23:L40)</f>
        <v>84.97</v>
      </c>
      <c r="M41" s="42"/>
      <c r="N41" s="45">
        <f t="shared" si="2"/>
        <v>9.11</v>
      </c>
      <c r="O41" s="46">
        <f t="shared" si="3"/>
        <v>0.12008963880833112</v>
      </c>
    </row>
    <row r="42" spans="2:15" ht="15" hidden="1">
      <c r="B42" s="177"/>
      <c r="C42" s="23"/>
      <c r="D42" s="57" t="s">
        <v>62</v>
      </c>
      <c r="E42" s="25"/>
      <c r="F42" s="26"/>
      <c r="G42" s="27">
        <v>1</v>
      </c>
      <c r="H42" s="28">
        <f>G42*F42</f>
        <v>0</v>
      </c>
      <c r="I42" s="29"/>
      <c r="J42" s="175"/>
      <c r="K42" s="31">
        <v>1</v>
      </c>
      <c r="L42" s="28">
        <f>K42*J42</f>
        <v>0</v>
      </c>
      <c r="M42" s="29"/>
      <c r="N42" s="32">
        <f>L42-H42</f>
        <v>0</v>
      </c>
      <c r="O42" s="33">
        <f>IF((H42)=0,"",(N42/H42))</f>
      </c>
    </row>
    <row r="43" spans="2:15" ht="25.5">
      <c r="B43" s="47" t="s">
        <v>25</v>
      </c>
      <c r="C43" s="23"/>
      <c r="D43" s="57" t="s">
        <v>63</v>
      </c>
      <c r="E43" s="58"/>
      <c r="F43" s="254">
        <f>'GS&lt;50 (1,000kWh)'!F43</f>
        <v>-0.0019</v>
      </c>
      <c r="G43" s="27">
        <f>$F$18</f>
        <v>5000</v>
      </c>
      <c r="H43" s="28">
        <f aca="true" t="shared" si="7" ref="H43:H49">G43*F43</f>
        <v>-9.5</v>
      </c>
      <c r="I43" s="29"/>
      <c r="J43" s="254">
        <f>'GS&lt;50 (1,000kWh)'!J43</f>
        <v>-0.0017</v>
      </c>
      <c r="K43" s="27">
        <f>$F$18</f>
        <v>5000</v>
      </c>
      <c r="L43" s="28">
        <f aca="true" t="shared" si="8" ref="L43:L49">K43*J43</f>
        <v>-8.5</v>
      </c>
      <c r="M43" s="29"/>
      <c r="N43" s="32">
        <f t="shared" si="2"/>
        <v>1</v>
      </c>
      <c r="O43" s="33">
        <f t="shared" si="3"/>
        <v>-0.10526315789473684</v>
      </c>
    </row>
    <row r="44" spans="2:15" ht="15" hidden="1">
      <c r="B44" s="47"/>
      <c r="C44" s="23"/>
      <c r="D44" s="24" t="s">
        <v>63</v>
      </c>
      <c r="E44" s="25"/>
      <c r="F44" s="26"/>
      <c r="G44" s="27">
        <f>$F$18</f>
        <v>5000</v>
      </c>
      <c r="H44" s="28">
        <f t="shared" si="7"/>
        <v>0</v>
      </c>
      <c r="I44" s="48"/>
      <c r="J44" s="30"/>
      <c r="K44" s="27">
        <f>$F$18</f>
        <v>5000</v>
      </c>
      <c r="L44" s="28">
        <f t="shared" si="8"/>
        <v>0</v>
      </c>
      <c r="M44" s="49"/>
      <c r="N44" s="32">
        <f t="shared" si="2"/>
        <v>0</v>
      </c>
      <c r="O44" s="33">
        <f t="shared" si="3"/>
      </c>
    </row>
    <row r="45" spans="2:15" ht="15" hidden="1">
      <c r="B45" s="47"/>
      <c r="C45" s="23"/>
      <c r="D45" s="24" t="s">
        <v>63</v>
      </c>
      <c r="E45" s="25"/>
      <c r="F45" s="26"/>
      <c r="G45" s="27">
        <f>$F$18</f>
        <v>5000</v>
      </c>
      <c r="H45" s="28">
        <f t="shared" si="7"/>
        <v>0</v>
      </c>
      <c r="I45" s="48"/>
      <c r="J45" s="30"/>
      <c r="K45" s="27">
        <f>$F$18</f>
        <v>5000</v>
      </c>
      <c r="L45" s="28">
        <f t="shared" si="8"/>
        <v>0</v>
      </c>
      <c r="M45" s="49"/>
      <c r="N45" s="32">
        <f t="shared" si="2"/>
        <v>0</v>
      </c>
      <c r="O45" s="33">
        <f t="shared" si="3"/>
      </c>
    </row>
    <row r="46" spans="2:15" ht="15" hidden="1">
      <c r="B46" s="47"/>
      <c r="C46" s="23"/>
      <c r="D46" s="24"/>
      <c r="E46" s="25"/>
      <c r="F46" s="26"/>
      <c r="G46" s="27">
        <f>$F$18</f>
        <v>5000</v>
      </c>
      <c r="H46" s="28">
        <f t="shared" si="7"/>
        <v>0</v>
      </c>
      <c r="I46" s="48"/>
      <c r="J46" s="30"/>
      <c r="K46" s="27">
        <f>$F$18</f>
        <v>5000</v>
      </c>
      <c r="L46" s="28">
        <f t="shared" si="8"/>
        <v>0</v>
      </c>
      <c r="M46" s="49"/>
      <c r="N46" s="32">
        <f t="shared" si="2"/>
        <v>0</v>
      </c>
      <c r="O46" s="33">
        <f t="shared" si="3"/>
      </c>
    </row>
    <row r="47" spans="2:15" ht="15">
      <c r="B47" s="50" t="s">
        <v>26</v>
      </c>
      <c r="C47" s="23"/>
      <c r="D47" s="24" t="s">
        <v>63</v>
      </c>
      <c r="E47" s="25"/>
      <c r="F47" s="26">
        <f>'GS&lt;50 (1,000kWh)'!F47</f>
        <v>0.0001</v>
      </c>
      <c r="G47" s="27">
        <f>$F$18</f>
        <v>5000</v>
      </c>
      <c r="H47" s="28">
        <f t="shared" si="7"/>
        <v>0.5</v>
      </c>
      <c r="I47" s="29"/>
      <c r="J47" s="30">
        <f>'GS&lt;50 (1,000kWh)'!J47</f>
        <v>0.0001</v>
      </c>
      <c r="K47" s="27">
        <f>$F$18</f>
        <v>5000</v>
      </c>
      <c r="L47" s="28">
        <f t="shared" si="8"/>
        <v>0.5</v>
      </c>
      <c r="M47" s="29"/>
      <c r="N47" s="32">
        <f t="shared" si="2"/>
        <v>0</v>
      </c>
      <c r="O47" s="33">
        <f t="shared" si="3"/>
        <v>0</v>
      </c>
    </row>
    <row r="48" spans="2:15" s="35" customFormat="1" ht="15">
      <c r="B48" s="183" t="s">
        <v>27</v>
      </c>
      <c r="C48" s="25"/>
      <c r="D48" s="184" t="s">
        <v>63</v>
      </c>
      <c r="E48" s="25"/>
      <c r="F48" s="185">
        <f>IF(ISBLANK(D16)=TRUE,0,IF(D16="TOU",0.64*$F$58+0.18*$F$59+0.18*$F$60,IF(AND(D16="non-TOU",G62&gt;0),F62,F61)))</f>
        <v>0.08392</v>
      </c>
      <c r="G48" s="27">
        <f>$F$18*(1+$F$77)-$F$18</f>
        <v>167.5</v>
      </c>
      <c r="H48" s="186">
        <f t="shared" si="7"/>
        <v>14.0566</v>
      </c>
      <c r="I48" s="58"/>
      <c r="J48" s="187">
        <f>0.64*$F$58+0.18*$F$59+0.18*$F$60</f>
        <v>0.08392</v>
      </c>
      <c r="K48" s="27">
        <f>$F$18*(1+$J$77)-$F$18</f>
        <v>167.5</v>
      </c>
      <c r="L48" s="186">
        <f t="shared" si="8"/>
        <v>14.0566</v>
      </c>
      <c r="M48" s="58"/>
      <c r="N48" s="188">
        <f t="shared" si="2"/>
        <v>0</v>
      </c>
      <c r="O48" s="189">
        <f t="shared" si="3"/>
        <v>0</v>
      </c>
    </row>
    <row r="49" spans="2:15" ht="15">
      <c r="B49" s="50" t="s">
        <v>28</v>
      </c>
      <c r="C49" s="23"/>
      <c r="D49" s="24" t="s">
        <v>62</v>
      </c>
      <c r="E49" s="25"/>
      <c r="F49" s="180">
        <v>0.79</v>
      </c>
      <c r="G49" s="27">
        <v>1</v>
      </c>
      <c r="H49" s="28">
        <f t="shared" si="7"/>
        <v>0.79</v>
      </c>
      <c r="I49" s="29"/>
      <c r="J49" s="180">
        <v>0.79</v>
      </c>
      <c r="K49" s="27">
        <v>1</v>
      </c>
      <c r="L49" s="28">
        <f t="shared" si="8"/>
        <v>0.79</v>
      </c>
      <c r="M49" s="29"/>
      <c r="N49" s="32">
        <f t="shared" si="2"/>
        <v>0</v>
      </c>
      <c r="O49" s="33"/>
    </row>
    <row r="50" spans="2:15" ht="25.5">
      <c r="B50" s="51" t="s">
        <v>29</v>
      </c>
      <c r="C50" s="52"/>
      <c r="D50" s="52"/>
      <c r="E50" s="52"/>
      <c r="F50" s="53"/>
      <c r="G50" s="54"/>
      <c r="H50" s="55">
        <f>SUM(H42:H49)+H41</f>
        <v>81.7066</v>
      </c>
      <c r="I50" s="42"/>
      <c r="J50" s="54"/>
      <c r="K50" s="56"/>
      <c r="L50" s="55">
        <f>SUM(L42:L49)+L41</f>
        <v>91.8166</v>
      </c>
      <c r="M50" s="42"/>
      <c r="N50" s="45">
        <f t="shared" si="2"/>
        <v>10.11</v>
      </c>
      <c r="O50" s="46">
        <f aca="true" t="shared" si="9" ref="O50:O68">IF((H50)=0,"",(N50/H50))</f>
        <v>0.12373541427497901</v>
      </c>
    </row>
    <row r="51" spans="2:15" ht="15">
      <c r="B51" s="29" t="s">
        <v>30</v>
      </c>
      <c r="C51" s="29"/>
      <c r="D51" s="57" t="s">
        <v>63</v>
      </c>
      <c r="E51" s="58"/>
      <c r="F51" s="30">
        <f>'GS&lt;50 (1,000kWh)'!F51</f>
        <v>0.0058</v>
      </c>
      <c r="G51" s="59">
        <f>F18*(1+F77)</f>
        <v>5167.5</v>
      </c>
      <c r="H51" s="28">
        <f>G51*F51</f>
        <v>29.9715</v>
      </c>
      <c r="I51" s="29"/>
      <c r="J51" s="30">
        <f>'GS&lt;50 (1,000kWh)'!J51</f>
        <v>0.006</v>
      </c>
      <c r="K51" s="60">
        <f>F18*(1+J77)</f>
        <v>5167.5</v>
      </c>
      <c r="L51" s="28">
        <f>K51*J51</f>
        <v>31.005</v>
      </c>
      <c r="M51" s="29"/>
      <c r="N51" s="32">
        <f t="shared" si="2"/>
        <v>1.0335</v>
      </c>
      <c r="O51" s="33">
        <f t="shared" si="9"/>
        <v>0.03448275862068966</v>
      </c>
    </row>
    <row r="52" spans="2:15" ht="15">
      <c r="B52" s="61" t="s">
        <v>31</v>
      </c>
      <c r="C52" s="29"/>
      <c r="D52" s="57" t="s">
        <v>63</v>
      </c>
      <c r="E52" s="58"/>
      <c r="F52" s="30">
        <f>'GS&lt;50 (1,000kWh)'!F52</f>
        <v>0.0039</v>
      </c>
      <c r="G52" s="59">
        <f>G51</f>
        <v>5167.5</v>
      </c>
      <c r="H52" s="28">
        <f>G52*F52</f>
        <v>20.15325</v>
      </c>
      <c r="I52" s="29"/>
      <c r="J52" s="30">
        <f>'GS&lt;50 (1,000kWh)'!J52</f>
        <v>0.004</v>
      </c>
      <c r="K52" s="60">
        <f>K51</f>
        <v>5167.5</v>
      </c>
      <c r="L52" s="28">
        <f>K52*J52</f>
        <v>20.67</v>
      </c>
      <c r="M52" s="29"/>
      <c r="N52" s="32">
        <f t="shared" si="2"/>
        <v>0.5167500000000018</v>
      </c>
      <c r="O52" s="33">
        <f t="shared" si="9"/>
        <v>0.02564102564102573</v>
      </c>
    </row>
    <row r="53" spans="2:15" ht="15">
      <c r="B53" s="51" t="s">
        <v>32</v>
      </c>
      <c r="C53" s="37"/>
      <c r="D53" s="37"/>
      <c r="E53" s="37"/>
      <c r="F53" s="62"/>
      <c r="G53" s="54"/>
      <c r="H53" s="55">
        <f>SUM(H50:H52)</f>
        <v>131.83135</v>
      </c>
      <c r="I53" s="63"/>
      <c r="J53" s="64"/>
      <c r="K53" s="65"/>
      <c r="L53" s="55">
        <f>SUM(L50:L52)</f>
        <v>143.4916</v>
      </c>
      <c r="M53" s="63"/>
      <c r="N53" s="45">
        <f t="shared" si="2"/>
        <v>11.660250000000019</v>
      </c>
      <c r="O53" s="46">
        <f t="shared" si="9"/>
        <v>0.08844823329200543</v>
      </c>
    </row>
    <row r="54" spans="2:15" ht="15">
      <c r="B54" s="66" t="s">
        <v>33</v>
      </c>
      <c r="C54" s="23"/>
      <c r="D54" s="24" t="s">
        <v>63</v>
      </c>
      <c r="E54" s="25"/>
      <c r="F54" s="67">
        <v>0.0044</v>
      </c>
      <c r="G54" s="59">
        <f>G52</f>
        <v>5167.5</v>
      </c>
      <c r="H54" s="68">
        <f aca="true" t="shared" si="10" ref="H54:H60">G54*F54</f>
        <v>22.737000000000002</v>
      </c>
      <c r="I54" s="29"/>
      <c r="J54" s="69">
        <v>0.0044</v>
      </c>
      <c r="K54" s="60">
        <f>K52</f>
        <v>5167.5</v>
      </c>
      <c r="L54" s="68">
        <f aca="true" t="shared" si="11" ref="L54:L60">K54*J54</f>
        <v>22.737000000000002</v>
      </c>
      <c r="M54" s="29"/>
      <c r="N54" s="32">
        <f t="shared" si="2"/>
        <v>0</v>
      </c>
      <c r="O54" s="70">
        <f t="shared" si="9"/>
        <v>0</v>
      </c>
    </row>
    <row r="55" spans="2:15" ht="15">
      <c r="B55" s="66" t="s">
        <v>34</v>
      </c>
      <c r="C55" s="23"/>
      <c r="D55" s="24" t="s">
        <v>63</v>
      </c>
      <c r="E55" s="25"/>
      <c r="F55" s="67">
        <v>0.0013</v>
      </c>
      <c r="G55" s="59">
        <f>G52</f>
        <v>5167.5</v>
      </c>
      <c r="H55" s="68">
        <f t="shared" si="10"/>
        <v>6.71775</v>
      </c>
      <c r="I55" s="29"/>
      <c r="J55" s="69">
        <v>0.0013</v>
      </c>
      <c r="K55" s="60">
        <f>K52</f>
        <v>5167.5</v>
      </c>
      <c r="L55" s="68">
        <f t="shared" si="11"/>
        <v>6.71775</v>
      </c>
      <c r="M55" s="29"/>
      <c r="N55" s="32">
        <f t="shared" si="2"/>
        <v>0</v>
      </c>
      <c r="O55" s="70">
        <f t="shared" si="9"/>
        <v>0</v>
      </c>
    </row>
    <row r="56" spans="2:15" ht="15">
      <c r="B56" s="23" t="s">
        <v>35</v>
      </c>
      <c r="C56" s="23"/>
      <c r="D56" s="24" t="s">
        <v>62</v>
      </c>
      <c r="E56" s="25"/>
      <c r="F56" s="178">
        <v>0.25</v>
      </c>
      <c r="G56" s="27">
        <v>1</v>
      </c>
      <c r="H56" s="68">
        <f t="shared" si="10"/>
        <v>0.25</v>
      </c>
      <c r="I56" s="29"/>
      <c r="J56" s="179">
        <v>0.25</v>
      </c>
      <c r="K56" s="31">
        <v>1</v>
      </c>
      <c r="L56" s="68">
        <f t="shared" si="11"/>
        <v>0.25</v>
      </c>
      <c r="M56" s="29"/>
      <c r="N56" s="32">
        <f t="shared" si="2"/>
        <v>0</v>
      </c>
      <c r="O56" s="70">
        <f t="shared" si="9"/>
        <v>0</v>
      </c>
    </row>
    <row r="57" spans="2:15" ht="15">
      <c r="B57" s="23" t="s">
        <v>36</v>
      </c>
      <c r="C57" s="23"/>
      <c r="D57" s="24" t="s">
        <v>63</v>
      </c>
      <c r="E57" s="25"/>
      <c r="F57" s="67">
        <v>0.007</v>
      </c>
      <c r="G57" s="71">
        <f>F18</f>
        <v>5000</v>
      </c>
      <c r="H57" s="68">
        <f t="shared" si="10"/>
        <v>35</v>
      </c>
      <c r="I57" s="29"/>
      <c r="J57" s="69">
        <f>0.007</f>
        <v>0.007</v>
      </c>
      <c r="K57" s="72">
        <f>F18</f>
        <v>5000</v>
      </c>
      <c r="L57" s="68">
        <f t="shared" si="11"/>
        <v>35</v>
      </c>
      <c r="M57" s="29"/>
      <c r="N57" s="32">
        <f t="shared" si="2"/>
        <v>0</v>
      </c>
      <c r="O57" s="70">
        <f t="shared" si="9"/>
        <v>0</v>
      </c>
    </row>
    <row r="58" spans="2:19" ht="15">
      <c r="B58" s="50" t="s">
        <v>37</v>
      </c>
      <c r="C58" s="23"/>
      <c r="D58" s="24" t="s">
        <v>63</v>
      </c>
      <c r="E58" s="25"/>
      <c r="F58" s="73">
        <v>0.067</v>
      </c>
      <c r="G58" s="71">
        <f>0.64*$F$18</f>
        <v>3200</v>
      </c>
      <c r="H58" s="68">
        <f t="shared" si="10"/>
        <v>214.4</v>
      </c>
      <c r="I58" s="29"/>
      <c r="J58" s="67">
        <v>0.067</v>
      </c>
      <c r="K58" s="71">
        <f>G58</f>
        <v>3200</v>
      </c>
      <c r="L58" s="68">
        <f t="shared" si="11"/>
        <v>214.4</v>
      </c>
      <c r="M58" s="29"/>
      <c r="N58" s="32">
        <f t="shared" si="2"/>
        <v>0</v>
      </c>
      <c r="O58" s="70">
        <f t="shared" si="9"/>
        <v>0</v>
      </c>
      <c r="S58" s="74"/>
    </row>
    <row r="59" spans="2:19" ht="15">
      <c r="B59" s="50" t="s">
        <v>38</v>
      </c>
      <c r="C59" s="23"/>
      <c r="D59" s="24" t="s">
        <v>63</v>
      </c>
      <c r="E59" s="25"/>
      <c r="F59" s="73">
        <v>0.104</v>
      </c>
      <c r="G59" s="71">
        <f>0.18*$F$18</f>
        <v>900</v>
      </c>
      <c r="H59" s="68">
        <f t="shared" si="10"/>
        <v>93.6</v>
      </c>
      <c r="I59" s="29"/>
      <c r="J59" s="67">
        <v>0.104</v>
      </c>
      <c r="K59" s="71">
        <f>G59</f>
        <v>900</v>
      </c>
      <c r="L59" s="68">
        <f t="shared" si="11"/>
        <v>93.6</v>
      </c>
      <c r="M59" s="29"/>
      <c r="N59" s="32">
        <f t="shared" si="2"/>
        <v>0</v>
      </c>
      <c r="O59" s="70">
        <f t="shared" si="9"/>
        <v>0</v>
      </c>
      <c r="S59" s="74"/>
    </row>
    <row r="60" spans="2:19" ht="15">
      <c r="B60" s="13" t="s">
        <v>39</v>
      </c>
      <c r="C60" s="23"/>
      <c r="D60" s="24" t="s">
        <v>63</v>
      </c>
      <c r="E60" s="25"/>
      <c r="F60" s="73">
        <v>0.124</v>
      </c>
      <c r="G60" s="71">
        <f>0.18*$F$18</f>
        <v>900</v>
      </c>
      <c r="H60" s="68">
        <f t="shared" si="10"/>
        <v>111.6</v>
      </c>
      <c r="I60" s="29"/>
      <c r="J60" s="67">
        <v>0.124</v>
      </c>
      <c r="K60" s="71">
        <f>G60</f>
        <v>900</v>
      </c>
      <c r="L60" s="68">
        <f t="shared" si="11"/>
        <v>111.6</v>
      </c>
      <c r="M60" s="29"/>
      <c r="N60" s="32">
        <f t="shared" si="2"/>
        <v>0</v>
      </c>
      <c r="O60" s="70">
        <f t="shared" si="9"/>
        <v>0</v>
      </c>
      <c r="S60" s="74"/>
    </row>
    <row r="61" spans="2:15" s="75" customFormat="1" ht="15">
      <c r="B61" s="76" t="s">
        <v>40</v>
      </c>
      <c r="C61" s="77"/>
      <c r="D61" s="78" t="s">
        <v>63</v>
      </c>
      <c r="E61" s="79"/>
      <c r="F61" s="73">
        <v>0.075</v>
      </c>
      <c r="G61" s="80">
        <f>IF(AND($T$1=1,F18&gt;=600),600,IF(AND($T$1=1,AND(F18&lt;600,F18&gt;=0)),F18,IF(AND($T$1=2,F18&gt;=1000),1000,IF(AND($T$1=2,AND(F18&lt;1000,F18&gt;=0)),F18))))</f>
        <v>600</v>
      </c>
      <c r="H61" s="68">
        <f>G61*F61</f>
        <v>45</v>
      </c>
      <c r="I61" s="81"/>
      <c r="J61" s="67">
        <v>0.075</v>
      </c>
      <c r="K61" s="80">
        <f>G61</f>
        <v>600</v>
      </c>
      <c r="L61" s="68">
        <f>K61*J61</f>
        <v>45</v>
      </c>
      <c r="M61" s="81"/>
      <c r="N61" s="82">
        <f t="shared" si="2"/>
        <v>0</v>
      </c>
      <c r="O61" s="70">
        <f t="shared" si="9"/>
        <v>0</v>
      </c>
    </row>
    <row r="62" spans="2:15" s="75" customFormat="1" ht="15.75" thickBot="1">
      <c r="B62" s="76" t="s">
        <v>41</v>
      </c>
      <c r="C62" s="77"/>
      <c r="D62" s="78" t="s">
        <v>63</v>
      </c>
      <c r="E62" s="79"/>
      <c r="F62" s="73">
        <v>0.088</v>
      </c>
      <c r="G62" s="80">
        <f>IF(AND($T$1=1,F18&gt;=600),F18-600,IF(AND($T$1=1,AND(F18&lt;600,F18&gt;=0)),0,IF(AND($T$1=2,F18&gt;=1000),F18-1000,IF(AND($T$1=2,AND(F18&lt;1000,F18&gt;=0)),0))))</f>
        <v>4400</v>
      </c>
      <c r="H62" s="68">
        <f>G62*F62</f>
        <v>387.2</v>
      </c>
      <c r="I62" s="81"/>
      <c r="J62" s="67">
        <v>0.088</v>
      </c>
      <c r="K62" s="80">
        <f>G62</f>
        <v>4400</v>
      </c>
      <c r="L62" s="68">
        <f>K62*J62</f>
        <v>387.2</v>
      </c>
      <c r="M62" s="81"/>
      <c r="N62" s="82">
        <f t="shared" si="2"/>
        <v>0</v>
      </c>
      <c r="O62" s="70">
        <f t="shared" si="9"/>
        <v>0</v>
      </c>
    </row>
    <row r="63" spans="2:15" ht="8.25" customHeight="1" thickBot="1">
      <c r="B63" s="83"/>
      <c r="C63" s="84"/>
      <c r="D63" s="85"/>
      <c r="E63" s="84"/>
      <c r="F63" s="86"/>
      <c r="G63" s="87"/>
      <c r="H63" s="88"/>
      <c r="I63" s="89"/>
      <c r="J63" s="86"/>
      <c r="K63" s="90"/>
      <c r="L63" s="88"/>
      <c r="M63" s="89"/>
      <c r="N63" s="91"/>
      <c r="O63" s="92"/>
    </row>
    <row r="64" spans="2:19" ht="15">
      <c r="B64" s="93" t="s">
        <v>42</v>
      </c>
      <c r="C64" s="23"/>
      <c r="D64" s="23"/>
      <c r="E64" s="23"/>
      <c r="F64" s="94"/>
      <c r="G64" s="95"/>
      <c r="H64" s="96">
        <f>SUM(H54:H60,H53)</f>
        <v>616.1360999999999</v>
      </c>
      <c r="I64" s="97"/>
      <c r="J64" s="98"/>
      <c r="K64" s="98"/>
      <c r="L64" s="192">
        <f>SUM(L54:L60,L53)</f>
        <v>627.7963500000001</v>
      </c>
      <c r="M64" s="99"/>
      <c r="N64" s="100">
        <f>L64-H64</f>
        <v>11.660250000000133</v>
      </c>
      <c r="O64" s="101">
        <f>IF((H64)=0,"",(N64/H64))</f>
        <v>0.018924795998806324</v>
      </c>
      <c r="S64" s="74"/>
    </row>
    <row r="65" spans="2:19" ht="15">
      <c r="B65" s="102" t="s">
        <v>43</v>
      </c>
      <c r="C65" s="23"/>
      <c r="D65" s="23"/>
      <c r="E65" s="23"/>
      <c r="F65" s="103">
        <v>0.13</v>
      </c>
      <c r="G65" s="104"/>
      <c r="H65" s="105">
        <f>H64*F65</f>
        <v>80.09769299999999</v>
      </c>
      <c r="I65" s="106"/>
      <c r="J65" s="107">
        <v>0.13</v>
      </c>
      <c r="K65" s="106"/>
      <c r="L65" s="108">
        <f>L64*J65</f>
        <v>81.61352550000001</v>
      </c>
      <c r="M65" s="109"/>
      <c r="N65" s="110">
        <f t="shared" si="2"/>
        <v>1.5158325000000161</v>
      </c>
      <c r="O65" s="111">
        <f t="shared" si="9"/>
        <v>0.01892479599880631</v>
      </c>
      <c r="S65" s="74"/>
    </row>
    <row r="66" spans="2:19" ht="15">
      <c r="B66" s="112" t="s">
        <v>44</v>
      </c>
      <c r="C66" s="23"/>
      <c r="D66" s="23"/>
      <c r="E66" s="23"/>
      <c r="F66" s="113"/>
      <c r="G66" s="104"/>
      <c r="H66" s="105">
        <f>H64+H65</f>
        <v>696.2337929999999</v>
      </c>
      <c r="I66" s="106"/>
      <c r="J66" s="106"/>
      <c r="K66" s="106"/>
      <c r="L66" s="108">
        <f>L64+L65</f>
        <v>709.4098755000001</v>
      </c>
      <c r="M66" s="109"/>
      <c r="N66" s="110">
        <f t="shared" si="2"/>
        <v>13.176082500000234</v>
      </c>
      <c r="O66" s="111">
        <f t="shared" si="9"/>
        <v>0.01892479599880645</v>
      </c>
      <c r="S66" s="74"/>
    </row>
    <row r="67" spans="2:15" ht="15.75" customHeight="1">
      <c r="B67" s="333" t="s">
        <v>45</v>
      </c>
      <c r="C67" s="333"/>
      <c r="D67" s="333"/>
      <c r="E67" s="23"/>
      <c r="F67" s="113"/>
      <c r="G67" s="104"/>
      <c r="H67" s="263">
        <f>ROUND(-H66*10%,2)</f>
        <v>-69.62</v>
      </c>
      <c r="I67" s="106"/>
      <c r="J67" s="106"/>
      <c r="K67" s="106"/>
      <c r="L67" s="264">
        <f>ROUND(-L66*10%,2)</f>
        <v>-70.94</v>
      </c>
      <c r="M67" s="109"/>
      <c r="N67" s="265">
        <f t="shared" si="2"/>
        <v>-1.3199999999999932</v>
      </c>
      <c r="O67" s="117">
        <f t="shared" si="9"/>
        <v>0.018960068945705157</v>
      </c>
    </row>
    <row r="68" spans="2:15" ht="15.75" thickBot="1">
      <c r="B68" s="334" t="s">
        <v>46</v>
      </c>
      <c r="C68" s="334"/>
      <c r="D68" s="334"/>
      <c r="E68" s="118"/>
      <c r="F68" s="119"/>
      <c r="G68" s="120"/>
      <c r="H68" s="121">
        <f>H66+H67</f>
        <v>626.6137929999999</v>
      </c>
      <c r="I68" s="122"/>
      <c r="J68" s="122"/>
      <c r="K68" s="122"/>
      <c r="L68" s="123">
        <f>L66+L67</f>
        <v>638.4698755000002</v>
      </c>
      <c r="M68" s="124"/>
      <c r="N68" s="125">
        <f t="shared" si="2"/>
        <v>11.856082500000298</v>
      </c>
      <c r="O68" s="126">
        <f t="shared" si="9"/>
        <v>0.018920876993846033</v>
      </c>
    </row>
    <row r="69" spans="2:15" s="75" customFormat="1" ht="8.25" customHeight="1" thickBot="1">
      <c r="B69" s="127"/>
      <c r="C69" s="128"/>
      <c r="D69" s="129"/>
      <c r="E69" s="128"/>
      <c r="F69" s="86"/>
      <c r="G69" s="130"/>
      <c r="H69" s="88"/>
      <c r="I69" s="131"/>
      <c r="J69" s="86"/>
      <c r="K69" s="132"/>
      <c r="L69" s="88"/>
      <c r="M69" s="131"/>
      <c r="N69" s="133"/>
      <c r="O69" s="92"/>
    </row>
    <row r="70" spans="2:15" s="75" customFormat="1" ht="12.75">
      <c r="B70" s="134" t="s">
        <v>47</v>
      </c>
      <c r="C70" s="77"/>
      <c r="D70" s="77"/>
      <c r="E70" s="77"/>
      <c r="F70" s="135"/>
      <c r="G70" s="136"/>
      <c r="H70" s="137">
        <f>SUM(H61:H62,H53,H54:H57)</f>
        <v>628.7361</v>
      </c>
      <c r="I70" s="138"/>
      <c r="J70" s="139"/>
      <c r="K70" s="139"/>
      <c r="L70" s="191">
        <f>SUM(L61:L62,L53,L54:L57)</f>
        <v>640.39635</v>
      </c>
      <c r="M70" s="140"/>
      <c r="N70" s="141">
        <f>L70-H70</f>
        <v>11.660250000000019</v>
      </c>
      <c r="O70" s="101">
        <f>IF((H70)=0,"",(N70/H70))</f>
        <v>0.018545539217487306</v>
      </c>
    </row>
    <row r="71" spans="2:15" s="75" customFormat="1" ht="12.75">
      <c r="B71" s="142" t="s">
        <v>43</v>
      </c>
      <c r="C71" s="77"/>
      <c r="D71" s="77"/>
      <c r="E71" s="77"/>
      <c r="F71" s="143">
        <v>0.13</v>
      </c>
      <c r="G71" s="136"/>
      <c r="H71" s="144">
        <f>H70*F71</f>
        <v>81.735693</v>
      </c>
      <c r="I71" s="145"/>
      <c r="J71" s="146">
        <v>0.13</v>
      </c>
      <c r="K71" s="147"/>
      <c r="L71" s="148">
        <f>L70*J71</f>
        <v>83.2515255</v>
      </c>
      <c r="M71" s="149"/>
      <c r="N71" s="150">
        <f>L71-H71</f>
        <v>1.515832500000002</v>
      </c>
      <c r="O71" s="111">
        <f>IF((H71)=0,"",(N71/H71))</f>
        <v>0.0185455392174873</v>
      </c>
    </row>
    <row r="72" spans="2:15" s="75" customFormat="1" ht="12.75">
      <c r="B72" s="151" t="s">
        <v>44</v>
      </c>
      <c r="C72" s="77"/>
      <c r="D72" s="77"/>
      <c r="E72" s="77"/>
      <c r="F72" s="152"/>
      <c r="G72" s="153"/>
      <c r="H72" s="144">
        <f>H70+H71</f>
        <v>710.4717929999999</v>
      </c>
      <c r="I72" s="145"/>
      <c r="J72" s="145"/>
      <c r="K72" s="145"/>
      <c r="L72" s="148">
        <f>L70+L71</f>
        <v>723.6478754999999</v>
      </c>
      <c r="M72" s="149"/>
      <c r="N72" s="150">
        <f>L72-H72</f>
        <v>13.176082500000007</v>
      </c>
      <c r="O72" s="111">
        <f>IF((H72)=0,"",(N72/H72))</f>
        <v>0.018545539217487285</v>
      </c>
    </row>
    <row r="73" spans="2:15" s="75" customFormat="1" ht="15.75" customHeight="1">
      <c r="B73" s="335" t="s">
        <v>45</v>
      </c>
      <c r="C73" s="335"/>
      <c r="D73" s="335"/>
      <c r="E73" s="77"/>
      <c r="F73" s="152"/>
      <c r="G73" s="153"/>
      <c r="H73" s="256">
        <f>ROUND(-H72*10%,2)</f>
        <v>-71.05</v>
      </c>
      <c r="I73" s="145"/>
      <c r="J73" s="145"/>
      <c r="K73" s="145"/>
      <c r="L73" s="257">
        <f>ROUND(-L72*10%,2)</f>
        <v>-72.36</v>
      </c>
      <c r="M73" s="149"/>
      <c r="N73" s="258">
        <f>L73-H73</f>
        <v>-1.3100000000000023</v>
      </c>
      <c r="O73" s="117">
        <f>IF((H73)=0,"",(N73/H73))</f>
        <v>0.018437719915552462</v>
      </c>
    </row>
    <row r="74" spans="2:15" s="75" customFormat="1" ht="13.5" thickBot="1">
      <c r="B74" s="326" t="s">
        <v>48</v>
      </c>
      <c r="C74" s="326"/>
      <c r="D74" s="326"/>
      <c r="E74" s="157"/>
      <c r="F74" s="158"/>
      <c r="G74" s="159"/>
      <c r="H74" s="160">
        <f>SUM(H72:H73)</f>
        <v>639.421793</v>
      </c>
      <c r="I74" s="161"/>
      <c r="J74" s="161"/>
      <c r="K74" s="161"/>
      <c r="L74" s="162">
        <f>SUM(L72:L73)</f>
        <v>651.2878754999999</v>
      </c>
      <c r="M74" s="163"/>
      <c r="N74" s="164">
        <f>L74-H74</f>
        <v>11.866082499999948</v>
      </c>
      <c r="O74" s="165">
        <f>IF((H74)=0,"",(N74/H74))</f>
        <v>0.01855751966839821</v>
      </c>
    </row>
    <row r="75" spans="2:15" s="75" customFormat="1" ht="8.25" customHeight="1" thickBot="1">
      <c r="B75" s="127"/>
      <c r="C75" s="128"/>
      <c r="D75" s="129"/>
      <c r="E75" s="128"/>
      <c r="F75" s="166"/>
      <c r="G75" s="167"/>
      <c r="H75" s="168"/>
      <c r="I75" s="169"/>
      <c r="J75" s="166"/>
      <c r="K75" s="130"/>
      <c r="L75" s="170"/>
      <c r="M75" s="131"/>
      <c r="N75" s="171"/>
      <c r="O75" s="92"/>
    </row>
    <row r="76" ht="10.5" customHeight="1">
      <c r="L76" s="74"/>
    </row>
    <row r="77" spans="2:10" ht="15">
      <c r="B77" s="14" t="s">
        <v>49</v>
      </c>
      <c r="F77" s="172">
        <v>0.0335</v>
      </c>
      <c r="J77" s="172">
        <v>0.0335</v>
      </c>
    </row>
    <row r="78" ht="10.5" customHeight="1"/>
    <row r="79" ht="15">
      <c r="A79" s="173" t="s">
        <v>50</v>
      </c>
    </row>
    <row r="80" ht="10.5" customHeight="1"/>
    <row r="81" ht="15">
      <c r="A81" s="8" t="s">
        <v>51</v>
      </c>
    </row>
    <row r="82" ht="15">
      <c r="A82" s="8" t="s">
        <v>52</v>
      </c>
    </row>
    <row r="84" ht="15">
      <c r="A84" s="13" t="s">
        <v>53</v>
      </c>
    </row>
    <row r="85" ht="15">
      <c r="A85" s="13" t="s">
        <v>54</v>
      </c>
    </row>
    <row r="87" ht="15">
      <c r="A87" s="8" t="s">
        <v>55</v>
      </c>
    </row>
    <row r="88" ht="15">
      <c r="A88" s="8" t="s">
        <v>56</v>
      </c>
    </row>
    <row r="89" ht="15">
      <c r="A89" s="8" t="s">
        <v>57</v>
      </c>
    </row>
    <row r="90" ht="15">
      <c r="A90" s="8" t="s">
        <v>58</v>
      </c>
    </row>
    <row r="91" ht="15">
      <c r="A91" s="8" t="s">
        <v>59</v>
      </c>
    </row>
    <row r="93" spans="1:2" ht="15">
      <c r="A93" s="174"/>
      <c r="B93" s="8" t="s">
        <v>60</v>
      </c>
    </row>
  </sheetData>
  <sheetProtection/>
  <mergeCells count="21">
    <mergeCell ref="N1:O1"/>
    <mergeCell ref="N2:O2"/>
    <mergeCell ref="N6:O6"/>
    <mergeCell ref="N7:O7"/>
    <mergeCell ref="A3:K3"/>
    <mergeCell ref="B10:O10"/>
    <mergeCell ref="B11:O11"/>
    <mergeCell ref="D14:O14"/>
    <mergeCell ref="F20:H20"/>
    <mergeCell ref="J20:L20"/>
    <mergeCell ref="N20:O20"/>
    <mergeCell ref="N3:O3"/>
    <mergeCell ref="N4:O4"/>
    <mergeCell ref="N5:O5"/>
    <mergeCell ref="B74:D74"/>
    <mergeCell ref="D21:D22"/>
    <mergeCell ref="N21:N22"/>
    <mergeCell ref="O21:O22"/>
    <mergeCell ref="B67:D67"/>
    <mergeCell ref="B68:D68"/>
    <mergeCell ref="B73:D73"/>
  </mergeCells>
  <dataValidations count="4">
    <dataValidation type="list" allowBlank="1" showInputMessage="1" showErrorMessage="1" sqref="E51:E52 E54:E60 E63 E42:E49 E23:E40">
      <formula1>'GS&lt;50 (5,000kWh)'!#REF!</formula1>
    </dataValidation>
    <dataValidation type="list" allowBlank="1" showInputMessage="1" showErrorMessage="1" prompt="Select Charge Unit - monthly, per kWh, per kW" sqref="D51:D52 D69 D75 D54:D63 D42:D49 D23:D40">
      <formula1>"Monthly, per kWh, per kW"</formula1>
    </dataValidation>
    <dataValidation type="list" allowBlank="1" showInputMessage="1" showErrorMessage="1" sqref="E75 E69 E61:E62">
      <formula1>'GS&lt;50 (5,000kWh)'!#REF!</formula1>
    </dataValidation>
    <dataValidation type="list" allowBlank="1" showInputMessage="1" showErrorMessage="1" sqref="D16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93"/>
  <sheetViews>
    <sheetView showGridLines="0" zoomScalePageLayoutView="0" workbookViewId="0" topLeftCell="A12">
      <selection activeCell="J43" sqref="J43"/>
    </sheetView>
  </sheetViews>
  <sheetFormatPr defaultColWidth="9.140625" defaultRowHeight="15"/>
  <cols>
    <col min="1" max="1" width="2.140625" style="8" customWidth="1"/>
    <col min="2" max="2" width="44.5742187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8.57421875" style="8" customWidth="1"/>
    <col min="8" max="8" width="10.28125" style="8" bestFit="1" customWidth="1"/>
    <col min="9" max="9" width="2.8515625" style="8" customWidth="1"/>
    <col min="10" max="10" width="12.140625" style="8" customWidth="1"/>
    <col min="11" max="11" width="8.57421875" style="8" customWidth="1"/>
    <col min="12" max="12" width="10.28125" style="8" bestFit="1" customWidth="1"/>
    <col min="13" max="13" width="2.8515625" style="8" customWidth="1"/>
    <col min="14" max="14" width="12.7109375" style="8" bestFit="1" customWidth="1"/>
    <col min="15" max="15" width="10.8515625" style="8" bestFit="1" customWidth="1"/>
    <col min="16" max="16" width="11.42187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42" t="str">
        <f>EBNUMBER</f>
        <v>EB-2013-0116</v>
      </c>
      <c r="O1" s="342"/>
      <c r="P1" s="196"/>
      <c r="T1" s="2">
        <v>1</v>
      </c>
    </row>
    <row r="2" spans="1:16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343">
        <v>8</v>
      </c>
      <c r="O2" s="343"/>
      <c r="P2" s="197"/>
    </row>
    <row r="3" spans="1:16" s="2" customFormat="1" ht="15" customHeight="1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" t="s">
        <v>79</v>
      </c>
      <c r="N3" s="344" t="s">
        <v>80</v>
      </c>
      <c r="O3" s="344"/>
      <c r="P3" s="198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343">
        <v>11</v>
      </c>
      <c r="O4" s="343"/>
      <c r="P4" s="197"/>
    </row>
    <row r="5" spans="3:16" s="2" customFormat="1" ht="15" customHeight="1">
      <c r="C5" s="7"/>
      <c r="D5" s="7"/>
      <c r="E5" s="7"/>
      <c r="L5" s="3" t="s">
        <v>81</v>
      </c>
      <c r="N5" s="345" t="s">
        <v>93</v>
      </c>
      <c r="O5" s="345"/>
      <c r="P5" s="196"/>
    </row>
    <row r="6" spans="12:16" s="2" customFormat="1" ht="9" customHeight="1">
      <c r="L6" s="3"/>
      <c r="N6" s="347"/>
      <c r="O6" s="347"/>
      <c r="P6" s="199"/>
    </row>
    <row r="7" spans="12:16" s="2" customFormat="1" ht="15">
      <c r="L7" s="3" t="s">
        <v>83</v>
      </c>
      <c r="N7" s="346">
        <v>41575</v>
      </c>
      <c r="O7" s="346"/>
      <c r="P7" s="200"/>
    </row>
    <row r="8" spans="14:16" s="2" customFormat="1" ht="15" customHeight="1">
      <c r="N8" s="8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337" t="s">
        <v>3</v>
      </c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/>
    </row>
    <row r="11" spans="2:16" ht="18.75" customHeight="1">
      <c r="B11" s="337" t="s">
        <v>4</v>
      </c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338" t="s">
        <v>68</v>
      </c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7" ht="15">
      <c r="B18" s="13"/>
      <c r="D18" s="14" t="s">
        <v>8</v>
      </c>
      <c r="E18" s="14"/>
      <c r="F18" s="15">
        <v>10000</v>
      </c>
      <c r="G18" s="14" t="s">
        <v>9</v>
      </c>
    </row>
    <row r="19" ht="15">
      <c r="B19" s="13"/>
    </row>
    <row r="20" spans="2:15" ht="15">
      <c r="B20" s="13"/>
      <c r="D20" s="16"/>
      <c r="E20" s="16"/>
      <c r="F20" s="339" t="s">
        <v>10</v>
      </c>
      <c r="G20" s="340"/>
      <c r="H20" s="341"/>
      <c r="J20" s="339" t="s">
        <v>11</v>
      </c>
      <c r="K20" s="340"/>
      <c r="L20" s="341"/>
      <c r="N20" s="339" t="s">
        <v>12</v>
      </c>
      <c r="O20" s="341"/>
    </row>
    <row r="21" spans="2:15" ht="15">
      <c r="B21" s="13"/>
      <c r="D21" s="327" t="s">
        <v>13</v>
      </c>
      <c r="E21" s="17"/>
      <c r="F21" s="18" t="s">
        <v>14</v>
      </c>
      <c r="G21" s="18" t="s">
        <v>15</v>
      </c>
      <c r="H21" s="19" t="s">
        <v>16</v>
      </c>
      <c r="J21" s="18" t="s">
        <v>14</v>
      </c>
      <c r="K21" s="20" t="s">
        <v>15</v>
      </c>
      <c r="L21" s="19" t="s">
        <v>16</v>
      </c>
      <c r="N21" s="329" t="s">
        <v>17</v>
      </c>
      <c r="O21" s="331" t="s">
        <v>18</v>
      </c>
    </row>
    <row r="22" spans="2:15" ht="15">
      <c r="B22" s="13"/>
      <c r="D22" s="328"/>
      <c r="E22" s="17"/>
      <c r="F22" s="21" t="s">
        <v>19</v>
      </c>
      <c r="G22" s="21"/>
      <c r="H22" s="22" t="s">
        <v>19</v>
      </c>
      <c r="J22" s="21" t="s">
        <v>19</v>
      </c>
      <c r="K22" s="22"/>
      <c r="L22" s="22" t="s">
        <v>19</v>
      </c>
      <c r="N22" s="330"/>
      <c r="O22" s="332"/>
    </row>
    <row r="23" spans="2:15" ht="22.5" customHeight="1">
      <c r="B23" s="23" t="s">
        <v>20</v>
      </c>
      <c r="C23" s="23"/>
      <c r="D23" s="24" t="s">
        <v>62</v>
      </c>
      <c r="E23" s="25"/>
      <c r="F23" s="176">
        <f>'GS&lt;50 (1,000kWh)'!F23</f>
        <v>13</v>
      </c>
      <c r="G23" s="27">
        <v>1</v>
      </c>
      <c r="H23" s="28">
        <f>G23*F23</f>
        <v>13</v>
      </c>
      <c r="I23" s="29"/>
      <c r="J23" s="175">
        <f>'GS&lt;50 (1,000kWh)'!J23</f>
        <v>13.18</v>
      </c>
      <c r="K23" s="31">
        <v>1</v>
      </c>
      <c r="L23" s="28">
        <f>K23*J23</f>
        <v>13.18</v>
      </c>
      <c r="M23" s="29"/>
      <c r="N23" s="32">
        <f>L23-H23</f>
        <v>0.17999999999999972</v>
      </c>
      <c r="O23" s="33">
        <f>IF((H23)=0,"",(N23/H23))</f>
        <v>0.013846153846153824</v>
      </c>
    </row>
    <row r="24" spans="2:15" ht="22.5" customHeight="1">
      <c r="B24" s="23" t="s">
        <v>102</v>
      </c>
      <c r="C24" s="23"/>
      <c r="D24" s="24" t="s">
        <v>62</v>
      </c>
      <c r="E24" s="25"/>
      <c r="F24" s="255">
        <f>'GS&lt;50 (1,000kWh)'!F24</f>
        <v>0</v>
      </c>
      <c r="G24" s="27">
        <v>1</v>
      </c>
      <c r="H24" s="249">
        <f>G24*F24</f>
        <v>0</v>
      </c>
      <c r="I24" s="29"/>
      <c r="J24" s="175">
        <f>'GS&lt;50 (1,000kWh)'!J24</f>
        <v>0</v>
      </c>
      <c r="K24" s="31">
        <v>1</v>
      </c>
      <c r="L24" s="28">
        <f>K24*J24</f>
        <v>0</v>
      </c>
      <c r="M24" s="29"/>
      <c r="N24" s="32">
        <f>L24-H24</f>
        <v>0</v>
      </c>
      <c r="O24" s="33">
        <f>IF((H24)=0,"",(N24/H24))</f>
      </c>
    </row>
    <row r="25" spans="2:15" ht="36.75" customHeight="1">
      <c r="B25" s="66" t="s">
        <v>125</v>
      </c>
      <c r="C25" s="23"/>
      <c r="D25" s="57" t="s">
        <v>62</v>
      </c>
      <c r="E25" s="25"/>
      <c r="F25" s="272">
        <v>0</v>
      </c>
      <c r="G25" s="27">
        <v>1</v>
      </c>
      <c r="H25" s="249">
        <f>G25*F25</f>
        <v>0</v>
      </c>
      <c r="I25" s="29"/>
      <c r="J25" s="30">
        <f>'GS&lt;50 (1,000kWh)'!J25</f>
        <v>0.79</v>
      </c>
      <c r="K25" s="31">
        <v>1</v>
      </c>
      <c r="L25" s="249">
        <f>K25*J25</f>
        <v>0.79</v>
      </c>
      <c r="M25" s="29"/>
      <c r="N25" s="32">
        <f>L25-H25</f>
        <v>0.79</v>
      </c>
      <c r="O25" s="250">
        <f>IF((H25)=0,"",(N25/H25))</f>
      </c>
    </row>
    <row r="26" spans="2:15" ht="36.75" customHeight="1">
      <c r="B26" s="177" t="s">
        <v>64</v>
      </c>
      <c r="C26" s="23"/>
      <c r="D26" s="57" t="s">
        <v>62</v>
      </c>
      <c r="E26" s="58"/>
      <c r="F26" s="175">
        <v>0</v>
      </c>
      <c r="G26" s="27">
        <v>1</v>
      </c>
      <c r="H26" s="28">
        <f aca="true" t="shared" si="0" ref="H26:H40">G26*F26</f>
        <v>0</v>
      </c>
      <c r="I26" s="29"/>
      <c r="J26" s="30"/>
      <c r="K26" s="31">
        <v>1</v>
      </c>
      <c r="L26" s="28">
        <f aca="true" t="shared" si="1" ref="L26:L40">K26*J26</f>
        <v>0</v>
      </c>
      <c r="M26" s="29"/>
      <c r="N26" s="32">
        <f aca="true" t="shared" si="2" ref="N26:N68">L26-H26</f>
        <v>0</v>
      </c>
      <c r="O26" s="33">
        <f aca="true" t="shared" si="3" ref="O26:O48">IF((H26)=0,"",(N26/H26))</f>
      </c>
    </row>
    <row r="27" spans="2:15" ht="15">
      <c r="B27" s="177" t="s">
        <v>65</v>
      </c>
      <c r="C27" s="23"/>
      <c r="D27" s="24" t="s">
        <v>62</v>
      </c>
      <c r="E27" s="25"/>
      <c r="F27" s="26">
        <f>'GS&lt;50 (1,000kWh)'!F27</f>
        <v>13.36</v>
      </c>
      <c r="G27" s="27">
        <v>1</v>
      </c>
      <c r="H27" s="28">
        <f t="shared" si="0"/>
        <v>13.36</v>
      </c>
      <c r="I27" s="29"/>
      <c r="J27" s="175">
        <v>0</v>
      </c>
      <c r="K27" s="31">
        <v>1</v>
      </c>
      <c r="L27" s="28">
        <f t="shared" si="1"/>
        <v>0</v>
      </c>
      <c r="M27" s="29"/>
      <c r="N27" s="259">
        <f t="shared" si="2"/>
        <v>-13.36</v>
      </c>
      <c r="O27" s="33">
        <f t="shared" si="3"/>
        <v>-1</v>
      </c>
    </row>
    <row r="28" spans="2:15" ht="15">
      <c r="B28" s="47" t="s">
        <v>66</v>
      </c>
      <c r="C28" s="23"/>
      <c r="D28" s="24" t="s">
        <v>63</v>
      </c>
      <c r="E28" s="25"/>
      <c r="F28" s="26">
        <v>0</v>
      </c>
      <c r="G28" s="27">
        <f aca="true" t="shared" si="4" ref="G28:G33">$F$18</f>
        <v>10000</v>
      </c>
      <c r="H28" s="28">
        <f t="shared" si="0"/>
        <v>0</v>
      </c>
      <c r="I28" s="29"/>
      <c r="J28" s="175"/>
      <c r="K28" s="27">
        <f>$F$18</f>
        <v>10000</v>
      </c>
      <c r="L28" s="28">
        <f t="shared" si="1"/>
        <v>0</v>
      </c>
      <c r="M28" s="29"/>
      <c r="N28" s="32">
        <f t="shared" si="2"/>
        <v>0</v>
      </c>
      <c r="O28" s="33">
        <f t="shared" si="3"/>
      </c>
    </row>
    <row r="29" spans="2:15" ht="15">
      <c r="B29" s="47" t="s">
        <v>67</v>
      </c>
      <c r="C29" s="23"/>
      <c r="D29" s="24" t="s">
        <v>63</v>
      </c>
      <c r="E29" s="25"/>
      <c r="F29" s="253">
        <f>'GS&lt;50 (1,000kWh)'!F29</f>
        <v>-0.004</v>
      </c>
      <c r="G29" s="27">
        <f t="shared" si="4"/>
        <v>10000</v>
      </c>
      <c r="H29" s="28">
        <f t="shared" si="0"/>
        <v>-40</v>
      </c>
      <c r="I29" s="29"/>
      <c r="J29" s="30">
        <f>'GS&lt;50 (1,000kWh)'!J29</f>
        <v>0</v>
      </c>
      <c r="K29" s="27">
        <f>$F$18</f>
        <v>10000</v>
      </c>
      <c r="L29" s="28">
        <f t="shared" si="1"/>
        <v>0</v>
      </c>
      <c r="M29" s="29"/>
      <c r="N29" s="32">
        <f t="shared" si="2"/>
        <v>40</v>
      </c>
      <c r="O29" s="33">
        <f t="shared" si="3"/>
        <v>-1</v>
      </c>
    </row>
    <row r="30" spans="2:15" ht="15">
      <c r="B30" s="47" t="s">
        <v>103</v>
      </c>
      <c r="C30" s="23"/>
      <c r="D30" s="24" t="s">
        <v>63</v>
      </c>
      <c r="E30" s="25"/>
      <c r="F30" s="26">
        <f>'GS&lt;50 (1,000kWh)'!F30</f>
        <v>0</v>
      </c>
      <c r="G30" s="27">
        <f t="shared" si="4"/>
        <v>10000</v>
      </c>
      <c r="H30" s="249">
        <f t="shared" si="0"/>
        <v>0</v>
      </c>
      <c r="I30" s="29"/>
      <c r="J30" s="30">
        <v>0</v>
      </c>
      <c r="K30" s="27">
        <f>$F$18</f>
        <v>10000</v>
      </c>
      <c r="L30" s="249">
        <f t="shared" si="1"/>
        <v>0</v>
      </c>
      <c r="M30" s="29"/>
      <c r="N30" s="259">
        <f t="shared" si="2"/>
        <v>0</v>
      </c>
      <c r="O30" s="250">
        <f t="shared" si="3"/>
      </c>
    </row>
    <row r="31" spans="2:15" ht="15">
      <c r="B31" s="23" t="s">
        <v>21</v>
      </c>
      <c r="C31" s="23"/>
      <c r="D31" s="24" t="s">
        <v>63</v>
      </c>
      <c r="E31" s="25"/>
      <c r="F31" s="26">
        <f>'GS&lt;50 (1,000kWh)'!F31</f>
        <v>0.0139</v>
      </c>
      <c r="G31" s="27">
        <f t="shared" si="4"/>
        <v>10000</v>
      </c>
      <c r="H31" s="28">
        <f t="shared" si="0"/>
        <v>139</v>
      </c>
      <c r="I31" s="29"/>
      <c r="J31" s="30">
        <f>'GS&lt;50 (1,000kWh)'!J31</f>
        <v>0.0141</v>
      </c>
      <c r="K31" s="27">
        <f>$F$18</f>
        <v>10000</v>
      </c>
      <c r="L31" s="28">
        <f t="shared" si="1"/>
        <v>141</v>
      </c>
      <c r="M31" s="29"/>
      <c r="N31" s="32">
        <f t="shared" si="2"/>
        <v>2</v>
      </c>
      <c r="O31" s="33">
        <f t="shared" si="3"/>
        <v>0.014388489208633094</v>
      </c>
    </row>
    <row r="32" spans="2:15" ht="15">
      <c r="B32" s="23" t="s">
        <v>22</v>
      </c>
      <c r="C32" s="23"/>
      <c r="D32" s="24"/>
      <c r="E32" s="25"/>
      <c r="F32" s="26"/>
      <c r="G32" s="27">
        <f t="shared" si="4"/>
        <v>10000</v>
      </c>
      <c r="H32" s="28">
        <f t="shared" si="0"/>
        <v>0</v>
      </c>
      <c r="I32" s="29"/>
      <c r="J32" s="30"/>
      <c r="K32" s="27">
        <f aca="true" t="shared" si="5" ref="K32:K40">$F$18</f>
        <v>10000</v>
      </c>
      <c r="L32" s="28">
        <f t="shared" si="1"/>
        <v>0</v>
      </c>
      <c r="M32" s="29"/>
      <c r="N32" s="32">
        <f t="shared" si="2"/>
        <v>0</v>
      </c>
      <c r="O32" s="33">
        <f t="shared" si="3"/>
      </c>
    </row>
    <row r="33" spans="2:15" ht="15">
      <c r="B33" s="23" t="s">
        <v>124</v>
      </c>
      <c r="C33" s="23"/>
      <c r="D33" s="24" t="s">
        <v>63</v>
      </c>
      <c r="E33" s="25"/>
      <c r="F33" s="26">
        <v>0</v>
      </c>
      <c r="G33" s="27">
        <f t="shared" si="4"/>
        <v>10000</v>
      </c>
      <c r="H33" s="249">
        <f t="shared" si="0"/>
        <v>0</v>
      </c>
      <c r="I33" s="29"/>
      <c r="J33" s="30">
        <f>'GS&lt;50 (1,000kWh)'!$J33</f>
        <v>0.0001</v>
      </c>
      <c r="K33" s="27">
        <f t="shared" si="5"/>
        <v>10000</v>
      </c>
      <c r="L33" s="249">
        <f t="shared" si="1"/>
        <v>1</v>
      </c>
      <c r="M33" s="29"/>
      <c r="N33" s="32">
        <f t="shared" si="2"/>
        <v>1</v>
      </c>
      <c r="O33" s="250">
        <f t="shared" si="3"/>
      </c>
    </row>
    <row r="34" spans="2:15" ht="15" hidden="1">
      <c r="B34" s="34"/>
      <c r="C34" s="23"/>
      <c r="D34" s="24"/>
      <c r="E34" s="25"/>
      <c r="F34" s="26"/>
      <c r="G34" s="27">
        <f aca="true" t="shared" si="6" ref="G34:G40">$F$18</f>
        <v>10000</v>
      </c>
      <c r="H34" s="28">
        <f t="shared" si="0"/>
        <v>0</v>
      </c>
      <c r="I34" s="29"/>
      <c r="J34" s="30"/>
      <c r="K34" s="27">
        <f t="shared" si="5"/>
        <v>10000</v>
      </c>
      <c r="L34" s="28">
        <f t="shared" si="1"/>
        <v>0</v>
      </c>
      <c r="M34" s="29"/>
      <c r="N34" s="32">
        <f t="shared" si="2"/>
        <v>0</v>
      </c>
      <c r="O34" s="33">
        <f t="shared" si="3"/>
      </c>
    </row>
    <row r="35" spans="2:15" ht="15" hidden="1">
      <c r="B35" s="34"/>
      <c r="C35" s="23"/>
      <c r="D35" s="24"/>
      <c r="E35" s="25"/>
      <c r="F35" s="26"/>
      <c r="G35" s="27">
        <f t="shared" si="6"/>
        <v>10000</v>
      </c>
      <c r="H35" s="28">
        <f t="shared" si="0"/>
        <v>0</v>
      </c>
      <c r="I35" s="29"/>
      <c r="J35" s="30"/>
      <c r="K35" s="27">
        <f t="shared" si="5"/>
        <v>10000</v>
      </c>
      <c r="L35" s="28">
        <f t="shared" si="1"/>
        <v>0</v>
      </c>
      <c r="M35" s="29"/>
      <c r="N35" s="32">
        <f t="shared" si="2"/>
        <v>0</v>
      </c>
      <c r="O35" s="33">
        <f t="shared" si="3"/>
      </c>
    </row>
    <row r="36" spans="2:15" ht="15" hidden="1">
      <c r="B36" s="34"/>
      <c r="C36" s="23"/>
      <c r="D36" s="24"/>
      <c r="E36" s="25"/>
      <c r="F36" s="26"/>
      <c r="G36" s="27">
        <f t="shared" si="6"/>
        <v>10000</v>
      </c>
      <c r="H36" s="28">
        <f t="shared" si="0"/>
        <v>0</v>
      </c>
      <c r="I36" s="29"/>
      <c r="J36" s="30"/>
      <c r="K36" s="27">
        <f t="shared" si="5"/>
        <v>10000</v>
      </c>
      <c r="L36" s="28">
        <f t="shared" si="1"/>
        <v>0</v>
      </c>
      <c r="M36" s="29"/>
      <c r="N36" s="32">
        <f t="shared" si="2"/>
        <v>0</v>
      </c>
      <c r="O36" s="33">
        <f t="shared" si="3"/>
      </c>
    </row>
    <row r="37" spans="2:15" ht="15" hidden="1">
      <c r="B37" s="34"/>
      <c r="C37" s="23"/>
      <c r="D37" s="24"/>
      <c r="E37" s="25"/>
      <c r="F37" s="26"/>
      <c r="G37" s="27">
        <f t="shared" si="6"/>
        <v>10000</v>
      </c>
      <c r="H37" s="28">
        <f t="shared" si="0"/>
        <v>0</v>
      </c>
      <c r="I37" s="29"/>
      <c r="J37" s="30"/>
      <c r="K37" s="27">
        <f t="shared" si="5"/>
        <v>10000</v>
      </c>
      <c r="L37" s="28">
        <f t="shared" si="1"/>
        <v>0</v>
      </c>
      <c r="M37" s="29"/>
      <c r="N37" s="32">
        <f t="shared" si="2"/>
        <v>0</v>
      </c>
      <c r="O37" s="33">
        <f t="shared" si="3"/>
      </c>
    </row>
    <row r="38" spans="2:15" ht="15" hidden="1">
      <c r="B38" s="34"/>
      <c r="C38" s="23"/>
      <c r="D38" s="24"/>
      <c r="E38" s="25"/>
      <c r="F38" s="26"/>
      <c r="G38" s="27">
        <f t="shared" si="6"/>
        <v>10000</v>
      </c>
      <c r="H38" s="28">
        <f t="shared" si="0"/>
        <v>0</v>
      </c>
      <c r="I38" s="29"/>
      <c r="J38" s="30"/>
      <c r="K38" s="27">
        <f t="shared" si="5"/>
        <v>10000</v>
      </c>
      <c r="L38" s="28">
        <f t="shared" si="1"/>
        <v>0</v>
      </c>
      <c r="M38" s="29"/>
      <c r="N38" s="32">
        <f t="shared" si="2"/>
        <v>0</v>
      </c>
      <c r="O38" s="33">
        <f t="shared" si="3"/>
      </c>
    </row>
    <row r="39" spans="2:15" ht="15" hidden="1">
      <c r="B39" s="34"/>
      <c r="C39" s="23"/>
      <c r="D39" s="24"/>
      <c r="E39" s="25"/>
      <c r="F39" s="26"/>
      <c r="G39" s="27">
        <f t="shared" si="6"/>
        <v>10000</v>
      </c>
      <c r="H39" s="28">
        <f t="shared" si="0"/>
        <v>0</v>
      </c>
      <c r="I39" s="29"/>
      <c r="J39" s="30"/>
      <c r="K39" s="27">
        <f t="shared" si="5"/>
        <v>10000</v>
      </c>
      <c r="L39" s="28">
        <f t="shared" si="1"/>
        <v>0</v>
      </c>
      <c r="M39" s="29"/>
      <c r="N39" s="32">
        <f t="shared" si="2"/>
        <v>0</v>
      </c>
      <c r="O39" s="33">
        <f t="shared" si="3"/>
      </c>
    </row>
    <row r="40" spans="2:15" ht="15" hidden="1">
      <c r="B40" s="34"/>
      <c r="C40" s="23"/>
      <c r="D40" s="24"/>
      <c r="E40" s="25"/>
      <c r="F40" s="26"/>
      <c r="G40" s="27">
        <f t="shared" si="6"/>
        <v>10000</v>
      </c>
      <c r="H40" s="28">
        <f t="shared" si="0"/>
        <v>0</v>
      </c>
      <c r="I40" s="29"/>
      <c r="J40" s="30"/>
      <c r="K40" s="27">
        <f t="shared" si="5"/>
        <v>10000</v>
      </c>
      <c r="L40" s="28">
        <f t="shared" si="1"/>
        <v>0</v>
      </c>
      <c r="M40" s="29"/>
      <c r="N40" s="32">
        <f t="shared" si="2"/>
        <v>0</v>
      </c>
      <c r="O40" s="33">
        <f t="shared" si="3"/>
      </c>
    </row>
    <row r="41" spans="2:15" s="35" customFormat="1" ht="15">
      <c r="B41" s="36" t="s">
        <v>24</v>
      </c>
      <c r="C41" s="37"/>
      <c r="D41" s="38"/>
      <c r="E41" s="37"/>
      <c r="F41" s="39"/>
      <c r="G41" s="40"/>
      <c r="H41" s="41">
        <f>SUM(H23:H40)</f>
        <v>125.36</v>
      </c>
      <c r="I41" s="42"/>
      <c r="J41" s="43"/>
      <c r="K41" s="44"/>
      <c r="L41" s="41">
        <f>SUM(L23:L40)</f>
        <v>155.97</v>
      </c>
      <c r="M41" s="42"/>
      <c r="N41" s="45">
        <f t="shared" si="2"/>
        <v>30.61</v>
      </c>
      <c r="O41" s="46">
        <f t="shared" si="3"/>
        <v>0.24417677089980855</v>
      </c>
    </row>
    <row r="42" spans="2:15" ht="15" hidden="1">
      <c r="B42" s="177"/>
      <c r="C42" s="23"/>
      <c r="D42" s="57" t="s">
        <v>62</v>
      </c>
      <c r="E42" s="25"/>
      <c r="F42" s="26"/>
      <c r="G42" s="27">
        <v>1</v>
      </c>
      <c r="H42" s="28">
        <f>G42*F42</f>
        <v>0</v>
      </c>
      <c r="I42" s="29"/>
      <c r="J42" s="175"/>
      <c r="K42" s="31">
        <v>1</v>
      </c>
      <c r="L42" s="28">
        <f>K42*J42</f>
        <v>0</v>
      </c>
      <c r="M42" s="29"/>
      <c r="N42" s="32">
        <f>L42-H42</f>
        <v>0</v>
      </c>
      <c r="O42" s="33">
        <f>IF((H42)=0,"",(N42/H42))</f>
      </c>
    </row>
    <row r="43" spans="2:15" ht="25.5">
      <c r="B43" s="47" t="s">
        <v>25</v>
      </c>
      <c r="C43" s="23"/>
      <c r="D43" s="57" t="s">
        <v>63</v>
      </c>
      <c r="E43" s="58"/>
      <c r="F43" s="252">
        <f>'GS&lt;50 (1,000kWh)'!F43</f>
        <v>-0.0019</v>
      </c>
      <c r="G43" s="27">
        <f>$F$18</f>
        <v>10000</v>
      </c>
      <c r="H43" s="28">
        <f aca="true" t="shared" si="7" ref="H43:H49">G43*F43</f>
        <v>-19</v>
      </c>
      <c r="I43" s="29"/>
      <c r="J43" s="254">
        <f>'GS&lt;50 (1,000kWh)'!J43</f>
        <v>-0.0017</v>
      </c>
      <c r="K43" s="27">
        <f>$F$18</f>
        <v>10000</v>
      </c>
      <c r="L43" s="28">
        <f aca="true" t="shared" si="8" ref="L43:L49">K43*J43</f>
        <v>-17</v>
      </c>
      <c r="M43" s="29"/>
      <c r="N43" s="32">
        <f t="shared" si="2"/>
        <v>2</v>
      </c>
      <c r="O43" s="33">
        <f t="shared" si="3"/>
        <v>-0.10526315789473684</v>
      </c>
    </row>
    <row r="44" spans="2:15" ht="15" hidden="1">
      <c r="B44" s="47"/>
      <c r="C44" s="23"/>
      <c r="D44" s="24" t="s">
        <v>63</v>
      </c>
      <c r="E44" s="25"/>
      <c r="F44" s="26"/>
      <c r="G44" s="27">
        <f>$F$18</f>
        <v>10000</v>
      </c>
      <c r="H44" s="28">
        <f t="shared" si="7"/>
        <v>0</v>
      </c>
      <c r="I44" s="48"/>
      <c r="J44" s="30"/>
      <c r="K44" s="27">
        <f>$F$18</f>
        <v>10000</v>
      </c>
      <c r="L44" s="28">
        <f t="shared" si="8"/>
        <v>0</v>
      </c>
      <c r="M44" s="49"/>
      <c r="N44" s="32">
        <f t="shared" si="2"/>
        <v>0</v>
      </c>
      <c r="O44" s="33">
        <f t="shared" si="3"/>
      </c>
    </row>
    <row r="45" spans="2:15" ht="15" hidden="1">
      <c r="B45" s="47"/>
      <c r="C45" s="23"/>
      <c r="D45" s="24" t="s">
        <v>63</v>
      </c>
      <c r="E45" s="25"/>
      <c r="F45" s="26"/>
      <c r="G45" s="27">
        <f>$F$18</f>
        <v>10000</v>
      </c>
      <c r="H45" s="28">
        <f t="shared" si="7"/>
        <v>0</v>
      </c>
      <c r="I45" s="48"/>
      <c r="J45" s="30"/>
      <c r="K45" s="27">
        <f>$F$18</f>
        <v>10000</v>
      </c>
      <c r="L45" s="28">
        <f t="shared" si="8"/>
        <v>0</v>
      </c>
      <c r="M45" s="49"/>
      <c r="N45" s="32">
        <f t="shared" si="2"/>
        <v>0</v>
      </c>
      <c r="O45" s="33">
        <f t="shared" si="3"/>
      </c>
    </row>
    <row r="46" spans="2:15" ht="15" hidden="1">
      <c r="B46" s="47"/>
      <c r="C46" s="23"/>
      <c r="D46" s="24"/>
      <c r="E46" s="25"/>
      <c r="F46" s="26"/>
      <c r="G46" s="27">
        <f>$F$18</f>
        <v>10000</v>
      </c>
      <c r="H46" s="28">
        <f t="shared" si="7"/>
        <v>0</v>
      </c>
      <c r="I46" s="48"/>
      <c r="J46" s="30"/>
      <c r="K46" s="27">
        <f>$F$18</f>
        <v>10000</v>
      </c>
      <c r="L46" s="28">
        <f t="shared" si="8"/>
        <v>0</v>
      </c>
      <c r="M46" s="49"/>
      <c r="N46" s="32">
        <f t="shared" si="2"/>
        <v>0</v>
      </c>
      <c r="O46" s="33">
        <f t="shared" si="3"/>
      </c>
    </row>
    <row r="47" spans="2:15" ht="15">
      <c r="B47" s="50" t="s">
        <v>26</v>
      </c>
      <c r="C47" s="23"/>
      <c r="D47" s="24" t="s">
        <v>63</v>
      </c>
      <c r="E47" s="25"/>
      <c r="F47" s="26">
        <f>'GS&lt;50 (1,000kWh)'!F47</f>
        <v>0.0001</v>
      </c>
      <c r="G47" s="27">
        <f>$F$18</f>
        <v>10000</v>
      </c>
      <c r="H47" s="28">
        <f t="shared" si="7"/>
        <v>1</v>
      </c>
      <c r="I47" s="29"/>
      <c r="J47" s="30">
        <f>'GS&lt;50 (1,000kWh)'!J47</f>
        <v>0.0001</v>
      </c>
      <c r="K47" s="27">
        <f>$F$18</f>
        <v>10000</v>
      </c>
      <c r="L47" s="28">
        <f t="shared" si="8"/>
        <v>1</v>
      </c>
      <c r="M47" s="29"/>
      <c r="N47" s="32">
        <f t="shared" si="2"/>
        <v>0</v>
      </c>
      <c r="O47" s="33">
        <f t="shared" si="3"/>
        <v>0</v>
      </c>
    </row>
    <row r="48" spans="2:15" s="35" customFormat="1" ht="15">
      <c r="B48" s="183" t="s">
        <v>27</v>
      </c>
      <c r="C48" s="25"/>
      <c r="D48" s="184" t="s">
        <v>63</v>
      </c>
      <c r="E48" s="25"/>
      <c r="F48" s="185">
        <f>IF(ISBLANK(D16)=TRUE,0,IF(D16="TOU",0.64*$F$58+0.18*$F$59+0.18*$F$60,IF(AND(D16="non-TOU",G62&gt;0),F62,F61)))</f>
        <v>0.08392</v>
      </c>
      <c r="G48" s="27">
        <f>$F$18*(1+$F$77)-$F$18</f>
        <v>335</v>
      </c>
      <c r="H48" s="186">
        <f t="shared" si="7"/>
        <v>28.1132</v>
      </c>
      <c r="I48" s="58"/>
      <c r="J48" s="187">
        <f>0.64*$F$58+0.18*$F$59+0.18*$F$60</f>
        <v>0.08392</v>
      </c>
      <c r="K48" s="27">
        <f>$F$18*(1+$J$77)-$F$18</f>
        <v>335</v>
      </c>
      <c r="L48" s="186">
        <f t="shared" si="8"/>
        <v>28.1132</v>
      </c>
      <c r="M48" s="58"/>
      <c r="N48" s="188">
        <f t="shared" si="2"/>
        <v>0</v>
      </c>
      <c r="O48" s="189">
        <f t="shared" si="3"/>
        <v>0</v>
      </c>
    </row>
    <row r="49" spans="2:15" ht="15">
      <c r="B49" s="50" t="s">
        <v>28</v>
      </c>
      <c r="C49" s="23"/>
      <c r="D49" s="24" t="s">
        <v>62</v>
      </c>
      <c r="E49" s="25"/>
      <c r="F49" s="180">
        <v>0.79</v>
      </c>
      <c r="G49" s="27">
        <v>1</v>
      </c>
      <c r="H49" s="28">
        <f t="shared" si="7"/>
        <v>0.79</v>
      </c>
      <c r="I49" s="29"/>
      <c r="J49" s="180">
        <v>0.79</v>
      </c>
      <c r="K49" s="27">
        <v>1</v>
      </c>
      <c r="L49" s="28">
        <f t="shared" si="8"/>
        <v>0.79</v>
      </c>
      <c r="M49" s="29"/>
      <c r="N49" s="32">
        <f t="shared" si="2"/>
        <v>0</v>
      </c>
      <c r="O49" s="33"/>
    </row>
    <row r="50" spans="2:15" ht="25.5">
      <c r="B50" s="51" t="s">
        <v>29</v>
      </c>
      <c r="C50" s="52"/>
      <c r="D50" s="52"/>
      <c r="E50" s="52"/>
      <c r="F50" s="53"/>
      <c r="G50" s="54"/>
      <c r="H50" s="55">
        <f>SUM(H42:H49)+H41</f>
        <v>136.26319999999998</v>
      </c>
      <c r="I50" s="42"/>
      <c r="J50" s="54"/>
      <c r="K50" s="56"/>
      <c r="L50" s="55">
        <f>SUM(L42:L49)+L41</f>
        <v>168.8732</v>
      </c>
      <c r="M50" s="42"/>
      <c r="N50" s="45">
        <f t="shared" si="2"/>
        <v>32.610000000000014</v>
      </c>
      <c r="O50" s="46">
        <f aca="true" t="shared" si="9" ref="O50:O68">IF((H50)=0,"",(N50/H50))</f>
        <v>0.23931626440594392</v>
      </c>
    </row>
    <row r="51" spans="2:15" ht="15">
      <c r="B51" s="29" t="s">
        <v>30</v>
      </c>
      <c r="C51" s="29"/>
      <c r="D51" s="57" t="s">
        <v>63</v>
      </c>
      <c r="E51" s="58"/>
      <c r="F51" s="30">
        <f>'GS&lt;50 (1,000kWh)'!F51</f>
        <v>0.0058</v>
      </c>
      <c r="G51" s="59">
        <f>F18*(1+F77)</f>
        <v>10335</v>
      </c>
      <c r="H51" s="28">
        <f>G51*F51</f>
        <v>59.943</v>
      </c>
      <c r="I51" s="29"/>
      <c r="J51" s="30">
        <f>'GS&lt;50 (1,000kWh)'!J51</f>
        <v>0.006</v>
      </c>
      <c r="K51" s="60">
        <f>F18*(1+J77)</f>
        <v>10335</v>
      </c>
      <c r="L51" s="28">
        <f>K51*J51</f>
        <v>62.01</v>
      </c>
      <c r="M51" s="29"/>
      <c r="N51" s="32">
        <f t="shared" si="2"/>
        <v>2.067</v>
      </c>
      <c r="O51" s="33">
        <f t="shared" si="9"/>
        <v>0.03448275862068966</v>
      </c>
    </row>
    <row r="52" spans="2:15" ht="15">
      <c r="B52" s="61" t="s">
        <v>31</v>
      </c>
      <c r="C52" s="29"/>
      <c r="D52" s="57" t="s">
        <v>63</v>
      </c>
      <c r="E52" s="58"/>
      <c r="F52" s="30">
        <f>'GS&lt;50 (1,000kWh)'!F52</f>
        <v>0.0039</v>
      </c>
      <c r="G52" s="59">
        <f>G51</f>
        <v>10335</v>
      </c>
      <c r="H52" s="28">
        <f>G52*F52</f>
        <v>40.3065</v>
      </c>
      <c r="I52" s="29"/>
      <c r="J52" s="30">
        <f>'GS&lt;50 (1,000kWh)'!J52</f>
        <v>0.004</v>
      </c>
      <c r="K52" s="60">
        <f>K51</f>
        <v>10335</v>
      </c>
      <c r="L52" s="28">
        <f>K52*J52</f>
        <v>41.34</v>
      </c>
      <c r="M52" s="29"/>
      <c r="N52" s="32">
        <f t="shared" si="2"/>
        <v>1.0335000000000036</v>
      </c>
      <c r="O52" s="33">
        <f t="shared" si="9"/>
        <v>0.02564102564102573</v>
      </c>
    </row>
    <row r="53" spans="2:15" ht="15">
      <c r="B53" s="51" t="s">
        <v>32</v>
      </c>
      <c r="C53" s="37"/>
      <c r="D53" s="37"/>
      <c r="E53" s="37"/>
      <c r="F53" s="62"/>
      <c r="G53" s="54"/>
      <c r="H53" s="55">
        <f>SUM(H50:H52)</f>
        <v>236.51269999999997</v>
      </c>
      <c r="I53" s="63"/>
      <c r="J53" s="64"/>
      <c r="K53" s="65"/>
      <c r="L53" s="55">
        <f>SUM(L50:L52)</f>
        <v>272.2232</v>
      </c>
      <c r="M53" s="63"/>
      <c r="N53" s="45">
        <f t="shared" si="2"/>
        <v>35.71050000000005</v>
      </c>
      <c r="O53" s="46">
        <f t="shared" si="9"/>
        <v>0.150987663664573</v>
      </c>
    </row>
    <row r="54" spans="2:15" ht="15">
      <c r="B54" s="66" t="s">
        <v>33</v>
      </c>
      <c r="C54" s="23"/>
      <c r="D54" s="24" t="s">
        <v>63</v>
      </c>
      <c r="E54" s="25"/>
      <c r="F54" s="67">
        <v>0.0044</v>
      </c>
      <c r="G54" s="59">
        <f>G52</f>
        <v>10335</v>
      </c>
      <c r="H54" s="68">
        <f aca="true" t="shared" si="10" ref="H54:H60">G54*F54</f>
        <v>45.474000000000004</v>
      </c>
      <c r="I54" s="29"/>
      <c r="J54" s="69">
        <v>0.0044</v>
      </c>
      <c r="K54" s="60">
        <f>K52</f>
        <v>10335</v>
      </c>
      <c r="L54" s="68">
        <f aca="true" t="shared" si="11" ref="L54:L60">K54*J54</f>
        <v>45.474000000000004</v>
      </c>
      <c r="M54" s="29"/>
      <c r="N54" s="32">
        <f t="shared" si="2"/>
        <v>0</v>
      </c>
      <c r="O54" s="70">
        <f t="shared" si="9"/>
        <v>0</v>
      </c>
    </row>
    <row r="55" spans="2:15" ht="15">
      <c r="B55" s="66" t="s">
        <v>34</v>
      </c>
      <c r="C55" s="23"/>
      <c r="D55" s="24" t="s">
        <v>63</v>
      </c>
      <c r="E55" s="25"/>
      <c r="F55" s="67">
        <v>0.0013</v>
      </c>
      <c r="G55" s="59">
        <f>G52</f>
        <v>10335</v>
      </c>
      <c r="H55" s="68">
        <f t="shared" si="10"/>
        <v>13.4355</v>
      </c>
      <c r="I55" s="29"/>
      <c r="J55" s="69">
        <v>0.0013</v>
      </c>
      <c r="K55" s="60">
        <f>K52</f>
        <v>10335</v>
      </c>
      <c r="L55" s="68">
        <f t="shared" si="11"/>
        <v>13.4355</v>
      </c>
      <c r="M55" s="29"/>
      <c r="N55" s="32">
        <f t="shared" si="2"/>
        <v>0</v>
      </c>
      <c r="O55" s="70">
        <f t="shared" si="9"/>
        <v>0</v>
      </c>
    </row>
    <row r="56" spans="2:15" ht="15">
      <c r="B56" s="23" t="s">
        <v>35</v>
      </c>
      <c r="C56" s="23"/>
      <c r="D56" s="24" t="s">
        <v>62</v>
      </c>
      <c r="E56" s="25"/>
      <c r="F56" s="178">
        <v>0.25</v>
      </c>
      <c r="G56" s="27">
        <v>1</v>
      </c>
      <c r="H56" s="68">
        <f t="shared" si="10"/>
        <v>0.25</v>
      </c>
      <c r="I56" s="29"/>
      <c r="J56" s="179">
        <v>0.25</v>
      </c>
      <c r="K56" s="31">
        <v>1</v>
      </c>
      <c r="L56" s="68">
        <f t="shared" si="11"/>
        <v>0.25</v>
      </c>
      <c r="M56" s="29"/>
      <c r="N56" s="32">
        <f t="shared" si="2"/>
        <v>0</v>
      </c>
      <c r="O56" s="70">
        <f t="shared" si="9"/>
        <v>0</v>
      </c>
    </row>
    <row r="57" spans="2:15" ht="15">
      <c r="B57" s="23" t="s">
        <v>36</v>
      </c>
      <c r="C57" s="23"/>
      <c r="D57" s="24" t="s">
        <v>63</v>
      </c>
      <c r="E57" s="25"/>
      <c r="F57" s="67">
        <v>0.007</v>
      </c>
      <c r="G57" s="71">
        <f>F18</f>
        <v>10000</v>
      </c>
      <c r="H57" s="68">
        <f t="shared" si="10"/>
        <v>70</v>
      </c>
      <c r="I57" s="29"/>
      <c r="J57" s="69">
        <f>0.007</f>
        <v>0.007</v>
      </c>
      <c r="K57" s="72">
        <f>F18</f>
        <v>10000</v>
      </c>
      <c r="L57" s="68">
        <f t="shared" si="11"/>
        <v>70</v>
      </c>
      <c r="M57" s="29"/>
      <c r="N57" s="32">
        <f t="shared" si="2"/>
        <v>0</v>
      </c>
      <c r="O57" s="70">
        <f t="shared" si="9"/>
        <v>0</v>
      </c>
    </row>
    <row r="58" spans="2:19" ht="15">
      <c r="B58" s="50" t="s">
        <v>37</v>
      </c>
      <c r="C58" s="23"/>
      <c r="D58" s="24" t="s">
        <v>63</v>
      </c>
      <c r="E58" s="25"/>
      <c r="F58" s="73">
        <v>0.067</v>
      </c>
      <c r="G58" s="71">
        <f>0.64*$F$18</f>
        <v>6400</v>
      </c>
      <c r="H58" s="68">
        <f t="shared" si="10"/>
        <v>428.8</v>
      </c>
      <c r="I58" s="29"/>
      <c r="J58" s="67">
        <v>0.067</v>
      </c>
      <c r="K58" s="71">
        <f>G58</f>
        <v>6400</v>
      </c>
      <c r="L58" s="68">
        <f t="shared" si="11"/>
        <v>428.8</v>
      </c>
      <c r="M58" s="29"/>
      <c r="N58" s="32">
        <f t="shared" si="2"/>
        <v>0</v>
      </c>
      <c r="O58" s="70">
        <f t="shared" si="9"/>
        <v>0</v>
      </c>
      <c r="S58" s="74"/>
    </row>
    <row r="59" spans="2:19" ht="15">
      <c r="B59" s="50" t="s">
        <v>38</v>
      </c>
      <c r="C59" s="23"/>
      <c r="D59" s="24" t="s">
        <v>63</v>
      </c>
      <c r="E59" s="25"/>
      <c r="F59" s="73">
        <v>0.104</v>
      </c>
      <c r="G59" s="71">
        <f>0.18*$F$18</f>
        <v>1800</v>
      </c>
      <c r="H59" s="68">
        <f t="shared" si="10"/>
        <v>187.2</v>
      </c>
      <c r="I59" s="29"/>
      <c r="J59" s="67">
        <v>0.104</v>
      </c>
      <c r="K59" s="71">
        <f>G59</f>
        <v>1800</v>
      </c>
      <c r="L59" s="68">
        <f t="shared" si="11"/>
        <v>187.2</v>
      </c>
      <c r="M59" s="29"/>
      <c r="N59" s="32">
        <f t="shared" si="2"/>
        <v>0</v>
      </c>
      <c r="O59" s="70">
        <f t="shared" si="9"/>
        <v>0</v>
      </c>
      <c r="S59" s="74"/>
    </row>
    <row r="60" spans="2:19" ht="15">
      <c r="B60" s="13" t="s">
        <v>39</v>
      </c>
      <c r="C60" s="23"/>
      <c r="D60" s="24" t="s">
        <v>63</v>
      </c>
      <c r="E60" s="25"/>
      <c r="F60" s="73">
        <v>0.124</v>
      </c>
      <c r="G60" s="71">
        <f>0.18*$F$18</f>
        <v>1800</v>
      </c>
      <c r="H60" s="68">
        <f t="shared" si="10"/>
        <v>223.2</v>
      </c>
      <c r="I60" s="29"/>
      <c r="J60" s="67">
        <v>0.124</v>
      </c>
      <c r="K60" s="71">
        <f>G60</f>
        <v>1800</v>
      </c>
      <c r="L60" s="68">
        <f t="shared" si="11"/>
        <v>223.2</v>
      </c>
      <c r="M60" s="29"/>
      <c r="N60" s="32">
        <f t="shared" si="2"/>
        <v>0</v>
      </c>
      <c r="O60" s="70">
        <f t="shared" si="9"/>
        <v>0</v>
      </c>
      <c r="S60" s="74"/>
    </row>
    <row r="61" spans="2:15" s="75" customFormat="1" ht="15">
      <c r="B61" s="76" t="s">
        <v>40</v>
      </c>
      <c r="C61" s="77"/>
      <c r="D61" s="78" t="s">
        <v>63</v>
      </c>
      <c r="E61" s="79"/>
      <c r="F61" s="73">
        <v>0.075</v>
      </c>
      <c r="G61" s="80">
        <f>IF(AND($T$1=1,F18&gt;=600),600,IF(AND($T$1=1,AND(F18&lt;600,F18&gt;=0)),F18,IF(AND($T$1=2,F18&gt;=1000),1000,IF(AND($T$1=2,AND(F18&lt;1000,F18&gt;=0)),F18))))</f>
        <v>600</v>
      </c>
      <c r="H61" s="68">
        <f>G61*F61</f>
        <v>45</v>
      </c>
      <c r="I61" s="81"/>
      <c r="J61" s="67">
        <v>0.075</v>
      </c>
      <c r="K61" s="80">
        <f>G61</f>
        <v>600</v>
      </c>
      <c r="L61" s="68">
        <f>K61*J61</f>
        <v>45</v>
      </c>
      <c r="M61" s="81"/>
      <c r="N61" s="82">
        <f t="shared" si="2"/>
        <v>0</v>
      </c>
      <c r="O61" s="70">
        <f t="shared" si="9"/>
        <v>0</v>
      </c>
    </row>
    <row r="62" spans="2:15" s="75" customFormat="1" ht="15.75" thickBot="1">
      <c r="B62" s="76" t="s">
        <v>41</v>
      </c>
      <c r="C62" s="77"/>
      <c r="D62" s="78" t="s">
        <v>63</v>
      </c>
      <c r="E62" s="79"/>
      <c r="F62" s="73">
        <v>0.088</v>
      </c>
      <c r="G62" s="80">
        <f>IF(AND($T$1=1,F18&gt;=600),F18-600,IF(AND($T$1=1,AND(F18&lt;600,F18&gt;=0)),0,IF(AND($T$1=2,F18&gt;=1000),F18-1000,IF(AND($T$1=2,AND(F18&lt;1000,F18&gt;=0)),0))))</f>
        <v>9400</v>
      </c>
      <c r="H62" s="68">
        <f>G62*F62</f>
        <v>827.1999999999999</v>
      </c>
      <c r="I62" s="81"/>
      <c r="J62" s="67">
        <v>0.088</v>
      </c>
      <c r="K62" s="80">
        <f>G62</f>
        <v>9400</v>
      </c>
      <c r="L62" s="68">
        <f>K62*J62</f>
        <v>827.1999999999999</v>
      </c>
      <c r="M62" s="81"/>
      <c r="N62" s="82">
        <f t="shared" si="2"/>
        <v>0</v>
      </c>
      <c r="O62" s="70">
        <f t="shared" si="9"/>
        <v>0</v>
      </c>
    </row>
    <row r="63" spans="2:15" ht="8.25" customHeight="1" thickBot="1">
      <c r="B63" s="83"/>
      <c r="C63" s="84"/>
      <c r="D63" s="85"/>
      <c r="E63" s="84"/>
      <c r="F63" s="86"/>
      <c r="G63" s="87"/>
      <c r="H63" s="88"/>
      <c r="I63" s="89"/>
      <c r="J63" s="86"/>
      <c r="K63" s="90"/>
      <c r="L63" s="88"/>
      <c r="M63" s="89"/>
      <c r="N63" s="91"/>
      <c r="O63" s="92"/>
    </row>
    <row r="64" spans="2:19" ht="15">
      <c r="B64" s="93" t="s">
        <v>42</v>
      </c>
      <c r="C64" s="23"/>
      <c r="D64" s="23"/>
      <c r="E64" s="23"/>
      <c r="F64" s="94"/>
      <c r="G64" s="95"/>
      <c r="H64" s="96">
        <f>SUM(H54:H60,H53)</f>
        <v>1204.8722</v>
      </c>
      <c r="I64" s="97"/>
      <c r="J64" s="98"/>
      <c r="K64" s="98"/>
      <c r="L64" s="192">
        <f>SUM(L54:L60,L53)</f>
        <v>1240.5827</v>
      </c>
      <c r="M64" s="99"/>
      <c r="N64" s="100">
        <f>L64-H64</f>
        <v>35.71049999999991</v>
      </c>
      <c r="O64" s="101">
        <f>IF((H64)=0,"",(N64/H64))</f>
        <v>0.02963841310306596</v>
      </c>
      <c r="S64" s="74"/>
    </row>
    <row r="65" spans="2:19" ht="15">
      <c r="B65" s="102" t="s">
        <v>43</v>
      </c>
      <c r="C65" s="23"/>
      <c r="D65" s="23"/>
      <c r="E65" s="23"/>
      <c r="F65" s="103">
        <v>0.13</v>
      </c>
      <c r="G65" s="104"/>
      <c r="H65" s="105">
        <f>H64*F65</f>
        <v>156.633386</v>
      </c>
      <c r="I65" s="106"/>
      <c r="J65" s="107">
        <v>0.13</v>
      </c>
      <c r="K65" s="106"/>
      <c r="L65" s="108">
        <f>L64*J65</f>
        <v>161.27575099999999</v>
      </c>
      <c r="M65" s="109"/>
      <c r="N65" s="110">
        <f t="shared" si="2"/>
        <v>4.642364999999984</v>
      </c>
      <c r="O65" s="111">
        <f t="shared" si="9"/>
        <v>0.029638413103065933</v>
      </c>
      <c r="S65" s="74"/>
    </row>
    <row r="66" spans="2:19" ht="15">
      <c r="B66" s="112" t="s">
        <v>44</v>
      </c>
      <c r="C66" s="23"/>
      <c r="D66" s="23"/>
      <c r="E66" s="23"/>
      <c r="F66" s="113"/>
      <c r="G66" s="104"/>
      <c r="H66" s="105">
        <f>H64+H65</f>
        <v>1361.505586</v>
      </c>
      <c r="I66" s="106"/>
      <c r="J66" s="106"/>
      <c r="K66" s="106"/>
      <c r="L66" s="108">
        <f>L64+L65</f>
        <v>1401.8584509999998</v>
      </c>
      <c r="M66" s="109"/>
      <c r="N66" s="110">
        <f t="shared" si="2"/>
        <v>40.35286499999984</v>
      </c>
      <c r="O66" s="111">
        <f t="shared" si="9"/>
        <v>0.029638413103065916</v>
      </c>
      <c r="S66" s="74"/>
    </row>
    <row r="67" spans="2:15" ht="15.75" customHeight="1">
      <c r="B67" s="333" t="s">
        <v>45</v>
      </c>
      <c r="C67" s="333"/>
      <c r="D67" s="333"/>
      <c r="E67" s="23"/>
      <c r="F67" s="113"/>
      <c r="G67" s="104"/>
      <c r="H67" s="263">
        <f>ROUND(-H66*10%,2)</f>
        <v>-136.15</v>
      </c>
      <c r="I67" s="106"/>
      <c r="J67" s="106"/>
      <c r="K67" s="106"/>
      <c r="L67" s="264">
        <f>ROUND(-L66*10%,2)</f>
        <v>-140.19</v>
      </c>
      <c r="M67" s="109"/>
      <c r="N67" s="265">
        <f t="shared" si="2"/>
        <v>-4.039999999999992</v>
      </c>
      <c r="O67" s="117">
        <f t="shared" si="9"/>
        <v>0.029673154608887198</v>
      </c>
    </row>
    <row r="68" spans="2:15" ht="15.75" thickBot="1">
      <c r="B68" s="334" t="s">
        <v>46</v>
      </c>
      <c r="C68" s="334"/>
      <c r="D68" s="334"/>
      <c r="E68" s="118"/>
      <c r="F68" s="119"/>
      <c r="G68" s="120"/>
      <c r="H68" s="121">
        <f>H66+H67</f>
        <v>1225.355586</v>
      </c>
      <c r="I68" s="122"/>
      <c r="J68" s="122"/>
      <c r="K68" s="122"/>
      <c r="L68" s="123">
        <f>L66+L67</f>
        <v>1261.6684509999998</v>
      </c>
      <c r="M68" s="124"/>
      <c r="N68" s="125">
        <f t="shared" si="2"/>
        <v>36.312864999999874</v>
      </c>
      <c r="O68" s="126">
        <f t="shared" si="9"/>
        <v>0.02963455295334972</v>
      </c>
    </row>
    <row r="69" spans="2:15" s="75" customFormat="1" ht="8.25" customHeight="1" thickBot="1">
      <c r="B69" s="127"/>
      <c r="C69" s="128"/>
      <c r="D69" s="129"/>
      <c r="E69" s="128"/>
      <c r="F69" s="86"/>
      <c r="G69" s="130"/>
      <c r="H69" s="88"/>
      <c r="I69" s="131"/>
      <c r="J69" s="86"/>
      <c r="K69" s="132"/>
      <c r="L69" s="88"/>
      <c r="M69" s="131"/>
      <c r="N69" s="133"/>
      <c r="O69" s="92"/>
    </row>
    <row r="70" spans="2:15" s="75" customFormat="1" ht="12.75">
      <c r="B70" s="134" t="s">
        <v>47</v>
      </c>
      <c r="C70" s="77"/>
      <c r="D70" s="77"/>
      <c r="E70" s="77"/>
      <c r="F70" s="135"/>
      <c r="G70" s="136"/>
      <c r="H70" s="137">
        <f>SUM(H61:H62,H53,H54:H57)</f>
        <v>1237.8721999999998</v>
      </c>
      <c r="I70" s="138"/>
      <c r="J70" s="139"/>
      <c r="K70" s="139"/>
      <c r="L70" s="191">
        <f>SUM(L61:L62,L53,L54:L57)</f>
        <v>1273.5827</v>
      </c>
      <c r="M70" s="140"/>
      <c r="N70" s="141">
        <f>L70-H70</f>
        <v>35.71050000000014</v>
      </c>
      <c r="O70" s="101">
        <f>IF((H70)=0,"",(N70/H70))</f>
        <v>0.028848293062886575</v>
      </c>
    </row>
    <row r="71" spans="2:15" s="75" customFormat="1" ht="12.75">
      <c r="B71" s="142" t="s">
        <v>43</v>
      </c>
      <c r="C71" s="77"/>
      <c r="D71" s="77"/>
      <c r="E71" s="77"/>
      <c r="F71" s="143">
        <v>0.13</v>
      </c>
      <c r="G71" s="136"/>
      <c r="H71" s="144">
        <f>H70*F71</f>
        <v>160.92338599999997</v>
      </c>
      <c r="I71" s="145"/>
      <c r="J71" s="146">
        <v>0.13</v>
      </c>
      <c r="K71" s="147"/>
      <c r="L71" s="148">
        <f>L70*J71</f>
        <v>165.565751</v>
      </c>
      <c r="M71" s="149"/>
      <c r="N71" s="150">
        <f>L71-H71</f>
        <v>4.642365000000041</v>
      </c>
      <c r="O71" s="111">
        <f>IF((H71)=0,"",(N71/H71))</f>
        <v>0.028848293062886717</v>
      </c>
    </row>
    <row r="72" spans="2:15" s="75" customFormat="1" ht="12.75">
      <c r="B72" s="151" t="s">
        <v>44</v>
      </c>
      <c r="C72" s="77"/>
      <c r="D72" s="77"/>
      <c r="E72" s="77"/>
      <c r="F72" s="152"/>
      <c r="G72" s="153"/>
      <c r="H72" s="144">
        <f>H70+H71</f>
        <v>1398.7955859999997</v>
      </c>
      <c r="I72" s="145"/>
      <c r="J72" s="145"/>
      <c r="K72" s="145"/>
      <c r="L72" s="148">
        <f>L70+L71</f>
        <v>1439.148451</v>
      </c>
      <c r="M72" s="149"/>
      <c r="N72" s="150">
        <f>L72-H72</f>
        <v>40.35286500000029</v>
      </c>
      <c r="O72" s="111">
        <f>IF((H72)=0,"",(N72/H72))</f>
        <v>0.028848293062886676</v>
      </c>
    </row>
    <row r="73" spans="2:15" s="75" customFormat="1" ht="15.75" customHeight="1">
      <c r="B73" s="335" t="s">
        <v>45</v>
      </c>
      <c r="C73" s="335"/>
      <c r="D73" s="335"/>
      <c r="E73" s="77"/>
      <c r="F73" s="152"/>
      <c r="G73" s="153"/>
      <c r="H73" s="256">
        <f>ROUND(-H72*10%,2)</f>
        <v>-139.88</v>
      </c>
      <c r="I73" s="145"/>
      <c r="J73" s="145"/>
      <c r="K73" s="145"/>
      <c r="L73" s="257">
        <f>ROUND(-L72*10%,2)</f>
        <v>-143.91</v>
      </c>
      <c r="M73" s="149"/>
      <c r="N73" s="258">
        <f>L73-H73</f>
        <v>-4.030000000000001</v>
      </c>
      <c r="O73" s="117">
        <f>IF((H73)=0,"",(N73/H73))</f>
        <v>0.028810408921933095</v>
      </c>
    </row>
    <row r="74" spans="2:15" s="75" customFormat="1" ht="13.5" thickBot="1">
      <c r="B74" s="326" t="s">
        <v>48</v>
      </c>
      <c r="C74" s="326"/>
      <c r="D74" s="326"/>
      <c r="E74" s="157"/>
      <c r="F74" s="158"/>
      <c r="G74" s="159"/>
      <c r="H74" s="160">
        <f>SUM(H72:H73)</f>
        <v>1258.9155859999996</v>
      </c>
      <c r="I74" s="161"/>
      <c r="J74" s="161"/>
      <c r="K74" s="161"/>
      <c r="L74" s="162">
        <f>SUM(L72:L73)</f>
        <v>1295.238451</v>
      </c>
      <c r="M74" s="163"/>
      <c r="N74" s="164">
        <f>L74-H74</f>
        <v>36.32286500000032</v>
      </c>
      <c r="O74" s="165">
        <f>IF((H74)=0,"",(N74/H74))</f>
        <v>0.02885250242664033</v>
      </c>
    </row>
    <row r="75" spans="2:15" s="75" customFormat="1" ht="8.25" customHeight="1" thickBot="1">
      <c r="B75" s="127"/>
      <c r="C75" s="128"/>
      <c r="D75" s="129"/>
      <c r="E75" s="128"/>
      <c r="F75" s="166"/>
      <c r="G75" s="167"/>
      <c r="H75" s="168"/>
      <c r="I75" s="169"/>
      <c r="J75" s="166"/>
      <c r="K75" s="130"/>
      <c r="L75" s="170"/>
      <c r="M75" s="131"/>
      <c r="N75" s="171"/>
      <c r="O75" s="92"/>
    </row>
    <row r="76" ht="10.5" customHeight="1">
      <c r="L76" s="74"/>
    </row>
    <row r="77" spans="2:10" ht="15">
      <c r="B77" s="14" t="s">
        <v>49</v>
      </c>
      <c r="F77" s="172">
        <v>0.0335</v>
      </c>
      <c r="J77" s="172">
        <v>0.0335</v>
      </c>
    </row>
    <row r="78" ht="10.5" customHeight="1"/>
    <row r="79" ht="15">
      <c r="A79" s="173" t="s">
        <v>50</v>
      </c>
    </row>
    <row r="80" ht="10.5" customHeight="1"/>
    <row r="81" ht="15">
      <c r="A81" s="8" t="s">
        <v>51</v>
      </c>
    </row>
    <row r="82" ht="15">
      <c r="A82" s="8" t="s">
        <v>52</v>
      </c>
    </row>
    <row r="84" ht="15">
      <c r="A84" s="13" t="s">
        <v>53</v>
      </c>
    </row>
    <row r="85" ht="15">
      <c r="A85" s="13" t="s">
        <v>54</v>
      </c>
    </row>
    <row r="87" ht="15">
      <c r="A87" s="8" t="s">
        <v>55</v>
      </c>
    </row>
    <row r="88" ht="15">
      <c r="A88" s="8" t="s">
        <v>56</v>
      </c>
    </row>
    <row r="89" ht="15">
      <c r="A89" s="8" t="s">
        <v>57</v>
      </c>
    </row>
    <row r="90" ht="15">
      <c r="A90" s="8" t="s">
        <v>58</v>
      </c>
    </row>
    <row r="91" ht="15">
      <c r="A91" s="8" t="s">
        <v>59</v>
      </c>
    </row>
    <row r="93" spans="1:2" ht="15">
      <c r="A93" s="174"/>
      <c r="B93" s="8" t="s">
        <v>60</v>
      </c>
    </row>
  </sheetData>
  <sheetProtection/>
  <mergeCells count="21">
    <mergeCell ref="N1:O1"/>
    <mergeCell ref="N2:O2"/>
    <mergeCell ref="N6:O6"/>
    <mergeCell ref="N7:O7"/>
    <mergeCell ref="A3:K3"/>
    <mergeCell ref="B10:O10"/>
    <mergeCell ref="B11:O11"/>
    <mergeCell ref="D14:O14"/>
    <mergeCell ref="F20:H20"/>
    <mergeCell ref="J20:L20"/>
    <mergeCell ref="N20:O20"/>
    <mergeCell ref="N3:O3"/>
    <mergeCell ref="N4:O4"/>
    <mergeCell ref="N5:O5"/>
    <mergeCell ref="B74:D74"/>
    <mergeCell ref="D21:D22"/>
    <mergeCell ref="N21:N22"/>
    <mergeCell ref="O21:O22"/>
    <mergeCell ref="B67:D67"/>
    <mergeCell ref="B68:D68"/>
    <mergeCell ref="B73:D73"/>
  </mergeCells>
  <dataValidations count="4">
    <dataValidation type="list" allowBlank="1" showInputMessage="1" showErrorMessage="1" sqref="D16">
      <formula1>"TOU, non-TOU"</formula1>
    </dataValidation>
    <dataValidation type="list" allowBlank="1" showInputMessage="1" showErrorMessage="1" sqref="E75 E69 E61:E62">
      <formula1>'GS&lt;50 (10,000kWh)'!#REF!</formula1>
    </dataValidation>
    <dataValidation type="list" allowBlank="1" showInputMessage="1" showErrorMessage="1" prompt="Select Charge Unit - monthly, per kWh, per kW" sqref="D51:D52 D69 D75 D54:D63 D42:D49 D23:D40">
      <formula1>"Monthly, per kWh, per kW"</formula1>
    </dataValidation>
    <dataValidation type="list" allowBlank="1" showInputMessage="1" showErrorMessage="1" sqref="E51:E52 E54:E60 E63 E42:E49 E23:E40">
      <formula1>'GS&lt;50 (10,000kWh)'!#REF!</formula1>
    </dataValidation>
  </dataValidations>
  <printOptions/>
  <pageMargins left="0.7" right="0.7" top="0.75" bottom="0.75" header="0.3" footer="0.3"/>
  <pageSetup fitToHeight="0" fitToWidth="1" horizontalDpi="600" verticalDpi="600" orientation="portrait" scale="5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93"/>
  <sheetViews>
    <sheetView showGridLines="0" zoomScalePageLayoutView="0" workbookViewId="0" topLeftCell="B9">
      <selection activeCell="J47" sqref="J47"/>
    </sheetView>
  </sheetViews>
  <sheetFormatPr defaultColWidth="9.140625" defaultRowHeight="15"/>
  <cols>
    <col min="1" max="1" width="2.140625" style="8" customWidth="1"/>
    <col min="2" max="2" width="44.5742187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8.57421875" style="8" customWidth="1"/>
    <col min="8" max="8" width="10.57421875" style="8" bestFit="1" customWidth="1"/>
    <col min="9" max="9" width="2.8515625" style="8" customWidth="1"/>
    <col min="10" max="10" width="12.140625" style="8" customWidth="1"/>
    <col min="11" max="11" width="8.57421875" style="8" customWidth="1"/>
    <col min="12" max="12" width="10.57421875" style="8" bestFit="1" customWidth="1"/>
    <col min="13" max="13" width="2.8515625" style="8" customWidth="1"/>
    <col min="14" max="14" width="12.7109375" style="8" bestFit="1" customWidth="1"/>
    <col min="15" max="15" width="10.8515625" style="8" bestFit="1" customWidth="1"/>
    <col min="16" max="16" width="11.2812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42" t="str">
        <f>EBNUMBER</f>
        <v>EB-2013-0116</v>
      </c>
      <c r="O1" s="342"/>
      <c r="P1" s="196"/>
      <c r="T1" s="2">
        <v>1</v>
      </c>
    </row>
    <row r="2" spans="1:16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343">
        <v>8</v>
      </c>
      <c r="O2" s="343"/>
      <c r="P2" s="197"/>
    </row>
    <row r="3" spans="1:16" s="2" customFormat="1" ht="15" customHeight="1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" t="s">
        <v>79</v>
      </c>
      <c r="N3" s="344" t="s">
        <v>80</v>
      </c>
      <c r="O3" s="344"/>
      <c r="P3" s="198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343">
        <v>12</v>
      </c>
      <c r="O4" s="343"/>
      <c r="P4" s="197"/>
    </row>
    <row r="5" spans="3:16" s="2" customFormat="1" ht="15" customHeight="1">
      <c r="C5" s="7"/>
      <c r="D5" s="7"/>
      <c r="E5" s="7"/>
      <c r="L5" s="3" t="s">
        <v>81</v>
      </c>
      <c r="N5" s="345" t="s">
        <v>94</v>
      </c>
      <c r="O5" s="345"/>
      <c r="P5" s="196"/>
    </row>
    <row r="6" spans="12:16" s="2" customFormat="1" ht="9" customHeight="1">
      <c r="L6" s="3"/>
      <c r="N6" s="347"/>
      <c r="O6" s="347"/>
      <c r="P6" s="199"/>
    </row>
    <row r="7" spans="12:16" s="2" customFormat="1" ht="15">
      <c r="L7" s="3" t="s">
        <v>83</v>
      </c>
      <c r="N7" s="346">
        <v>41575</v>
      </c>
      <c r="O7" s="346"/>
      <c r="P7" s="200"/>
    </row>
    <row r="8" spans="14:16" s="2" customFormat="1" ht="15" customHeight="1">
      <c r="N8" s="8"/>
      <c r="O8"/>
      <c r="P8" s="199"/>
    </row>
    <row r="9" spans="12:16" ht="7.5" customHeight="1">
      <c r="L9"/>
      <c r="M9"/>
      <c r="N9"/>
      <c r="O9"/>
      <c r="P9"/>
    </row>
    <row r="10" spans="2:16" ht="18.75" customHeight="1">
      <c r="B10" s="337" t="s">
        <v>3</v>
      </c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/>
    </row>
    <row r="11" spans="2:16" ht="18.75" customHeight="1">
      <c r="B11" s="337" t="s">
        <v>4</v>
      </c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338" t="s">
        <v>68</v>
      </c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7" ht="15">
      <c r="B18" s="13"/>
      <c r="D18" s="14" t="s">
        <v>8</v>
      </c>
      <c r="E18" s="14"/>
      <c r="F18" s="15">
        <v>15000</v>
      </c>
      <c r="G18" s="14" t="s">
        <v>9</v>
      </c>
    </row>
    <row r="19" ht="15">
      <c r="B19" s="13"/>
    </row>
    <row r="20" spans="2:15" ht="15">
      <c r="B20" s="13"/>
      <c r="D20" s="16"/>
      <c r="E20" s="16"/>
      <c r="F20" s="339" t="s">
        <v>10</v>
      </c>
      <c r="G20" s="340"/>
      <c r="H20" s="341"/>
      <c r="J20" s="339" t="s">
        <v>11</v>
      </c>
      <c r="K20" s="340"/>
      <c r="L20" s="341"/>
      <c r="N20" s="339" t="s">
        <v>12</v>
      </c>
      <c r="O20" s="341"/>
    </row>
    <row r="21" spans="2:15" ht="15">
      <c r="B21" s="13"/>
      <c r="D21" s="327" t="s">
        <v>13</v>
      </c>
      <c r="E21" s="17"/>
      <c r="F21" s="18" t="s">
        <v>14</v>
      </c>
      <c r="G21" s="18" t="s">
        <v>15</v>
      </c>
      <c r="H21" s="19" t="s">
        <v>16</v>
      </c>
      <c r="J21" s="18" t="s">
        <v>14</v>
      </c>
      <c r="K21" s="20" t="s">
        <v>15</v>
      </c>
      <c r="L21" s="19" t="s">
        <v>16</v>
      </c>
      <c r="N21" s="329" t="s">
        <v>17</v>
      </c>
      <c r="O21" s="331" t="s">
        <v>18</v>
      </c>
    </row>
    <row r="22" spans="2:15" ht="15">
      <c r="B22" s="13"/>
      <c r="D22" s="328"/>
      <c r="E22" s="17"/>
      <c r="F22" s="21" t="s">
        <v>19</v>
      </c>
      <c r="G22" s="21"/>
      <c r="H22" s="22" t="s">
        <v>19</v>
      </c>
      <c r="J22" s="21" t="s">
        <v>19</v>
      </c>
      <c r="K22" s="22"/>
      <c r="L22" s="22" t="s">
        <v>19</v>
      </c>
      <c r="N22" s="330"/>
      <c r="O22" s="332"/>
    </row>
    <row r="23" spans="2:15" ht="22.5" customHeight="1">
      <c r="B23" s="23" t="s">
        <v>20</v>
      </c>
      <c r="C23" s="23"/>
      <c r="D23" s="24" t="s">
        <v>62</v>
      </c>
      <c r="E23" s="25"/>
      <c r="F23" s="176">
        <f>'GS&lt;50 (1,000kWh)'!F23</f>
        <v>13</v>
      </c>
      <c r="G23" s="27">
        <v>1</v>
      </c>
      <c r="H23" s="28">
        <f>G23*F23</f>
        <v>13</v>
      </c>
      <c r="I23" s="29"/>
      <c r="J23" s="175">
        <f>'GS&lt;50 (1,000kWh)'!J23</f>
        <v>13.18</v>
      </c>
      <c r="K23" s="31">
        <v>1</v>
      </c>
      <c r="L23" s="28">
        <f>K23*J23</f>
        <v>13.18</v>
      </c>
      <c r="M23" s="29"/>
      <c r="N23" s="32">
        <f>L23-H23</f>
        <v>0.17999999999999972</v>
      </c>
      <c r="O23" s="33">
        <f>IF((H23)=0,"",(N23/H23))</f>
        <v>0.013846153846153824</v>
      </c>
    </row>
    <row r="24" spans="2:15" ht="22.5" customHeight="1">
      <c r="B24" s="23" t="s">
        <v>102</v>
      </c>
      <c r="C24" s="23"/>
      <c r="D24" s="24" t="s">
        <v>62</v>
      </c>
      <c r="E24" s="25"/>
      <c r="F24" s="255">
        <f>'GS&lt;50 (1,000kWh)'!F24</f>
        <v>0</v>
      </c>
      <c r="G24" s="27">
        <v>1</v>
      </c>
      <c r="H24" s="249">
        <f>G24*F24</f>
        <v>0</v>
      </c>
      <c r="I24" s="29"/>
      <c r="J24" s="175">
        <v>0</v>
      </c>
      <c r="K24" s="31">
        <v>1</v>
      </c>
      <c r="L24" s="28">
        <f>K24*J24</f>
        <v>0</v>
      </c>
      <c r="M24" s="29"/>
      <c r="N24" s="32">
        <f>L24-H24</f>
        <v>0</v>
      </c>
      <c r="O24" s="33">
        <f>IF((H24)=0,"",(N24/H24))</f>
      </c>
    </row>
    <row r="25" spans="2:15" ht="36.75" customHeight="1">
      <c r="B25" s="66" t="s">
        <v>125</v>
      </c>
      <c r="C25" s="23"/>
      <c r="D25" s="57" t="s">
        <v>62</v>
      </c>
      <c r="E25" s="25"/>
      <c r="F25" s="272">
        <v>0</v>
      </c>
      <c r="G25" s="27">
        <v>1</v>
      </c>
      <c r="H25" s="249">
        <f>G25*F25</f>
        <v>0</v>
      </c>
      <c r="I25" s="29"/>
      <c r="J25" s="30">
        <f>'GS&lt;50 (1,000kWh)'!J25</f>
        <v>0.79</v>
      </c>
      <c r="K25" s="31">
        <v>1</v>
      </c>
      <c r="L25" s="249">
        <f>K25*J25</f>
        <v>0.79</v>
      </c>
      <c r="M25" s="29"/>
      <c r="N25" s="32">
        <f>L25-H25</f>
        <v>0.79</v>
      </c>
      <c r="O25" s="250">
        <f>IF((H25)=0,"",(N25/H25))</f>
      </c>
    </row>
    <row r="26" spans="2:15" ht="36.75" customHeight="1">
      <c r="B26" s="177" t="s">
        <v>64</v>
      </c>
      <c r="C26" s="23"/>
      <c r="D26" s="57" t="s">
        <v>62</v>
      </c>
      <c r="E26" s="58"/>
      <c r="F26" s="175">
        <v>0</v>
      </c>
      <c r="G26" s="27">
        <v>1</v>
      </c>
      <c r="H26" s="28">
        <f aca="true" t="shared" si="0" ref="H26:H40">G26*F26</f>
        <v>0</v>
      </c>
      <c r="I26" s="29"/>
      <c r="J26" s="30"/>
      <c r="K26" s="31">
        <v>1</v>
      </c>
      <c r="L26" s="28">
        <f aca="true" t="shared" si="1" ref="L26:L40">K26*J26</f>
        <v>0</v>
      </c>
      <c r="M26" s="29"/>
      <c r="N26" s="32">
        <f aca="true" t="shared" si="2" ref="N26:N68">L26-H26</f>
        <v>0</v>
      </c>
      <c r="O26" s="33">
        <f aca="true" t="shared" si="3" ref="O26:O48">IF((H26)=0,"",(N26/H26))</f>
      </c>
    </row>
    <row r="27" spans="2:15" ht="15">
      <c r="B27" s="177" t="s">
        <v>65</v>
      </c>
      <c r="C27" s="23"/>
      <c r="D27" s="24" t="s">
        <v>62</v>
      </c>
      <c r="E27" s="25"/>
      <c r="F27" s="26">
        <f>'GS&lt;50 (1,000kWh)'!F27</f>
        <v>13.36</v>
      </c>
      <c r="G27" s="27">
        <v>1</v>
      </c>
      <c r="H27" s="28">
        <f t="shared" si="0"/>
        <v>13.36</v>
      </c>
      <c r="I27" s="29"/>
      <c r="J27" s="175">
        <v>0</v>
      </c>
      <c r="K27" s="31">
        <v>1</v>
      </c>
      <c r="L27" s="28">
        <f t="shared" si="1"/>
        <v>0</v>
      </c>
      <c r="M27" s="29"/>
      <c r="N27" s="259">
        <f t="shared" si="2"/>
        <v>-13.36</v>
      </c>
      <c r="O27" s="33">
        <f t="shared" si="3"/>
        <v>-1</v>
      </c>
    </row>
    <row r="28" spans="2:15" ht="15">
      <c r="B28" s="47" t="s">
        <v>66</v>
      </c>
      <c r="C28" s="23"/>
      <c r="D28" s="24" t="s">
        <v>63</v>
      </c>
      <c r="E28" s="25"/>
      <c r="F28" s="26">
        <v>0</v>
      </c>
      <c r="G28" s="27">
        <f aca="true" t="shared" si="4" ref="G28:G33">$F$18</f>
        <v>15000</v>
      </c>
      <c r="H28" s="28">
        <f t="shared" si="0"/>
        <v>0</v>
      </c>
      <c r="I28" s="29"/>
      <c r="J28" s="175"/>
      <c r="K28" s="27">
        <f>$F$18</f>
        <v>15000</v>
      </c>
      <c r="L28" s="28">
        <f t="shared" si="1"/>
        <v>0</v>
      </c>
      <c r="M28" s="29"/>
      <c r="N28" s="32">
        <f t="shared" si="2"/>
        <v>0</v>
      </c>
      <c r="O28" s="33">
        <f t="shared" si="3"/>
      </c>
    </row>
    <row r="29" spans="2:15" ht="15">
      <c r="B29" s="47" t="s">
        <v>67</v>
      </c>
      <c r="C29" s="23"/>
      <c r="D29" s="24" t="s">
        <v>63</v>
      </c>
      <c r="E29" s="25"/>
      <c r="F29" s="253">
        <f>'GS&lt;50 (1,000kWh)'!F29</f>
        <v>-0.004</v>
      </c>
      <c r="G29" s="27">
        <f t="shared" si="4"/>
        <v>15000</v>
      </c>
      <c r="H29" s="28">
        <f t="shared" si="0"/>
        <v>-60</v>
      </c>
      <c r="I29" s="29"/>
      <c r="J29" s="30">
        <f>'GS&lt;50 (1,000kWh)'!J29</f>
        <v>0</v>
      </c>
      <c r="K29" s="27">
        <f>$F$18</f>
        <v>15000</v>
      </c>
      <c r="L29" s="28">
        <f t="shared" si="1"/>
        <v>0</v>
      </c>
      <c r="M29" s="29"/>
      <c r="N29" s="32">
        <f t="shared" si="2"/>
        <v>60</v>
      </c>
      <c r="O29" s="33">
        <f t="shared" si="3"/>
        <v>-1</v>
      </c>
    </row>
    <row r="30" spans="2:15" ht="15">
      <c r="B30" s="47" t="s">
        <v>103</v>
      </c>
      <c r="C30" s="23"/>
      <c r="D30" s="24" t="s">
        <v>63</v>
      </c>
      <c r="E30" s="25"/>
      <c r="F30" s="26">
        <f>'GS&lt;50 (1,000kWh)'!F30</f>
        <v>0</v>
      </c>
      <c r="G30" s="27">
        <f t="shared" si="4"/>
        <v>15000</v>
      </c>
      <c r="H30" s="249">
        <f>G30*F30</f>
        <v>0</v>
      </c>
      <c r="I30" s="29"/>
      <c r="J30" s="30">
        <f>'GS&lt;50 (1,000kWh)'!J30</f>
        <v>0</v>
      </c>
      <c r="K30" s="27">
        <f>$F$18</f>
        <v>15000</v>
      </c>
      <c r="L30" s="249">
        <f>K30*J30</f>
        <v>0</v>
      </c>
      <c r="M30" s="29"/>
      <c r="N30" s="259">
        <f>L30-H30</f>
        <v>0</v>
      </c>
      <c r="O30" s="250">
        <f>IF((H30)=0,"",(N30/H30))</f>
      </c>
    </row>
    <row r="31" spans="2:15" ht="15">
      <c r="B31" s="23" t="s">
        <v>21</v>
      </c>
      <c r="C31" s="23"/>
      <c r="D31" s="24" t="s">
        <v>63</v>
      </c>
      <c r="E31" s="25"/>
      <c r="F31" s="26">
        <f>'GS&lt;50 (1,000kWh)'!F31</f>
        <v>0.0139</v>
      </c>
      <c r="G31" s="27">
        <f t="shared" si="4"/>
        <v>15000</v>
      </c>
      <c r="H31" s="28">
        <f t="shared" si="0"/>
        <v>208.5</v>
      </c>
      <c r="I31" s="29"/>
      <c r="J31" s="30">
        <f>'GS&lt;50 (1,000kWh)'!J31</f>
        <v>0.0141</v>
      </c>
      <c r="K31" s="27">
        <f>$F$18</f>
        <v>15000</v>
      </c>
      <c r="L31" s="28">
        <f t="shared" si="1"/>
        <v>211.5</v>
      </c>
      <c r="M31" s="29"/>
      <c r="N31" s="32">
        <f t="shared" si="2"/>
        <v>3</v>
      </c>
      <c r="O31" s="33">
        <f t="shared" si="3"/>
        <v>0.014388489208633094</v>
      </c>
    </row>
    <row r="32" spans="2:15" ht="15">
      <c r="B32" s="23" t="s">
        <v>22</v>
      </c>
      <c r="C32" s="23"/>
      <c r="D32" s="24"/>
      <c r="E32" s="25"/>
      <c r="F32" s="26"/>
      <c r="G32" s="27">
        <f t="shared" si="4"/>
        <v>15000</v>
      </c>
      <c r="H32" s="28">
        <f t="shared" si="0"/>
        <v>0</v>
      </c>
      <c r="I32" s="29"/>
      <c r="J32" s="30"/>
      <c r="K32" s="27">
        <f aca="true" t="shared" si="5" ref="K32:K40">$F$18</f>
        <v>15000</v>
      </c>
      <c r="L32" s="28">
        <f t="shared" si="1"/>
        <v>0</v>
      </c>
      <c r="M32" s="29"/>
      <c r="N32" s="32">
        <f t="shared" si="2"/>
        <v>0</v>
      </c>
      <c r="O32" s="33">
        <f t="shared" si="3"/>
      </c>
    </row>
    <row r="33" spans="2:15" ht="15">
      <c r="B33" s="23" t="s">
        <v>124</v>
      </c>
      <c r="C33" s="23"/>
      <c r="D33" s="24" t="s">
        <v>63</v>
      </c>
      <c r="E33" s="25"/>
      <c r="F33" s="26">
        <v>0</v>
      </c>
      <c r="G33" s="27">
        <f t="shared" si="4"/>
        <v>15000</v>
      </c>
      <c r="H33" s="249">
        <f t="shared" si="0"/>
        <v>0</v>
      </c>
      <c r="I33" s="29"/>
      <c r="J33" s="30">
        <f>'GS&lt;50 (1,000kWh)'!$J33</f>
        <v>0.0001</v>
      </c>
      <c r="K33" s="27">
        <f t="shared" si="5"/>
        <v>15000</v>
      </c>
      <c r="L33" s="249">
        <f t="shared" si="1"/>
        <v>1.5</v>
      </c>
      <c r="M33" s="29"/>
      <c r="N33" s="32">
        <f t="shared" si="2"/>
        <v>1.5</v>
      </c>
      <c r="O33" s="250">
        <f t="shared" si="3"/>
      </c>
    </row>
    <row r="34" spans="2:15" ht="15" hidden="1">
      <c r="B34" s="34"/>
      <c r="C34" s="23"/>
      <c r="D34" s="24"/>
      <c r="E34" s="25"/>
      <c r="F34" s="26"/>
      <c r="G34" s="27">
        <f aca="true" t="shared" si="6" ref="G34:G40">$F$18</f>
        <v>15000</v>
      </c>
      <c r="H34" s="28">
        <f t="shared" si="0"/>
        <v>0</v>
      </c>
      <c r="I34" s="29"/>
      <c r="J34" s="30"/>
      <c r="K34" s="27">
        <f t="shared" si="5"/>
        <v>15000</v>
      </c>
      <c r="L34" s="28">
        <f t="shared" si="1"/>
        <v>0</v>
      </c>
      <c r="M34" s="29"/>
      <c r="N34" s="32">
        <f t="shared" si="2"/>
        <v>0</v>
      </c>
      <c r="O34" s="33">
        <f t="shared" si="3"/>
      </c>
    </row>
    <row r="35" spans="2:15" ht="15" hidden="1">
      <c r="B35" s="34"/>
      <c r="C35" s="23"/>
      <c r="D35" s="24"/>
      <c r="E35" s="25"/>
      <c r="F35" s="26"/>
      <c r="G35" s="27">
        <f t="shared" si="6"/>
        <v>15000</v>
      </c>
      <c r="H35" s="28">
        <f t="shared" si="0"/>
        <v>0</v>
      </c>
      <c r="I35" s="29"/>
      <c r="J35" s="30"/>
      <c r="K35" s="27">
        <f t="shared" si="5"/>
        <v>15000</v>
      </c>
      <c r="L35" s="28">
        <f t="shared" si="1"/>
        <v>0</v>
      </c>
      <c r="M35" s="29"/>
      <c r="N35" s="32">
        <f t="shared" si="2"/>
        <v>0</v>
      </c>
      <c r="O35" s="33">
        <f t="shared" si="3"/>
      </c>
    </row>
    <row r="36" spans="2:15" ht="15" hidden="1">
      <c r="B36" s="34"/>
      <c r="C36" s="23"/>
      <c r="D36" s="24"/>
      <c r="E36" s="25"/>
      <c r="F36" s="26"/>
      <c r="G36" s="27">
        <f t="shared" si="6"/>
        <v>15000</v>
      </c>
      <c r="H36" s="28">
        <f t="shared" si="0"/>
        <v>0</v>
      </c>
      <c r="I36" s="29"/>
      <c r="J36" s="30"/>
      <c r="K36" s="27">
        <f t="shared" si="5"/>
        <v>15000</v>
      </c>
      <c r="L36" s="28">
        <f t="shared" si="1"/>
        <v>0</v>
      </c>
      <c r="M36" s="29"/>
      <c r="N36" s="32">
        <f t="shared" si="2"/>
        <v>0</v>
      </c>
      <c r="O36" s="33">
        <f t="shared" si="3"/>
      </c>
    </row>
    <row r="37" spans="2:15" ht="15" hidden="1">
      <c r="B37" s="34"/>
      <c r="C37" s="23"/>
      <c r="D37" s="24"/>
      <c r="E37" s="25"/>
      <c r="F37" s="26"/>
      <c r="G37" s="27">
        <f t="shared" si="6"/>
        <v>15000</v>
      </c>
      <c r="H37" s="28">
        <f t="shared" si="0"/>
        <v>0</v>
      </c>
      <c r="I37" s="29"/>
      <c r="J37" s="30"/>
      <c r="K37" s="27">
        <f t="shared" si="5"/>
        <v>15000</v>
      </c>
      <c r="L37" s="28">
        <f t="shared" si="1"/>
        <v>0</v>
      </c>
      <c r="M37" s="29"/>
      <c r="N37" s="32">
        <f t="shared" si="2"/>
        <v>0</v>
      </c>
      <c r="O37" s="33">
        <f t="shared" si="3"/>
      </c>
    </row>
    <row r="38" spans="2:15" ht="15" hidden="1">
      <c r="B38" s="34"/>
      <c r="C38" s="23"/>
      <c r="D38" s="24"/>
      <c r="E38" s="25"/>
      <c r="F38" s="26"/>
      <c r="G38" s="27">
        <f t="shared" si="6"/>
        <v>15000</v>
      </c>
      <c r="H38" s="28">
        <f t="shared" si="0"/>
        <v>0</v>
      </c>
      <c r="I38" s="29"/>
      <c r="J38" s="30"/>
      <c r="K38" s="27">
        <f t="shared" si="5"/>
        <v>15000</v>
      </c>
      <c r="L38" s="28">
        <f t="shared" si="1"/>
        <v>0</v>
      </c>
      <c r="M38" s="29"/>
      <c r="N38" s="32">
        <f t="shared" si="2"/>
        <v>0</v>
      </c>
      <c r="O38" s="33">
        <f t="shared" si="3"/>
      </c>
    </row>
    <row r="39" spans="2:15" ht="15" hidden="1">
      <c r="B39" s="34"/>
      <c r="C39" s="23"/>
      <c r="D39" s="24"/>
      <c r="E39" s="25"/>
      <c r="F39" s="26"/>
      <c r="G39" s="27">
        <f t="shared" si="6"/>
        <v>15000</v>
      </c>
      <c r="H39" s="28">
        <f t="shared" si="0"/>
        <v>0</v>
      </c>
      <c r="I39" s="29"/>
      <c r="J39" s="30"/>
      <c r="K39" s="27">
        <f t="shared" si="5"/>
        <v>15000</v>
      </c>
      <c r="L39" s="28">
        <f t="shared" si="1"/>
        <v>0</v>
      </c>
      <c r="M39" s="29"/>
      <c r="N39" s="32">
        <f t="shared" si="2"/>
        <v>0</v>
      </c>
      <c r="O39" s="33">
        <f t="shared" si="3"/>
      </c>
    </row>
    <row r="40" spans="2:15" ht="15" hidden="1">
      <c r="B40" s="34"/>
      <c r="C40" s="23"/>
      <c r="D40" s="24"/>
      <c r="E40" s="25"/>
      <c r="F40" s="26"/>
      <c r="G40" s="27">
        <f t="shared" si="6"/>
        <v>15000</v>
      </c>
      <c r="H40" s="28">
        <f t="shared" si="0"/>
        <v>0</v>
      </c>
      <c r="I40" s="29"/>
      <c r="J40" s="30"/>
      <c r="K40" s="27">
        <f t="shared" si="5"/>
        <v>15000</v>
      </c>
      <c r="L40" s="28">
        <f t="shared" si="1"/>
        <v>0</v>
      </c>
      <c r="M40" s="29"/>
      <c r="N40" s="32">
        <f t="shared" si="2"/>
        <v>0</v>
      </c>
      <c r="O40" s="33">
        <f t="shared" si="3"/>
      </c>
    </row>
    <row r="41" spans="2:15" s="35" customFormat="1" ht="15">
      <c r="B41" s="36" t="s">
        <v>24</v>
      </c>
      <c r="C41" s="37"/>
      <c r="D41" s="38"/>
      <c r="E41" s="37"/>
      <c r="F41" s="39"/>
      <c r="G41" s="40"/>
      <c r="H41" s="41">
        <f>SUM(H23:H40)</f>
        <v>174.86</v>
      </c>
      <c r="I41" s="42"/>
      <c r="J41" s="43"/>
      <c r="K41" s="44"/>
      <c r="L41" s="41">
        <f>SUM(L23:L40)</f>
        <v>226.97</v>
      </c>
      <c r="M41" s="42"/>
      <c r="N41" s="45">
        <f t="shared" si="2"/>
        <v>52.109999999999985</v>
      </c>
      <c r="O41" s="46">
        <f t="shared" si="3"/>
        <v>0.29800983644058093</v>
      </c>
    </row>
    <row r="42" spans="2:15" ht="15" hidden="1">
      <c r="B42" s="177"/>
      <c r="C42" s="23"/>
      <c r="D42" s="57" t="s">
        <v>62</v>
      </c>
      <c r="E42" s="25"/>
      <c r="F42" s="26"/>
      <c r="G42" s="27">
        <v>1</v>
      </c>
      <c r="H42" s="28">
        <f>G42*F42</f>
        <v>0</v>
      </c>
      <c r="I42" s="29"/>
      <c r="J42" s="175"/>
      <c r="K42" s="31">
        <v>1</v>
      </c>
      <c r="L42" s="28">
        <f>K42*J42</f>
        <v>0</v>
      </c>
      <c r="M42" s="29"/>
      <c r="N42" s="32">
        <f>L42-H42</f>
        <v>0</v>
      </c>
      <c r="O42" s="33">
        <f>IF((H42)=0,"",(N42/H42))</f>
      </c>
    </row>
    <row r="43" spans="2:15" ht="25.5">
      <c r="B43" s="47" t="s">
        <v>25</v>
      </c>
      <c r="C43" s="23"/>
      <c r="D43" s="57" t="s">
        <v>63</v>
      </c>
      <c r="E43" s="58"/>
      <c r="F43" s="253">
        <f>'GS&lt;50 (1,000kWh)'!F43</f>
        <v>-0.0019</v>
      </c>
      <c r="G43" s="27">
        <f>$F$18</f>
        <v>15000</v>
      </c>
      <c r="H43" s="28">
        <f aca="true" t="shared" si="7" ref="H43:H49">G43*F43</f>
        <v>-28.5</v>
      </c>
      <c r="I43" s="29"/>
      <c r="J43" s="251">
        <f>'GS&lt;50 (1,000kWh)'!J43</f>
        <v>-0.0017</v>
      </c>
      <c r="K43" s="27">
        <f>$F$18</f>
        <v>15000</v>
      </c>
      <c r="L43" s="28">
        <f aca="true" t="shared" si="8" ref="L43:L49">K43*J43</f>
        <v>-25.5</v>
      </c>
      <c r="M43" s="29"/>
      <c r="N43" s="32">
        <f t="shared" si="2"/>
        <v>3</v>
      </c>
      <c r="O43" s="33">
        <f t="shared" si="3"/>
        <v>-0.10526315789473684</v>
      </c>
    </row>
    <row r="44" spans="2:15" ht="15" hidden="1">
      <c r="B44" s="47"/>
      <c r="C44" s="23"/>
      <c r="D44" s="24" t="s">
        <v>63</v>
      </c>
      <c r="E44" s="25"/>
      <c r="F44" s="26"/>
      <c r="G44" s="27">
        <f>$F$18</f>
        <v>15000</v>
      </c>
      <c r="H44" s="28">
        <f t="shared" si="7"/>
        <v>0</v>
      </c>
      <c r="I44" s="48"/>
      <c r="J44" s="30"/>
      <c r="K44" s="27">
        <f>$F$18</f>
        <v>15000</v>
      </c>
      <c r="L44" s="28">
        <f t="shared" si="8"/>
        <v>0</v>
      </c>
      <c r="M44" s="49"/>
      <c r="N44" s="32">
        <f t="shared" si="2"/>
        <v>0</v>
      </c>
      <c r="O44" s="33">
        <f t="shared" si="3"/>
      </c>
    </row>
    <row r="45" spans="2:15" ht="15" hidden="1">
      <c r="B45" s="47"/>
      <c r="C45" s="23"/>
      <c r="D45" s="24" t="s">
        <v>63</v>
      </c>
      <c r="E45" s="25"/>
      <c r="F45" s="26"/>
      <c r="G45" s="27">
        <f>$F$18</f>
        <v>15000</v>
      </c>
      <c r="H45" s="28">
        <f t="shared" si="7"/>
        <v>0</v>
      </c>
      <c r="I45" s="48"/>
      <c r="J45" s="30"/>
      <c r="K45" s="27">
        <f>$F$18</f>
        <v>15000</v>
      </c>
      <c r="L45" s="28">
        <f t="shared" si="8"/>
        <v>0</v>
      </c>
      <c r="M45" s="49"/>
      <c r="N45" s="32">
        <f t="shared" si="2"/>
        <v>0</v>
      </c>
      <c r="O45" s="33">
        <f t="shared" si="3"/>
      </c>
    </row>
    <row r="46" spans="2:15" ht="15" hidden="1">
      <c r="B46" s="47"/>
      <c r="C46" s="23"/>
      <c r="D46" s="24"/>
      <c r="E46" s="25"/>
      <c r="F46" s="26"/>
      <c r="G46" s="27">
        <f>$F$18</f>
        <v>15000</v>
      </c>
      <c r="H46" s="28">
        <f t="shared" si="7"/>
        <v>0</v>
      </c>
      <c r="I46" s="48"/>
      <c r="J46" s="30"/>
      <c r="K46" s="27">
        <f>$F$18</f>
        <v>15000</v>
      </c>
      <c r="L46" s="28">
        <f t="shared" si="8"/>
        <v>0</v>
      </c>
      <c r="M46" s="49"/>
      <c r="N46" s="32">
        <f t="shared" si="2"/>
        <v>0</v>
      </c>
      <c r="O46" s="33">
        <f t="shared" si="3"/>
      </c>
    </row>
    <row r="47" spans="2:15" ht="15">
      <c r="B47" s="50" t="s">
        <v>26</v>
      </c>
      <c r="C47" s="23"/>
      <c r="D47" s="24" t="s">
        <v>63</v>
      </c>
      <c r="E47" s="25"/>
      <c r="F47" s="26">
        <f>'GS&lt;50 (1,000kWh)'!F47</f>
        <v>0.0001</v>
      </c>
      <c r="G47" s="27">
        <f>$F$18</f>
        <v>15000</v>
      </c>
      <c r="H47" s="28">
        <f t="shared" si="7"/>
        <v>1.5</v>
      </c>
      <c r="I47" s="29"/>
      <c r="J47" s="30">
        <f>'GS&lt;50 (1,000kWh)'!J47</f>
        <v>0.0001</v>
      </c>
      <c r="K47" s="27">
        <f>$F$18</f>
        <v>15000</v>
      </c>
      <c r="L47" s="28">
        <f t="shared" si="8"/>
        <v>1.5</v>
      </c>
      <c r="M47" s="29"/>
      <c r="N47" s="32">
        <f t="shared" si="2"/>
        <v>0</v>
      </c>
      <c r="O47" s="33">
        <f t="shared" si="3"/>
        <v>0</v>
      </c>
    </row>
    <row r="48" spans="2:15" s="35" customFormat="1" ht="15">
      <c r="B48" s="183" t="s">
        <v>27</v>
      </c>
      <c r="C48" s="25"/>
      <c r="D48" s="184" t="s">
        <v>63</v>
      </c>
      <c r="E48" s="25"/>
      <c r="F48" s="185">
        <f>IF(ISBLANK(D16)=TRUE,0,IF(D16="TOU",0.64*$F$58+0.18*$F$59+0.18*$F$60,IF(AND(D16="non-TOU",G62&gt;0),F62,F61)))</f>
        <v>0.08392</v>
      </c>
      <c r="G48" s="27">
        <f>$F$18*(1+$F$77)-$F$18</f>
        <v>502.5000000000018</v>
      </c>
      <c r="H48" s="186">
        <f t="shared" si="7"/>
        <v>42.16980000000015</v>
      </c>
      <c r="I48" s="58"/>
      <c r="J48" s="187">
        <f>0.64*$F$58+0.18*$F$59+0.18*$F$60</f>
        <v>0.08392</v>
      </c>
      <c r="K48" s="27">
        <f>$F$18*(1+$J$77)-$F$18</f>
        <v>502.5000000000018</v>
      </c>
      <c r="L48" s="186">
        <f t="shared" si="8"/>
        <v>42.16980000000015</v>
      </c>
      <c r="M48" s="58"/>
      <c r="N48" s="188">
        <f t="shared" si="2"/>
        <v>0</v>
      </c>
      <c r="O48" s="189">
        <f t="shared" si="3"/>
        <v>0</v>
      </c>
    </row>
    <row r="49" spans="2:15" ht="15">
      <c r="B49" s="50" t="s">
        <v>28</v>
      </c>
      <c r="C49" s="23"/>
      <c r="D49" s="24" t="s">
        <v>62</v>
      </c>
      <c r="E49" s="25"/>
      <c r="F49" s="180">
        <v>0.79</v>
      </c>
      <c r="G49" s="27">
        <v>1</v>
      </c>
      <c r="H49" s="28">
        <f t="shared" si="7"/>
        <v>0.79</v>
      </c>
      <c r="I49" s="29"/>
      <c r="J49" s="180">
        <v>0.79</v>
      </c>
      <c r="K49" s="27">
        <v>1</v>
      </c>
      <c r="L49" s="28">
        <f t="shared" si="8"/>
        <v>0.79</v>
      </c>
      <c r="M49" s="29"/>
      <c r="N49" s="32">
        <f t="shared" si="2"/>
        <v>0</v>
      </c>
      <c r="O49" s="33"/>
    </row>
    <row r="50" spans="2:15" ht="25.5">
      <c r="B50" s="51" t="s">
        <v>29</v>
      </c>
      <c r="C50" s="52"/>
      <c r="D50" s="52"/>
      <c r="E50" s="52"/>
      <c r="F50" s="53"/>
      <c r="G50" s="54"/>
      <c r="H50" s="55">
        <f>SUM(H42:H49)+H41</f>
        <v>190.81980000000016</v>
      </c>
      <c r="I50" s="42"/>
      <c r="J50" s="54"/>
      <c r="K50" s="56"/>
      <c r="L50" s="55">
        <f>SUM(L42:L49)+L41</f>
        <v>245.92980000000014</v>
      </c>
      <c r="M50" s="42"/>
      <c r="N50" s="45">
        <f t="shared" si="2"/>
        <v>55.109999999999985</v>
      </c>
      <c r="O50" s="46">
        <f aca="true" t="shared" si="9" ref="O50:O68">IF((H50)=0,"",(N50/H50))</f>
        <v>0.2888065075007936</v>
      </c>
    </row>
    <row r="51" spans="2:15" ht="15">
      <c r="B51" s="29" t="s">
        <v>30</v>
      </c>
      <c r="C51" s="29"/>
      <c r="D51" s="57" t="s">
        <v>63</v>
      </c>
      <c r="E51" s="58"/>
      <c r="F51" s="30">
        <f>'GS&lt;50 (1,000kWh)'!F51</f>
        <v>0.0058</v>
      </c>
      <c r="G51" s="59">
        <f>F18*(1+F77)</f>
        <v>15502.500000000002</v>
      </c>
      <c r="H51" s="28">
        <f>G51*F51</f>
        <v>89.9145</v>
      </c>
      <c r="I51" s="29"/>
      <c r="J51" s="30">
        <f>'GS&lt;50 (1,000kWh)'!J51</f>
        <v>0.006</v>
      </c>
      <c r="K51" s="60">
        <f>F18*(1+J77)</f>
        <v>15502.500000000002</v>
      </c>
      <c r="L51" s="28">
        <f>K51*J51</f>
        <v>93.01500000000001</v>
      </c>
      <c r="M51" s="29"/>
      <c r="N51" s="32">
        <f t="shared" si="2"/>
        <v>3.100500000000011</v>
      </c>
      <c r="O51" s="33">
        <f t="shared" si="9"/>
        <v>0.03448275862068977</v>
      </c>
    </row>
    <row r="52" spans="2:15" ht="15">
      <c r="B52" s="61" t="s">
        <v>31</v>
      </c>
      <c r="C52" s="29"/>
      <c r="D52" s="57" t="s">
        <v>63</v>
      </c>
      <c r="E52" s="58"/>
      <c r="F52" s="30">
        <f>'GS&lt;50 (1,000kWh)'!F52</f>
        <v>0.0039</v>
      </c>
      <c r="G52" s="59">
        <f>G51</f>
        <v>15502.500000000002</v>
      </c>
      <c r="H52" s="28">
        <f>G52*F52</f>
        <v>60.45975000000001</v>
      </c>
      <c r="I52" s="29"/>
      <c r="J52" s="30">
        <f>'GS&lt;50 (1,000kWh)'!J52</f>
        <v>0.004</v>
      </c>
      <c r="K52" s="60">
        <f>K51</f>
        <v>15502.500000000002</v>
      </c>
      <c r="L52" s="28">
        <f>K52*J52</f>
        <v>62.010000000000005</v>
      </c>
      <c r="M52" s="29"/>
      <c r="N52" s="32">
        <f t="shared" si="2"/>
        <v>1.5502499999999984</v>
      </c>
      <c r="O52" s="33">
        <f t="shared" si="9"/>
        <v>0.025641025641025612</v>
      </c>
    </row>
    <row r="53" spans="2:15" ht="15">
      <c r="B53" s="51" t="s">
        <v>32</v>
      </c>
      <c r="C53" s="37"/>
      <c r="D53" s="37"/>
      <c r="E53" s="37"/>
      <c r="F53" s="62"/>
      <c r="G53" s="54"/>
      <c r="H53" s="55">
        <f>SUM(H50:H52)</f>
        <v>341.1940500000002</v>
      </c>
      <c r="I53" s="63"/>
      <c r="J53" s="64"/>
      <c r="K53" s="65"/>
      <c r="L53" s="55">
        <f>SUM(L50:L52)</f>
        <v>400.95480000000015</v>
      </c>
      <c r="M53" s="63"/>
      <c r="N53" s="45">
        <f t="shared" si="2"/>
        <v>59.76074999999997</v>
      </c>
      <c r="O53" s="46">
        <f t="shared" si="9"/>
        <v>0.1751517941183322</v>
      </c>
    </row>
    <row r="54" spans="2:15" ht="15">
      <c r="B54" s="66" t="s">
        <v>33</v>
      </c>
      <c r="C54" s="23"/>
      <c r="D54" s="24" t="s">
        <v>63</v>
      </c>
      <c r="E54" s="25"/>
      <c r="F54" s="67">
        <v>0.0044</v>
      </c>
      <c r="G54" s="59">
        <f>G52</f>
        <v>15502.500000000002</v>
      </c>
      <c r="H54" s="68">
        <f aca="true" t="shared" si="10" ref="H54:H60">G54*F54</f>
        <v>68.21100000000001</v>
      </c>
      <c r="I54" s="29"/>
      <c r="J54" s="69">
        <v>0.0044</v>
      </c>
      <c r="K54" s="60">
        <f>K52</f>
        <v>15502.500000000002</v>
      </c>
      <c r="L54" s="68">
        <f aca="true" t="shared" si="11" ref="L54:L60">K54*J54</f>
        <v>68.21100000000001</v>
      </c>
      <c r="M54" s="29"/>
      <c r="N54" s="32">
        <f t="shared" si="2"/>
        <v>0</v>
      </c>
      <c r="O54" s="70">
        <f t="shared" si="9"/>
        <v>0</v>
      </c>
    </row>
    <row r="55" spans="2:15" ht="15">
      <c r="B55" s="66" t="s">
        <v>34</v>
      </c>
      <c r="C55" s="23"/>
      <c r="D55" s="24" t="s">
        <v>63</v>
      </c>
      <c r="E55" s="25"/>
      <c r="F55" s="67">
        <v>0.0013</v>
      </c>
      <c r="G55" s="59">
        <f>G52</f>
        <v>15502.500000000002</v>
      </c>
      <c r="H55" s="68">
        <f t="shared" si="10"/>
        <v>20.15325</v>
      </c>
      <c r="I55" s="29"/>
      <c r="J55" s="69">
        <v>0.0013</v>
      </c>
      <c r="K55" s="60">
        <f>K52</f>
        <v>15502.500000000002</v>
      </c>
      <c r="L55" s="68">
        <f t="shared" si="11"/>
        <v>20.15325</v>
      </c>
      <c r="M55" s="29"/>
      <c r="N55" s="32">
        <f t="shared" si="2"/>
        <v>0</v>
      </c>
      <c r="O55" s="70">
        <f t="shared" si="9"/>
        <v>0</v>
      </c>
    </row>
    <row r="56" spans="2:15" ht="15">
      <c r="B56" s="23" t="s">
        <v>35</v>
      </c>
      <c r="C56" s="23"/>
      <c r="D56" s="24" t="s">
        <v>62</v>
      </c>
      <c r="E56" s="25"/>
      <c r="F56" s="178">
        <v>0.25</v>
      </c>
      <c r="G56" s="27">
        <v>1</v>
      </c>
      <c r="H56" s="68">
        <f t="shared" si="10"/>
        <v>0.25</v>
      </c>
      <c r="I56" s="29"/>
      <c r="J56" s="179">
        <v>0.25</v>
      </c>
      <c r="K56" s="31">
        <v>1</v>
      </c>
      <c r="L56" s="68">
        <f t="shared" si="11"/>
        <v>0.25</v>
      </c>
      <c r="M56" s="29"/>
      <c r="N56" s="32">
        <f t="shared" si="2"/>
        <v>0</v>
      </c>
      <c r="O56" s="70">
        <f t="shared" si="9"/>
        <v>0</v>
      </c>
    </row>
    <row r="57" spans="2:15" ht="15">
      <c r="B57" s="23" t="s">
        <v>36</v>
      </c>
      <c r="C57" s="23"/>
      <c r="D57" s="24" t="s">
        <v>63</v>
      </c>
      <c r="E57" s="25"/>
      <c r="F57" s="67">
        <v>0.007</v>
      </c>
      <c r="G57" s="71">
        <f>F18</f>
        <v>15000</v>
      </c>
      <c r="H57" s="68">
        <f t="shared" si="10"/>
        <v>105</v>
      </c>
      <c r="I57" s="29"/>
      <c r="J57" s="69">
        <f>0.007</f>
        <v>0.007</v>
      </c>
      <c r="K57" s="72">
        <f>F18</f>
        <v>15000</v>
      </c>
      <c r="L57" s="68">
        <f t="shared" si="11"/>
        <v>105</v>
      </c>
      <c r="M57" s="29"/>
      <c r="N57" s="32">
        <f t="shared" si="2"/>
        <v>0</v>
      </c>
      <c r="O57" s="70">
        <f t="shared" si="9"/>
        <v>0</v>
      </c>
    </row>
    <row r="58" spans="2:19" ht="15">
      <c r="B58" s="50" t="s">
        <v>37</v>
      </c>
      <c r="C58" s="23"/>
      <c r="D58" s="24" t="s">
        <v>63</v>
      </c>
      <c r="E58" s="25"/>
      <c r="F58" s="73">
        <v>0.067</v>
      </c>
      <c r="G58" s="71">
        <f>0.64*$F$18</f>
        <v>9600</v>
      </c>
      <c r="H58" s="68">
        <f t="shared" si="10"/>
        <v>643.2</v>
      </c>
      <c r="I58" s="29"/>
      <c r="J58" s="67">
        <v>0.067</v>
      </c>
      <c r="K58" s="71">
        <f>G58</f>
        <v>9600</v>
      </c>
      <c r="L58" s="68">
        <f t="shared" si="11"/>
        <v>643.2</v>
      </c>
      <c r="M58" s="29"/>
      <c r="N58" s="32">
        <f t="shared" si="2"/>
        <v>0</v>
      </c>
      <c r="O58" s="70">
        <f t="shared" si="9"/>
        <v>0</v>
      </c>
      <c r="S58" s="74"/>
    </row>
    <row r="59" spans="2:19" ht="15">
      <c r="B59" s="50" t="s">
        <v>38</v>
      </c>
      <c r="C59" s="23"/>
      <c r="D59" s="24" t="s">
        <v>63</v>
      </c>
      <c r="E59" s="25"/>
      <c r="F59" s="73">
        <v>0.104</v>
      </c>
      <c r="G59" s="71">
        <f>0.18*$F$18</f>
        <v>2700</v>
      </c>
      <c r="H59" s="68">
        <f t="shared" si="10"/>
        <v>280.8</v>
      </c>
      <c r="I59" s="29"/>
      <c r="J59" s="67">
        <v>0.104</v>
      </c>
      <c r="K59" s="71">
        <f>G59</f>
        <v>2700</v>
      </c>
      <c r="L59" s="68">
        <f t="shared" si="11"/>
        <v>280.8</v>
      </c>
      <c r="M59" s="29"/>
      <c r="N59" s="32">
        <f t="shared" si="2"/>
        <v>0</v>
      </c>
      <c r="O59" s="70">
        <f t="shared" si="9"/>
        <v>0</v>
      </c>
      <c r="S59" s="74"/>
    </row>
    <row r="60" spans="2:19" ht="15">
      <c r="B60" s="13" t="s">
        <v>39</v>
      </c>
      <c r="C60" s="23"/>
      <c r="D60" s="24" t="s">
        <v>63</v>
      </c>
      <c r="E60" s="25"/>
      <c r="F60" s="73">
        <v>0.124</v>
      </c>
      <c r="G60" s="71">
        <f>0.18*$F$18</f>
        <v>2700</v>
      </c>
      <c r="H60" s="68">
        <f t="shared" si="10"/>
        <v>334.8</v>
      </c>
      <c r="I60" s="29"/>
      <c r="J60" s="67">
        <v>0.124</v>
      </c>
      <c r="K60" s="71">
        <f>G60</f>
        <v>2700</v>
      </c>
      <c r="L60" s="68">
        <f t="shared" si="11"/>
        <v>334.8</v>
      </c>
      <c r="M60" s="29"/>
      <c r="N60" s="32">
        <f t="shared" si="2"/>
        <v>0</v>
      </c>
      <c r="O60" s="70">
        <f t="shared" si="9"/>
        <v>0</v>
      </c>
      <c r="S60" s="74"/>
    </row>
    <row r="61" spans="2:15" s="75" customFormat="1" ht="15">
      <c r="B61" s="76" t="s">
        <v>40</v>
      </c>
      <c r="C61" s="77"/>
      <c r="D61" s="78" t="s">
        <v>63</v>
      </c>
      <c r="E61" s="79"/>
      <c r="F61" s="73">
        <v>0.075</v>
      </c>
      <c r="G61" s="80">
        <f>IF(AND($T$1=1,F18&gt;=600),600,IF(AND($T$1=1,AND(F18&lt;600,F18&gt;=0)),F18,IF(AND($T$1=2,F18&gt;=1000),1000,IF(AND($T$1=2,AND(F18&lt;1000,F18&gt;=0)),F18))))</f>
        <v>600</v>
      </c>
      <c r="H61" s="68">
        <f>G61*F61</f>
        <v>45</v>
      </c>
      <c r="I61" s="81"/>
      <c r="J61" s="67">
        <v>0.075</v>
      </c>
      <c r="K61" s="80">
        <f>G61</f>
        <v>600</v>
      </c>
      <c r="L61" s="68">
        <f>K61*J61</f>
        <v>45</v>
      </c>
      <c r="M61" s="81"/>
      <c r="N61" s="82">
        <f t="shared" si="2"/>
        <v>0</v>
      </c>
      <c r="O61" s="70">
        <f t="shared" si="9"/>
        <v>0</v>
      </c>
    </row>
    <row r="62" spans="2:15" s="75" customFormat="1" ht="15.75" thickBot="1">
      <c r="B62" s="76" t="s">
        <v>41</v>
      </c>
      <c r="C62" s="77"/>
      <c r="D62" s="78" t="s">
        <v>63</v>
      </c>
      <c r="E62" s="79"/>
      <c r="F62" s="73">
        <v>0.088</v>
      </c>
      <c r="G62" s="80">
        <f>IF(AND($T$1=1,F18&gt;=600),F18-600,IF(AND($T$1=1,AND(F18&lt;600,F18&gt;=0)),0,IF(AND($T$1=2,F18&gt;=1000),F18-1000,IF(AND($T$1=2,AND(F18&lt;1000,F18&gt;=0)),0))))</f>
        <v>14400</v>
      </c>
      <c r="H62" s="68">
        <f>G62*F62</f>
        <v>1267.1999999999998</v>
      </c>
      <c r="I62" s="81"/>
      <c r="J62" s="67">
        <v>0.088</v>
      </c>
      <c r="K62" s="80">
        <f>G62</f>
        <v>14400</v>
      </c>
      <c r="L62" s="68">
        <f>K62*J62</f>
        <v>1267.1999999999998</v>
      </c>
      <c r="M62" s="81"/>
      <c r="N62" s="82">
        <f t="shared" si="2"/>
        <v>0</v>
      </c>
      <c r="O62" s="70">
        <f t="shared" si="9"/>
        <v>0</v>
      </c>
    </row>
    <row r="63" spans="2:15" ht="8.25" customHeight="1" thickBot="1">
      <c r="B63" s="83"/>
      <c r="C63" s="84"/>
      <c r="D63" s="85"/>
      <c r="E63" s="84"/>
      <c r="F63" s="86"/>
      <c r="G63" s="87"/>
      <c r="H63" s="88"/>
      <c r="I63" s="89"/>
      <c r="J63" s="86"/>
      <c r="K63" s="90"/>
      <c r="L63" s="88"/>
      <c r="M63" s="89"/>
      <c r="N63" s="91"/>
      <c r="O63" s="92"/>
    </row>
    <row r="64" spans="2:19" ht="15">
      <c r="B64" s="93" t="s">
        <v>42</v>
      </c>
      <c r="C64" s="23"/>
      <c r="D64" s="23"/>
      <c r="E64" s="23"/>
      <c r="F64" s="94"/>
      <c r="G64" s="95"/>
      <c r="H64" s="96">
        <f>SUM(H54:H60,H53)</f>
        <v>1793.6083000000003</v>
      </c>
      <c r="I64" s="97"/>
      <c r="J64" s="98"/>
      <c r="K64" s="98"/>
      <c r="L64" s="192">
        <f>SUM(L54:L60,L53)</f>
        <v>1853.3690500000002</v>
      </c>
      <c r="M64" s="99"/>
      <c r="N64" s="100">
        <f>L64-H64</f>
        <v>59.760749999999916</v>
      </c>
      <c r="O64" s="101">
        <f>IF((H64)=0,"",(N64/H64))</f>
        <v>0.03331872962452276</v>
      </c>
      <c r="S64" s="74"/>
    </row>
    <row r="65" spans="2:19" ht="15">
      <c r="B65" s="102" t="s">
        <v>43</v>
      </c>
      <c r="C65" s="23"/>
      <c r="D65" s="23"/>
      <c r="E65" s="23"/>
      <c r="F65" s="103">
        <v>0.13</v>
      </c>
      <c r="G65" s="104"/>
      <c r="H65" s="105">
        <f>H64*F65</f>
        <v>233.16907900000004</v>
      </c>
      <c r="I65" s="106"/>
      <c r="J65" s="107">
        <v>0.13</v>
      </c>
      <c r="K65" s="106"/>
      <c r="L65" s="108">
        <f>L64*J65</f>
        <v>240.93797650000005</v>
      </c>
      <c r="M65" s="109"/>
      <c r="N65" s="110">
        <f t="shared" si="2"/>
        <v>7.7688975000000084</v>
      </c>
      <c r="O65" s="111">
        <f t="shared" si="9"/>
        <v>0.03331872962452284</v>
      </c>
      <c r="S65" s="74"/>
    </row>
    <row r="66" spans="2:19" ht="15">
      <c r="B66" s="112" t="s">
        <v>44</v>
      </c>
      <c r="C66" s="23"/>
      <c r="D66" s="23"/>
      <c r="E66" s="23"/>
      <c r="F66" s="113"/>
      <c r="G66" s="104"/>
      <c r="H66" s="105">
        <f>H64+H65</f>
        <v>2026.7773790000003</v>
      </c>
      <c r="I66" s="106"/>
      <c r="J66" s="106"/>
      <c r="K66" s="106"/>
      <c r="L66" s="108">
        <f>L64+L65</f>
        <v>2094.3070265</v>
      </c>
      <c r="M66" s="109"/>
      <c r="N66" s="110">
        <f t="shared" si="2"/>
        <v>67.52964749999978</v>
      </c>
      <c r="O66" s="111">
        <f t="shared" si="9"/>
        <v>0.0333187296245227</v>
      </c>
      <c r="S66" s="74"/>
    </row>
    <row r="67" spans="2:15" ht="15.75" customHeight="1">
      <c r="B67" s="333" t="s">
        <v>45</v>
      </c>
      <c r="C67" s="333"/>
      <c r="D67" s="333"/>
      <c r="E67" s="23"/>
      <c r="F67" s="113"/>
      <c r="G67" s="104"/>
      <c r="H67" s="263">
        <f>ROUND(-H66*10%,2)</f>
        <v>-202.68</v>
      </c>
      <c r="I67" s="106"/>
      <c r="J67" s="106"/>
      <c r="K67" s="106"/>
      <c r="L67" s="264">
        <f>ROUND(-L66*10%,2)</f>
        <v>-209.43</v>
      </c>
      <c r="M67" s="109"/>
      <c r="N67" s="265">
        <f t="shared" si="2"/>
        <v>-6.75</v>
      </c>
      <c r="O67" s="117">
        <f t="shared" si="9"/>
        <v>0.03330373001776199</v>
      </c>
    </row>
    <row r="68" spans="2:15" ht="15.75" thickBot="1">
      <c r="B68" s="334" t="s">
        <v>46</v>
      </c>
      <c r="C68" s="334"/>
      <c r="D68" s="334"/>
      <c r="E68" s="118"/>
      <c r="F68" s="119"/>
      <c r="G68" s="120"/>
      <c r="H68" s="121">
        <f>H66+H67</f>
        <v>1824.0973790000003</v>
      </c>
      <c r="I68" s="122"/>
      <c r="J68" s="122"/>
      <c r="K68" s="122"/>
      <c r="L68" s="123">
        <f>L66+L67</f>
        <v>1884.8770265</v>
      </c>
      <c r="M68" s="124"/>
      <c r="N68" s="125">
        <f t="shared" si="2"/>
        <v>60.77964749999978</v>
      </c>
      <c r="O68" s="126">
        <f t="shared" si="9"/>
        <v>0.03332039626816424</v>
      </c>
    </row>
    <row r="69" spans="2:15" s="75" customFormat="1" ht="8.25" customHeight="1" thickBot="1">
      <c r="B69" s="127"/>
      <c r="C69" s="128"/>
      <c r="D69" s="129"/>
      <c r="E69" s="128"/>
      <c r="F69" s="86"/>
      <c r="G69" s="130"/>
      <c r="H69" s="88"/>
      <c r="I69" s="131"/>
      <c r="J69" s="86"/>
      <c r="K69" s="132"/>
      <c r="L69" s="88"/>
      <c r="M69" s="131"/>
      <c r="N69" s="133"/>
      <c r="O69" s="92"/>
    </row>
    <row r="70" spans="2:15" s="75" customFormat="1" ht="12.75">
      <c r="B70" s="134" t="s">
        <v>47</v>
      </c>
      <c r="C70" s="77"/>
      <c r="D70" s="77"/>
      <c r="E70" s="77"/>
      <c r="F70" s="135"/>
      <c r="G70" s="136"/>
      <c r="H70" s="137">
        <f>SUM(H61:H62,H53,H54:H57)</f>
        <v>1847.0083</v>
      </c>
      <c r="I70" s="138"/>
      <c r="J70" s="139"/>
      <c r="K70" s="139"/>
      <c r="L70" s="191">
        <f>SUM(L61:L62,L53,L54:L57)</f>
        <v>1906.76905</v>
      </c>
      <c r="M70" s="140"/>
      <c r="N70" s="141">
        <f>L70-H70</f>
        <v>59.760750000000144</v>
      </c>
      <c r="O70" s="101">
        <f>IF((H70)=0,"",(N70/H70))</f>
        <v>0.03235543121273475</v>
      </c>
    </row>
    <row r="71" spans="2:15" s="75" customFormat="1" ht="12.75">
      <c r="B71" s="142" t="s">
        <v>43</v>
      </c>
      <c r="C71" s="77"/>
      <c r="D71" s="77"/>
      <c r="E71" s="77"/>
      <c r="F71" s="143">
        <v>0.13</v>
      </c>
      <c r="G71" s="136"/>
      <c r="H71" s="144">
        <f>H70*F71</f>
        <v>240.111079</v>
      </c>
      <c r="I71" s="145"/>
      <c r="J71" s="146">
        <v>0.13</v>
      </c>
      <c r="K71" s="147"/>
      <c r="L71" s="148">
        <f>L70*J71</f>
        <v>247.87997650000003</v>
      </c>
      <c r="M71" s="149"/>
      <c r="N71" s="150">
        <f>L71-H71</f>
        <v>7.768897500000037</v>
      </c>
      <c r="O71" s="111">
        <f>IF((H71)=0,"",(N71/H71))</f>
        <v>0.03235543121273483</v>
      </c>
    </row>
    <row r="72" spans="2:15" s="75" customFormat="1" ht="12.75">
      <c r="B72" s="151" t="s">
        <v>44</v>
      </c>
      <c r="C72" s="77"/>
      <c r="D72" s="77"/>
      <c r="E72" s="77"/>
      <c r="F72" s="152"/>
      <c r="G72" s="153"/>
      <c r="H72" s="144">
        <f>H70+H71</f>
        <v>2087.1193789999998</v>
      </c>
      <c r="I72" s="145"/>
      <c r="J72" s="145"/>
      <c r="K72" s="145"/>
      <c r="L72" s="148">
        <f>L70+L71</f>
        <v>2154.6490265</v>
      </c>
      <c r="M72" s="149"/>
      <c r="N72" s="150">
        <f>L72-H72</f>
        <v>67.52964750000046</v>
      </c>
      <c r="O72" s="111">
        <f>IF((H72)=0,"",(N72/H72))</f>
        <v>0.032355431212734896</v>
      </c>
    </row>
    <row r="73" spans="2:15" s="75" customFormat="1" ht="15.75" customHeight="1">
      <c r="B73" s="335" t="s">
        <v>45</v>
      </c>
      <c r="C73" s="335"/>
      <c r="D73" s="335"/>
      <c r="E73" s="77"/>
      <c r="F73" s="152"/>
      <c r="G73" s="153"/>
      <c r="H73" s="256">
        <f>ROUND(-H72*10%,2)</f>
        <v>-208.71</v>
      </c>
      <c r="I73" s="145"/>
      <c r="J73" s="145"/>
      <c r="K73" s="145"/>
      <c r="L73" s="257">
        <f>ROUND(-L72*10%,2)</f>
        <v>-215.46</v>
      </c>
      <c r="M73" s="149"/>
      <c r="N73" s="258">
        <f>L73-H73</f>
        <v>-6.75</v>
      </c>
      <c r="O73" s="117">
        <f>IF((H73)=0,"",(N73/H73))</f>
        <v>0.03234152652005175</v>
      </c>
    </row>
    <row r="74" spans="2:15" s="75" customFormat="1" ht="13.5" thickBot="1">
      <c r="B74" s="326" t="s">
        <v>48</v>
      </c>
      <c r="C74" s="326"/>
      <c r="D74" s="326"/>
      <c r="E74" s="157"/>
      <c r="F74" s="158"/>
      <c r="G74" s="159"/>
      <c r="H74" s="160">
        <f>SUM(H72:H73)</f>
        <v>1878.4093789999997</v>
      </c>
      <c r="I74" s="161"/>
      <c r="J74" s="161"/>
      <c r="K74" s="161"/>
      <c r="L74" s="162">
        <f>SUM(L72:L73)</f>
        <v>1939.1890265000002</v>
      </c>
      <c r="M74" s="163"/>
      <c r="N74" s="164">
        <f>L74-H74</f>
        <v>60.779647500000465</v>
      </c>
      <c r="O74" s="165">
        <f>IF((H74)=0,"",(N74/H74))</f>
        <v>0.03235697616264962</v>
      </c>
    </row>
    <row r="75" spans="2:15" s="75" customFormat="1" ht="8.25" customHeight="1" thickBot="1">
      <c r="B75" s="127"/>
      <c r="C75" s="128"/>
      <c r="D75" s="129"/>
      <c r="E75" s="128"/>
      <c r="F75" s="166"/>
      <c r="G75" s="167"/>
      <c r="H75" s="168"/>
      <c r="I75" s="169"/>
      <c r="J75" s="166"/>
      <c r="K75" s="130"/>
      <c r="L75" s="170"/>
      <c r="M75" s="131"/>
      <c r="N75" s="171"/>
      <c r="O75" s="92"/>
    </row>
    <row r="76" ht="10.5" customHeight="1">
      <c r="L76" s="74"/>
    </row>
    <row r="77" spans="2:10" ht="15">
      <c r="B77" s="14" t="s">
        <v>49</v>
      </c>
      <c r="F77" s="172">
        <v>0.0335</v>
      </c>
      <c r="J77" s="172">
        <v>0.0335</v>
      </c>
    </row>
    <row r="78" ht="10.5" customHeight="1"/>
    <row r="79" ht="15">
      <c r="A79" s="173" t="s">
        <v>50</v>
      </c>
    </row>
    <row r="80" ht="10.5" customHeight="1"/>
    <row r="81" ht="15">
      <c r="A81" s="8" t="s">
        <v>51</v>
      </c>
    </row>
    <row r="82" ht="15">
      <c r="A82" s="8" t="s">
        <v>52</v>
      </c>
    </row>
    <row r="84" ht="15">
      <c r="A84" s="13" t="s">
        <v>53</v>
      </c>
    </row>
    <row r="85" ht="15">
      <c r="A85" s="13" t="s">
        <v>54</v>
      </c>
    </row>
    <row r="87" ht="15">
      <c r="A87" s="8" t="s">
        <v>55</v>
      </c>
    </row>
    <row r="88" ht="15">
      <c r="A88" s="8" t="s">
        <v>56</v>
      </c>
    </row>
    <row r="89" ht="15">
      <c r="A89" s="8" t="s">
        <v>57</v>
      </c>
    </row>
    <row r="90" ht="15">
      <c r="A90" s="8" t="s">
        <v>58</v>
      </c>
    </row>
    <row r="91" ht="15">
      <c r="A91" s="8" t="s">
        <v>59</v>
      </c>
    </row>
    <row r="93" spans="1:2" ht="15">
      <c r="A93" s="174"/>
      <c r="B93" s="8" t="s">
        <v>60</v>
      </c>
    </row>
  </sheetData>
  <sheetProtection/>
  <mergeCells count="21">
    <mergeCell ref="N1:O1"/>
    <mergeCell ref="N2:O2"/>
    <mergeCell ref="N6:O6"/>
    <mergeCell ref="N7:O7"/>
    <mergeCell ref="A3:K3"/>
    <mergeCell ref="B10:O10"/>
    <mergeCell ref="B11:O11"/>
    <mergeCell ref="D14:O14"/>
    <mergeCell ref="F20:H20"/>
    <mergeCell ref="J20:L20"/>
    <mergeCell ref="N20:O20"/>
    <mergeCell ref="N3:O3"/>
    <mergeCell ref="N4:O4"/>
    <mergeCell ref="N5:O5"/>
    <mergeCell ref="B74:D74"/>
    <mergeCell ref="D21:D22"/>
    <mergeCell ref="N21:N22"/>
    <mergeCell ref="O21:O22"/>
    <mergeCell ref="B67:D67"/>
    <mergeCell ref="B68:D68"/>
    <mergeCell ref="B73:D73"/>
  </mergeCells>
  <dataValidations count="4">
    <dataValidation type="list" allowBlank="1" showInputMessage="1" showErrorMessage="1" sqref="E51:E52 E54:E60 E63 E42:E49 E23:E40">
      <formula1>'GS&lt;50 (15,000kWh)'!#REF!</formula1>
    </dataValidation>
    <dataValidation type="list" allowBlank="1" showInputMessage="1" showErrorMessage="1" prompt="Select Charge Unit - monthly, per kWh, per kW" sqref="D51:D52 D69 D75 D54:D63 D42:D49 D23:D40">
      <formula1>"Monthly, per kWh, per kW"</formula1>
    </dataValidation>
    <dataValidation type="list" allowBlank="1" showInputMessage="1" showErrorMessage="1" sqref="E75 E69 E61:E62">
      <formula1>'GS&lt;50 (15,000kWh)'!#REF!</formula1>
    </dataValidation>
    <dataValidation type="list" allowBlank="1" showInputMessage="1" showErrorMessage="1" sqref="D16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92"/>
  <sheetViews>
    <sheetView showGridLines="0" zoomScalePageLayoutView="0" workbookViewId="0" topLeftCell="A22">
      <selection activeCell="F31" sqref="F31"/>
    </sheetView>
  </sheetViews>
  <sheetFormatPr defaultColWidth="9.140625" defaultRowHeight="15"/>
  <cols>
    <col min="1" max="1" width="2.140625" style="8" customWidth="1"/>
    <col min="2" max="2" width="44.5742187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8.57421875" style="8" customWidth="1"/>
    <col min="8" max="8" width="11.57421875" style="8" bestFit="1" customWidth="1"/>
    <col min="9" max="9" width="2.8515625" style="8" customWidth="1"/>
    <col min="10" max="10" width="12.140625" style="8" customWidth="1"/>
    <col min="11" max="11" width="8.57421875" style="8" customWidth="1"/>
    <col min="12" max="12" width="11.57421875" style="8" bestFit="1" customWidth="1"/>
    <col min="13" max="13" width="2.8515625" style="8" customWidth="1"/>
    <col min="14" max="14" width="12.7109375" style="8" bestFit="1" customWidth="1"/>
    <col min="15" max="15" width="10.8515625" style="8" bestFit="1" customWidth="1"/>
    <col min="16" max="16" width="10.140625" style="8" customWidth="1"/>
    <col min="17" max="20" width="9.140625" style="8" customWidth="1"/>
    <col min="21" max="16384" width="9.140625" style="8" customWidth="1"/>
  </cols>
  <sheetData>
    <row r="1" spans="1:20" s="2" customFormat="1" ht="21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42" t="str">
        <f>EBNUMBER</f>
        <v>EB-2013-0116</v>
      </c>
      <c r="O1" s="342"/>
      <c r="P1" s="196"/>
      <c r="T1" s="2">
        <v>1</v>
      </c>
    </row>
    <row r="2" spans="1:16" s="2" customFormat="1" ht="18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343">
        <v>8</v>
      </c>
      <c r="O2" s="343"/>
      <c r="P2" s="197"/>
    </row>
    <row r="3" spans="1:16" s="2" customFormat="1" ht="18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" t="s">
        <v>79</v>
      </c>
      <c r="N3" s="344" t="s">
        <v>80</v>
      </c>
      <c r="O3" s="344"/>
      <c r="P3" s="198"/>
    </row>
    <row r="4" spans="1:16" s="2" customFormat="1" ht="18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343">
        <v>13</v>
      </c>
      <c r="O4" s="343"/>
      <c r="P4" s="197"/>
    </row>
    <row r="5" spans="3:16" s="2" customFormat="1" ht="15.75">
      <c r="C5" s="7"/>
      <c r="D5" s="7"/>
      <c r="E5" s="7"/>
      <c r="L5" s="3" t="s">
        <v>81</v>
      </c>
      <c r="N5" s="345" t="s">
        <v>95</v>
      </c>
      <c r="O5" s="345"/>
      <c r="P5" s="196"/>
    </row>
    <row r="6" spans="12:16" s="2" customFormat="1" ht="15">
      <c r="L6" s="3"/>
      <c r="N6" s="347"/>
      <c r="O6" s="347"/>
      <c r="P6" s="199"/>
    </row>
    <row r="7" spans="12:16" s="2" customFormat="1" ht="15">
      <c r="L7" s="3" t="s">
        <v>83</v>
      </c>
      <c r="N7" s="346">
        <v>41575</v>
      </c>
      <c r="O7" s="346"/>
      <c r="P7" s="200"/>
    </row>
    <row r="8" spans="14:16" s="2" customFormat="1" ht="15">
      <c r="N8" s="8"/>
      <c r="O8"/>
      <c r="P8"/>
    </row>
    <row r="9" spans="12:16" ht="15">
      <c r="L9"/>
      <c r="M9"/>
      <c r="N9"/>
      <c r="O9"/>
      <c r="P9"/>
    </row>
    <row r="10" spans="2:16" ht="18">
      <c r="B10" s="337" t="s">
        <v>3</v>
      </c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/>
    </row>
    <row r="11" spans="2:16" ht="18">
      <c r="B11" s="337" t="s">
        <v>4</v>
      </c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/>
    </row>
    <row r="12" spans="12:16" ht="15">
      <c r="L12"/>
      <c r="M12"/>
      <c r="N12"/>
      <c r="O12"/>
      <c r="P12"/>
    </row>
    <row r="13" spans="12:16" ht="15">
      <c r="L13"/>
      <c r="M13"/>
      <c r="N13"/>
      <c r="O13"/>
      <c r="P13"/>
    </row>
    <row r="14" spans="2:15" ht="15.75">
      <c r="B14" s="9" t="s">
        <v>5</v>
      </c>
      <c r="D14" s="338" t="s">
        <v>70</v>
      </c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</row>
    <row r="15" spans="2:15" ht="15.75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69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9" ht="15">
      <c r="B18" s="13"/>
      <c r="D18" s="14" t="s">
        <v>8</v>
      </c>
      <c r="E18" s="14"/>
      <c r="F18" s="15">
        <v>20000</v>
      </c>
      <c r="G18" s="14" t="s">
        <v>9</v>
      </c>
      <c r="H18" s="15">
        <v>60</v>
      </c>
      <c r="I18" s="14" t="s">
        <v>71</v>
      </c>
    </row>
    <row r="19" ht="15">
      <c r="B19" s="13"/>
    </row>
    <row r="20" spans="2:15" ht="15">
      <c r="B20" s="13"/>
      <c r="D20" s="16"/>
      <c r="E20" s="16"/>
      <c r="F20" s="339" t="s">
        <v>10</v>
      </c>
      <c r="G20" s="340"/>
      <c r="H20" s="341"/>
      <c r="J20" s="339" t="s">
        <v>11</v>
      </c>
      <c r="K20" s="340"/>
      <c r="L20" s="341"/>
      <c r="N20" s="339" t="s">
        <v>12</v>
      </c>
      <c r="O20" s="341"/>
    </row>
    <row r="21" spans="2:15" ht="15">
      <c r="B21" s="13"/>
      <c r="D21" s="327" t="s">
        <v>13</v>
      </c>
      <c r="E21" s="17"/>
      <c r="F21" s="18" t="s">
        <v>14</v>
      </c>
      <c r="G21" s="18" t="s">
        <v>15</v>
      </c>
      <c r="H21" s="19" t="s">
        <v>16</v>
      </c>
      <c r="J21" s="18" t="s">
        <v>14</v>
      </c>
      <c r="K21" s="20" t="s">
        <v>15</v>
      </c>
      <c r="L21" s="19" t="s">
        <v>16</v>
      </c>
      <c r="N21" s="329" t="s">
        <v>17</v>
      </c>
      <c r="O21" s="331" t="s">
        <v>18</v>
      </c>
    </row>
    <row r="22" spans="2:15" ht="15">
      <c r="B22" s="13"/>
      <c r="D22" s="328"/>
      <c r="E22" s="17"/>
      <c r="F22" s="21" t="s">
        <v>19</v>
      </c>
      <c r="G22" s="21"/>
      <c r="H22" s="22" t="s">
        <v>19</v>
      </c>
      <c r="J22" s="21" t="s">
        <v>19</v>
      </c>
      <c r="K22" s="22"/>
      <c r="L22" s="22" t="s">
        <v>19</v>
      </c>
      <c r="N22" s="330"/>
      <c r="O22" s="332"/>
    </row>
    <row r="23" spans="2:15" ht="15">
      <c r="B23" s="23" t="s">
        <v>20</v>
      </c>
      <c r="C23" s="23"/>
      <c r="D23" s="24" t="s">
        <v>62</v>
      </c>
      <c r="E23" s="25"/>
      <c r="F23" s="176">
        <v>109.35</v>
      </c>
      <c r="G23" s="27">
        <v>1</v>
      </c>
      <c r="H23" s="28">
        <f>G23*F23</f>
        <v>109.35</v>
      </c>
      <c r="I23" s="29"/>
      <c r="J23" s="175">
        <v>110.88</v>
      </c>
      <c r="K23" s="31">
        <v>1</v>
      </c>
      <c r="L23" s="28">
        <f>K23*J23</f>
        <v>110.88</v>
      </c>
      <c r="M23" s="29"/>
      <c r="N23" s="32">
        <f>L23-H23</f>
        <v>1.5300000000000011</v>
      </c>
      <c r="O23" s="33">
        <f>IF((H23)=0,"",(N23/H23))</f>
        <v>0.013991769547325113</v>
      </c>
    </row>
    <row r="24" spans="2:15" ht="15">
      <c r="B24" s="23" t="s">
        <v>102</v>
      </c>
      <c r="C24" s="23"/>
      <c r="D24" s="24" t="s">
        <v>62</v>
      </c>
      <c r="E24" s="25"/>
      <c r="F24" s="176"/>
      <c r="G24" s="27"/>
      <c r="H24" s="28"/>
      <c r="I24" s="29"/>
      <c r="J24" s="175">
        <v>0</v>
      </c>
      <c r="K24" s="31">
        <v>1</v>
      </c>
      <c r="L24" s="28">
        <f>K24*J24</f>
        <v>0</v>
      </c>
      <c r="M24" s="29"/>
      <c r="N24" s="32">
        <f>L24-H24</f>
        <v>0</v>
      </c>
      <c r="O24" s="33">
        <f>IF((H24)=0,"",(N24/H24))</f>
      </c>
    </row>
    <row r="25" spans="2:15" ht="30">
      <c r="B25" s="66" t="s">
        <v>125</v>
      </c>
      <c r="C25" s="23"/>
      <c r="D25" s="57" t="s">
        <v>62</v>
      </c>
      <c r="E25" s="25"/>
      <c r="F25" s="272">
        <v>0</v>
      </c>
      <c r="G25" s="27">
        <v>1</v>
      </c>
      <c r="H25" s="249">
        <f>G25*F25</f>
        <v>0</v>
      </c>
      <c r="I25" s="29"/>
      <c r="J25" s="30">
        <f>'GS&lt;50 (1,000kWh)'!J25</f>
        <v>0.79</v>
      </c>
      <c r="K25" s="31">
        <v>1</v>
      </c>
      <c r="L25" s="249">
        <f>K25*J25</f>
        <v>0.79</v>
      </c>
      <c r="M25" s="29"/>
      <c r="N25" s="32">
        <f>L25-H25</f>
        <v>0.79</v>
      </c>
      <c r="O25" s="250">
        <f>IF((H25)=0,"",(N25/H25))</f>
      </c>
    </row>
    <row r="26" spans="2:15" ht="15" hidden="1">
      <c r="B26" s="177"/>
      <c r="C26" s="23"/>
      <c r="D26" s="57" t="s">
        <v>62</v>
      </c>
      <c r="E26" s="58"/>
      <c r="F26" s="175"/>
      <c r="G26" s="27">
        <v>1</v>
      </c>
      <c r="H26" s="28">
        <f aca="true" t="shared" si="0" ref="H26:H40">G26*F26</f>
        <v>0</v>
      </c>
      <c r="I26" s="29"/>
      <c r="J26" s="30"/>
      <c r="K26" s="31">
        <v>1</v>
      </c>
      <c r="L26" s="28">
        <f aca="true" t="shared" si="1" ref="L26:L40">K26*J26</f>
        <v>0</v>
      </c>
      <c r="M26" s="29"/>
      <c r="N26" s="32">
        <f aca="true" t="shared" si="2" ref="N26:N41">L26-H26</f>
        <v>0</v>
      </c>
      <c r="O26" s="33">
        <f aca="true" t="shared" si="3" ref="O26:O41">IF((H26)=0,"",(N26/H26))</f>
      </c>
    </row>
    <row r="27" spans="2:15" ht="15" hidden="1">
      <c r="B27" s="177"/>
      <c r="C27" s="23"/>
      <c r="D27" s="57" t="s">
        <v>62</v>
      </c>
      <c r="E27" s="25"/>
      <c r="F27" s="26"/>
      <c r="G27" s="27">
        <v>1</v>
      </c>
      <c r="H27" s="28">
        <f t="shared" si="0"/>
        <v>0</v>
      </c>
      <c r="I27" s="29"/>
      <c r="J27" s="175"/>
      <c r="K27" s="31">
        <v>1</v>
      </c>
      <c r="L27" s="28">
        <f t="shared" si="1"/>
        <v>0</v>
      </c>
      <c r="M27" s="29"/>
      <c r="N27" s="32">
        <f t="shared" si="2"/>
        <v>0</v>
      </c>
      <c r="O27" s="33">
        <f t="shared" si="3"/>
      </c>
    </row>
    <row r="28" spans="2:15" ht="15">
      <c r="B28" s="47" t="s">
        <v>66</v>
      </c>
      <c r="C28" s="23"/>
      <c r="D28" s="24" t="s">
        <v>72</v>
      </c>
      <c r="E28" s="25"/>
      <c r="F28" s="26">
        <v>0</v>
      </c>
      <c r="G28" s="181">
        <f>$H$18</f>
        <v>60</v>
      </c>
      <c r="H28" s="28">
        <f t="shared" si="0"/>
        <v>0</v>
      </c>
      <c r="I28" s="29"/>
      <c r="J28" s="30"/>
      <c r="K28" s="181">
        <f>$H$18</f>
        <v>60</v>
      </c>
      <c r="L28" s="28">
        <f t="shared" si="1"/>
        <v>0</v>
      </c>
      <c r="M28" s="29"/>
      <c r="N28" s="32">
        <f t="shared" si="2"/>
        <v>0</v>
      </c>
      <c r="O28" s="33">
        <f t="shared" si="3"/>
      </c>
    </row>
    <row r="29" spans="2:15" ht="15">
      <c r="B29" s="47" t="s">
        <v>67</v>
      </c>
      <c r="C29" s="23"/>
      <c r="D29" s="24" t="s">
        <v>72</v>
      </c>
      <c r="E29" s="25"/>
      <c r="F29" s="254">
        <v>-1.2179</v>
      </c>
      <c r="G29" s="181">
        <f>$H$18</f>
        <v>60</v>
      </c>
      <c r="H29" s="28">
        <f t="shared" si="0"/>
        <v>-73.074</v>
      </c>
      <c r="I29" s="29"/>
      <c r="J29" s="30">
        <v>0</v>
      </c>
      <c r="K29" s="181">
        <f>$H$18</f>
        <v>60</v>
      </c>
      <c r="L29" s="28">
        <f t="shared" si="1"/>
        <v>0</v>
      </c>
      <c r="M29" s="29"/>
      <c r="N29" s="32">
        <f t="shared" si="2"/>
        <v>73.074</v>
      </c>
      <c r="O29" s="33">
        <f t="shared" si="3"/>
        <v>-1</v>
      </c>
    </row>
    <row r="30" spans="2:15" ht="15">
      <c r="B30" s="47" t="s">
        <v>103</v>
      </c>
      <c r="C30" s="23"/>
      <c r="D30" s="24" t="s">
        <v>72</v>
      </c>
      <c r="E30" s="25"/>
      <c r="F30" s="26">
        <v>0</v>
      </c>
      <c r="G30" s="181">
        <f>$H$18</f>
        <v>60</v>
      </c>
      <c r="H30" s="249">
        <f t="shared" si="0"/>
        <v>0</v>
      </c>
      <c r="I30" s="29"/>
      <c r="J30" s="30">
        <v>0</v>
      </c>
      <c r="K30" s="181">
        <f>$H$18</f>
        <v>60</v>
      </c>
      <c r="L30" s="249">
        <f>K30*J30</f>
        <v>0</v>
      </c>
      <c r="M30" s="29"/>
      <c r="N30" s="259">
        <f>L30-H30</f>
        <v>0</v>
      </c>
      <c r="O30" s="250">
        <f>IF((H30)=0,"",(N30/H30))</f>
      </c>
    </row>
    <row r="31" spans="2:15" ht="15">
      <c r="B31" s="23" t="s">
        <v>21</v>
      </c>
      <c r="C31" s="23"/>
      <c r="D31" s="24" t="s">
        <v>72</v>
      </c>
      <c r="E31" s="25"/>
      <c r="F31" s="26">
        <v>3.9801</v>
      </c>
      <c r="G31" s="181">
        <f>$H$18</f>
        <v>60</v>
      </c>
      <c r="H31" s="28">
        <f t="shared" si="0"/>
        <v>238.806</v>
      </c>
      <c r="I31" s="29"/>
      <c r="J31" s="30">
        <v>4.0358</v>
      </c>
      <c r="K31" s="181">
        <f>$H$18</f>
        <v>60</v>
      </c>
      <c r="L31" s="28">
        <f t="shared" si="1"/>
        <v>242.148</v>
      </c>
      <c r="M31" s="29"/>
      <c r="N31" s="32">
        <f t="shared" si="2"/>
        <v>3.3419999999999845</v>
      </c>
      <c r="O31" s="33">
        <f t="shared" si="3"/>
        <v>0.013994623250672028</v>
      </c>
    </row>
    <row r="32" spans="2:15" ht="15">
      <c r="B32" s="23" t="s">
        <v>22</v>
      </c>
      <c r="C32" s="23"/>
      <c r="D32" s="24"/>
      <c r="E32" s="25"/>
      <c r="F32" s="26"/>
      <c r="G32" s="27">
        <f>$F$18</f>
        <v>20000</v>
      </c>
      <c r="H32" s="28">
        <f t="shared" si="0"/>
        <v>0</v>
      </c>
      <c r="I32" s="29"/>
      <c r="J32" s="30"/>
      <c r="K32" s="27">
        <f aca="true" t="shared" si="4" ref="K32:K40">$F$18</f>
        <v>20000</v>
      </c>
      <c r="L32" s="28">
        <f t="shared" si="1"/>
        <v>0</v>
      </c>
      <c r="M32" s="29"/>
      <c r="N32" s="32">
        <f t="shared" si="2"/>
        <v>0</v>
      </c>
      <c r="O32" s="33">
        <f t="shared" si="3"/>
      </c>
    </row>
    <row r="33" spans="2:15" ht="15">
      <c r="B33" s="23" t="s">
        <v>124</v>
      </c>
      <c r="C33" s="23"/>
      <c r="D33" s="24" t="s">
        <v>72</v>
      </c>
      <c r="E33" s="25"/>
      <c r="F33" s="26">
        <v>0</v>
      </c>
      <c r="G33" s="181">
        <f>$H$18</f>
        <v>60</v>
      </c>
      <c r="H33" s="249">
        <f t="shared" si="0"/>
        <v>0</v>
      </c>
      <c r="I33" s="29"/>
      <c r="J33" s="30">
        <v>0.1251</v>
      </c>
      <c r="K33" s="181">
        <f>$H$18</f>
        <v>60</v>
      </c>
      <c r="L33" s="249">
        <f t="shared" si="1"/>
        <v>7.505999999999999</v>
      </c>
      <c r="M33" s="29"/>
      <c r="N33" s="32">
        <f t="shared" si="2"/>
        <v>7.505999999999999</v>
      </c>
      <c r="O33" s="250">
        <f t="shared" si="3"/>
      </c>
    </row>
    <row r="34" spans="2:15" ht="15" hidden="1">
      <c r="B34" s="34"/>
      <c r="C34" s="23"/>
      <c r="D34" s="24"/>
      <c r="E34" s="25"/>
      <c r="F34" s="26"/>
      <c r="G34" s="27">
        <f aca="true" t="shared" si="5" ref="G34:G40">$F$18</f>
        <v>20000</v>
      </c>
      <c r="H34" s="28">
        <f t="shared" si="0"/>
        <v>0</v>
      </c>
      <c r="I34" s="29"/>
      <c r="J34" s="30"/>
      <c r="K34" s="27">
        <f t="shared" si="4"/>
        <v>20000</v>
      </c>
      <c r="L34" s="28">
        <f t="shared" si="1"/>
        <v>0</v>
      </c>
      <c r="M34" s="29"/>
      <c r="N34" s="32">
        <f t="shared" si="2"/>
        <v>0</v>
      </c>
      <c r="O34" s="33">
        <f t="shared" si="3"/>
      </c>
    </row>
    <row r="35" spans="2:15" ht="15" hidden="1">
      <c r="B35" s="34"/>
      <c r="C35" s="23"/>
      <c r="D35" s="24"/>
      <c r="E35" s="25"/>
      <c r="F35" s="26"/>
      <c r="G35" s="27">
        <f t="shared" si="5"/>
        <v>20000</v>
      </c>
      <c r="H35" s="28">
        <f t="shared" si="0"/>
        <v>0</v>
      </c>
      <c r="I35" s="29"/>
      <c r="J35" s="30"/>
      <c r="K35" s="27">
        <f t="shared" si="4"/>
        <v>20000</v>
      </c>
      <c r="L35" s="28">
        <f t="shared" si="1"/>
        <v>0</v>
      </c>
      <c r="M35" s="29"/>
      <c r="N35" s="32">
        <f t="shared" si="2"/>
        <v>0</v>
      </c>
      <c r="O35" s="33">
        <f t="shared" si="3"/>
      </c>
    </row>
    <row r="36" spans="2:15" ht="15" hidden="1">
      <c r="B36" s="34"/>
      <c r="C36" s="23"/>
      <c r="D36" s="24"/>
      <c r="E36" s="25"/>
      <c r="F36" s="26"/>
      <c r="G36" s="27">
        <f t="shared" si="5"/>
        <v>20000</v>
      </c>
      <c r="H36" s="28">
        <f t="shared" si="0"/>
        <v>0</v>
      </c>
      <c r="I36" s="29"/>
      <c r="J36" s="30"/>
      <c r="K36" s="27">
        <f t="shared" si="4"/>
        <v>20000</v>
      </c>
      <c r="L36" s="28">
        <f t="shared" si="1"/>
        <v>0</v>
      </c>
      <c r="M36" s="29"/>
      <c r="N36" s="32">
        <f t="shared" si="2"/>
        <v>0</v>
      </c>
      <c r="O36" s="33">
        <f t="shared" si="3"/>
      </c>
    </row>
    <row r="37" spans="2:15" ht="15" hidden="1">
      <c r="B37" s="34"/>
      <c r="C37" s="23"/>
      <c r="D37" s="24"/>
      <c r="E37" s="25"/>
      <c r="F37" s="26"/>
      <c r="G37" s="27">
        <f t="shared" si="5"/>
        <v>20000</v>
      </c>
      <c r="H37" s="28">
        <f t="shared" si="0"/>
        <v>0</v>
      </c>
      <c r="I37" s="29"/>
      <c r="J37" s="30"/>
      <c r="K37" s="27">
        <f t="shared" si="4"/>
        <v>20000</v>
      </c>
      <c r="L37" s="28">
        <f t="shared" si="1"/>
        <v>0</v>
      </c>
      <c r="M37" s="29"/>
      <c r="N37" s="32">
        <f t="shared" si="2"/>
        <v>0</v>
      </c>
      <c r="O37" s="33">
        <f t="shared" si="3"/>
      </c>
    </row>
    <row r="38" spans="2:15" ht="15" hidden="1">
      <c r="B38" s="34"/>
      <c r="C38" s="23"/>
      <c r="D38" s="24"/>
      <c r="E38" s="25"/>
      <c r="F38" s="26"/>
      <c r="G38" s="27">
        <f t="shared" si="5"/>
        <v>20000</v>
      </c>
      <c r="H38" s="28">
        <f t="shared" si="0"/>
        <v>0</v>
      </c>
      <c r="I38" s="29"/>
      <c r="J38" s="30"/>
      <c r="K38" s="27">
        <f t="shared" si="4"/>
        <v>20000</v>
      </c>
      <c r="L38" s="28">
        <f t="shared" si="1"/>
        <v>0</v>
      </c>
      <c r="M38" s="29"/>
      <c r="N38" s="32">
        <f t="shared" si="2"/>
        <v>0</v>
      </c>
      <c r="O38" s="33">
        <f t="shared" si="3"/>
      </c>
    </row>
    <row r="39" spans="2:15" ht="15" hidden="1">
      <c r="B39" s="34"/>
      <c r="C39" s="23"/>
      <c r="D39" s="24"/>
      <c r="E39" s="25"/>
      <c r="F39" s="26"/>
      <c r="G39" s="27">
        <f t="shared" si="5"/>
        <v>20000</v>
      </c>
      <c r="H39" s="28">
        <f t="shared" si="0"/>
        <v>0</v>
      </c>
      <c r="I39" s="29"/>
      <c r="J39" s="30"/>
      <c r="K39" s="27">
        <f t="shared" si="4"/>
        <v>20000</v>
      </c>
      <c r="L39" s="28">
        <f t="shared" si="1"/>
        <v>0</v>
      </c>
      <c r="M39" s="29"/>
      <c r="N39" s="32">
        <f t="shared" si="2"/>
        <v>0</v>
      </c>
      <c r="O39" s="33">
        <f t="shared" si="3"/>
      </c>
    </row>
    <row r="40" spans="2:15" ht="15" hidden="1">
      <c r="B40" s="34"/>
      <c r="C40" s="23"/>
      <c r="D40" s="24"/>
      <c r="E40" s="25"/>
      <c r="F40" s="26"/>
      <c r="G40" s="27">
        <f t="shared" si="5"/>
        <v>20000</v>
      </c>
      <c r="H40" s="28">
        <f t="shared" si="0"/>
        <v>0</v>
      </c>
      <c r="I40" s="29"/>
      <c r="J40" s="30"/>
      <c r="K40" s="27">
        <f t="shared" si="4"/>
        <v>20000</v>
      </c>
      <c r="L40" s="28">
        <f t="shared" si="1"/>
        <v>0</v>
      </c>
      <c r="M40" s="29"/>
      <c r="N40" s="32">
        <f t="shared" si="2"/>
        <v>0</v>
      </c>
      <c r="O40" s="33">
        <f t="shared" si="3"/>
      </c>
    </row>
    <row r="41" spans="2:15" s="35" customFormat="1" ht="15">
      <c r="B41" s="36" t="s">
        <v>24</v>
      </c>
      <c r="C41" s="37"/>
      <c r="D41" s="38"/>
      <c r="E41" s="37"/>
      <c r="F41" s="39"/>
      <c r="G41" s="40"/>
      <c r="H41" s="41">
        <f>SUM(H23:H40)</f>
        <v>275.082</v>
      </c>
      <c r="I41" s="42"/>
      <c r="J41" s="43"/>
      <c r="K41" s="44"/>
      <c r="L41" s="41">
        <f>SUM(L23:L40)</f>
        <v>361.32399999999996</v>
      </c>
      <c r="M41" s="42"/>
      <c r="N41" s="45">
        <f t="shared" si="2"/>
        <v>86.24199999999996</v>
      </c>
      <c r="O41" s="46">
        <f t="shared" si="3"/>
        <v>0.31351378861575807</v>
      </c>
    </row>
    <row r="42" spans="2:15" ht="25.5">
      <c r="B42" s="47" t="s">
        <v>25</v>
      </c>
      <c r="C42" s="23"/>
      <c r="D42" s="57" t="s">
        <v>72</v>
      </c>
      <c r="E42" s="58"/>
      <c r="F42" s="254">
        <v>-0.5123</v>
      </c>
      <c r="G42" s="181">
        <f>G31</f>
        <v>60</v>
      </c>
      <c r="H42" s="28">
        <f aca="true" t="shared" si="6" ref="H42:H48">G42*F42</f>
        <v>-30.738</v>
      </c>
      <c r="I42" s="29"/>
      <c r="J42" s="254">
        <v>-0.5378</v>
      </c>
      <c r="K42" s="181">
        <f>H18</f>
        <v>60</v>
      </c>
      <c r="L42" s="28">
        <f aca="true" t="shared" si="7" ref="L42:L48">K42*J42</f>
        <v>-32.267999999999994</v>
      </c>
      <c r="M42" s="29"/>
      <c r="N42" s="259">
        <f aca="true" t="shared" si="8" ref="N42:N48">L42-H42</f>
        <v>-1.529999999999994</v>
      </c>
      <c r="O42" s="33">
        <f aca="true" t="shared" si="9" ref="O42:O47">IF((H42)=0,"",(N42/H42))</f>
        <v>0.049775522154987116</v>
      </c>
    </row>
    <row r="43" spans="2:15" ht="15" hidden="1">
      <c r="B43" s="47"/>
      <c r="C43" s="23"/>
      <c r="D43" s="24" t="s">
        <v>72</v>
      </c>
      <c r="E43" s="25"/>
      <c r="F43" s="26"/>
      <c r="G43" s="181">
        <f>H18</f>
        <v>60</v>
      </c>
      <c r="H43" s="28">
        <f t="shared" si="6"/>
        <v>0</v>
      </c>
      <c r="I43" s="48"/>
      <c r="J43" s="30"/>
      <c r="K43" s="181">
        <f>H18</f>
        <v>60</v>
      </c>
      <c r="L43" s="28">
        <f t="shared" si="7"/>
        <v>0</v>
      </c>
      <c r="M43" s="49"/>
      <c r="N43" s="32">
        <f t="shared" si="8"/>
        <v>0</v>
      </c>
      <c r="O43" s="33">
        <f t="shared" si="9"/>
      </c>
    </row>
    <row r="44" spans="2:15" ht="15" hidden="1">
      <c r="B44" s="47"/>
      <c r="C44" s="23"/>
      <c r="D44" s="24" t="s">
        <v>72</v>
      </c>
      <c r="E44" s="25"/>
      <c r="F44" s="26"/>
      <c r="G44" s="181">
        <f>H18</f>
        <v>60</v>
      </c>
      <c r="H44" s="28">
        <f t="shared" si="6"/>
        <v>0</v>
      </c>
      <c r="I44" s="48"/>
      <c r="J44" s="30"/>
      <c r="K44" s="181">
        <f>H18</f>
        <v>60</v>
      </c>
      <c r="L44" s="28">
        <f t="shared" si="7"/>
        <v>0</v>
      </c>
      <c r="M44" s="49"/>
      <c r="N44" s="32">
        <f t="shared" si="8"/>
        <v>0</v>
      </c>
      <c r="O44" s="33">
        <f t="shared" si="9"/>
      </c>
    </row>
    <row r="45" spans="2:15" ht="32.25" customHeight="1">
      <c r="B45" s="47" t="s">
        <v>78</v>
      </c>
      <c r="C45" s="23"/>
      <c r="D45" s="57" t="s">
        <v>72</v>
      </c>
      <c r="E45" s="25"/>
      <c r="F45" s="254">
        <v>-1.4848</v>
      </c>
      <c r="G45" s="181">
        <f>H18</f>
        <v>60</v>
      </c>
      <c r="H45" s="28">
        <f t="shared" si="6"/>
        <v>-89.088</v>
      </c>
      <c r="I45" s="48"/>
      <c r="J45" s="30">
        <v>1.0847</v>
      </c>
      <c r="K45" s="181">
        <f>H18</f>
        <v>60</v>
      </c>
      <c r="L45" s="28">
        <f t="shared" si="7"/>
        <v>65.082</v>
      </c>
      <c r="M45" s="49"/>
      <c r="N45" s="32">
        <f t="shared" si="8"/>
        <v>154.17</v>
      </c>
      <c r="O45" s="33">
        <f t="shared" si="9"/>
        <v>-1.730536099137931</v>
      </c>
    </row>
    <row r="46" spans="2:15" ht="15">
      <c r="B46" s="50" t="s">
        <v>26</v>
      </c>
      <c r="C46" s="23"/>
      <c r="D46" s="24" t="s">
        <v>72</v>
      </c>
      <c r="E46" s="25"/>
      <c r="F46" s="26">
        <v>0.0537</v>
      </c>
      <c r="G46" s="181">
        <f>H18</f>
        <v>60</v>
      </c>
      <c r="H46" s="28">
        <f t="shared" si="6"/>
        <v>3.222</v>
      </c>
      <c r="I46" s="29"/>
      <c r="J46" s="30">
        <v>0.0537</v>
      </c>
      <c r="K46" s="181">
        <f>H18</f>
        <v>60</v>
      </c>
      <c r="L46" s="28">
        <f t="shared" si="7"/>
        <v>3.222</v>
      </c>
      <c r="M46" s="29"/>
      <c r="N46" s="32">
        <f t="shared" si="8"/>
        <v>0</v>
      </c>
      <c r="O46" s="33">
        <f t="shared" si="9"/>
        <v>0</v>
      </c>
    </row>
    <row r="47" spans="2:15" s="35" customFormat="1" ht="15">
      <c r="B47" s="183" t="s">
        <v>27</v>
      </c>
      <c r="C47" s="25"/>
      <c r="D47" s="184" t="s">
        <v>63</v>
      </c>
      <c r="E47" s="25"/>
      <c r="F47" s="185">
        <f>IF(ISBLANK(D16)=TRUE,0,IF(D16="TOU",0.64*$F$57+0.18*$F$58+0.18*$F$59,IF(AND(D16="non-TOU",G61&gt;0),F61,F60)))</f>
        <v>0.075</v>
      </c>
      <c r="G47" s="27">
        <f>$F$18*(1+$F$76)-$F$18</f>
        <v>670</v>
      </c>
      <c r="H47" s="186">
        <f t="shared" si="6"/>
        <v>50.25</v>
      </c>
      <c r="I47" s="58"/>
      <c r="J47" s="187">
        <f>IF(ISBLANK(D16)=TRUE,0,IF(D16="TOU",0.64*$F$57+0.18*$F$58+0.18*$F$59,IF(AND(D16="non-TOU",K61&gt;0),J61,J60)))</f>
        <v>0.075</v>
      </c>
      <c r="K47" s="27">
        <f>$F$18*(1+$J$76)-$F$18</f>
        <v>670</v>
      </c>
      <c r="L47" s="186">
        <f t="shared" si="7"/>
        <v>50.25</v>
      </c>
      <c r="M47" s="58"/>
      <c r="N47" s="188">
        <f t="shared" si="8"/>
        <v>0</v>
      </c>
      <c r="O47" s="189">
        <f t="shared" si="9"/>
        <v>0</v>
      </c>
    </row>
    <row r="48" spans="2:15" ht="15">
      <c r="B48" s="50" t="s">
        <v>28</v>
      </c>
      <c r="C48" s="23"/>
      <c r="D48" s="24" t="s">
        <v>62</v>
      </c>
      <c r="E48" s="25"/>
      <c r="F48" s="180">
        <v>0</v>
      </c>
      <c r="G48" s="27">
        <v>0</v>
      </c>
      <c r="H48" s="28">
        <f t="shared" si="6"/>
        <v>0</v>
      </c>
      <c r="I48" s="29"/>
      <c r="J48" s="180">
        <v>0</v>
      </c>
      <c r="K48" s="27">
        <v>0</v>
      </c>
      <c r="L48" s="28">
        <f t="shared" si="7"/>
        <v>0</v>
      </c>
      <c r="M48" s="29"/>
      <c r="N48" s="32">
        <f t="shared" si="8"/>
        <v>0</v>
      </c>
      <c r="O48" s="33"/>
    </row>
    <row r="49" spans="2:15" ht="25.5">
      <c r="B49" s="51" t="s">
        <v>29</v>
      </c>
      <c r="C49" s="52"/>
      <c r="D49" s="52"/>
      <c r="E49" s="52"/>
      <c r="F49" s="53"/>
      <c r="G49" s="54"/>
      <c r="H49" s="55">
        <f>SUM(H42:H48)+H41</f>
        <v>208.728</v>
      </c>
      <c r="I49" s="42"/>
      <c r="J49" s="54"/>
      <c r="K49" s="56"/>
      <c r="L49" s="55">
        <f>SUM(L42:L48)+L41</f>
        <v>447.60999999999996</v>
      </c>
      <c r="M49" s="42"/>
      <c r="N49" s="45">
        <f aca="true" t="shared" si="10" ref="N49:N67">L49-H49</f>
        <v>238.88199999999995</v>
      </c>
      <c r="O49" s="46">
        <f aca="true" t="shared" si="11" ref="O49:O67">IF((H49)=0,"",(N49/H49))</f>
        <v>1.1444655245103672</v>
      </c>
    </row>
    <row r="50" spans="2:15" ht="15">
      <c r="B50" s="29" t="s">
        <v>30</v>
      </c>
      <c r="C50" s="29"/>
      <c r="D50" s="57" t="s">
        <v>72</v>
      </c>
      <c r="E50" s="58"/>
      <c r="F50" s="30">
        <v>3.7803</v>
      </c>
      <c r="G50" s="59">
        <f>H18*(1+F76)</f>
        <v>62.010000000000005</v>
      </c>
      <c r="H50" s="28">
        <f>G50*F50</f>
        <v>234.41640300000003</v>
      </c>
      <c r="I50" s="29"/>
      <c r="J50" s="30">
        <v>3.8999</v>
      </c>
      <c r="K50" s="60">
        <f>H18*(1+J76)</f>
        <v>62.010000000000005</v>
      </c>
      <c r="L50" s="28">
        <f>K50*J50</f>
        <v>241.83279900000002</v>
      </c>
      <c r="M50" s="29"/>
      <c r="N50" s="32">
        <f t="shared" si="10"/>
        <v>7.416395999999992</v>
      </c>
      <c r="O50" s="33">
        <f t="shared" si="11"/>
        <v>0.0316377007115837</v>
      </c>
    </row>
    <row r="51" spans="2:15" ht="30">
      <c r="B51" s="61" t="s">
        <v>31</v>
      </c>
      <c r="C51" s="29"/>
      <c r="D51" s="57" t="s">
        <v>72</v>
      </c>
      <c r="E51" s="58"/>
      <c r="F51" s="30">
        <v>2.394</v>
      </c>
      <c r="G51" s="59">
        <f>G50</f>
        <v>62.010000000000005</v>
      </c>
      <c r="H51" s="28">
        <f>G51*F51</f>
        <v>148.45194</v>
      </c>
      <c r="I51" s="29"/>
      <c r="J51" s="30">
        <v>2.4306</v>
      </c>
      <c r="K51" s="60">
        <f>K50</f>
        <v>62.010000000000005</v>
      </c>
      <c r="L51" s="28">
        <f>K51*J51</f>
        <v>150.721506</v>
      </c>
      <c r="M51" s="29"/>
      <c r="N51" s="32">
        <f t="shared" si="10"/>
        <v>2.2695659999999975</v>
      </c>
      <c r="O51" s="33">
        <f t="shared" si="11"/>
        <v>0.015288220551378429</v>
      </c>
    </row>
    <row r="52" spans="2:15" ht="25.5">
      <c r="B52" s="51" t="s">
        <v>32</v>
      </c>
      <c r="C52" s="37"/>
      <c r="D52" s="37"/>
      <c r="E52" s="37"/>
      <c r="F52" s="62"/>
      <c r="G52" s="54"/>
      <c r="H52" s="55">
        <f>SUM(H49:H51)</f>
        <v>591.596343</v>
      </c>
      <c r="I52" s="63"/>
      <c r="J52" s="64"/>
      <c r="K52" s="65"/>
      <c r="L52" s="55">
        <f>SUM(L49:L51)</f>
        <v>840.1643049999999</v>
      </c>
      <c r="M52" s="63"/>
      <c r="N52" s="45">
        <f t="shared" si="10"/>
        <v>248.56796199999985</v>
      </c>
      <c r="O52" s="46">
        <f t="shared" si="11"/>
        <v>0.42016480483889646</v>
      </c>
    </row>
    <row r="53" spans="2:15" ht="30">
      <c r="B53" s="66" t="s">
        <v>33</v>
      </c>
      <c r="C53" s="23"/>
      <c r="D53" s="24" t="s">
        <v>63</v>
      </c>
      <c r="E53" s="25"/>
      <c r="F53" s="67">
        <v>0.0044</v>
      </c>
      <c r="G53" s="59">
        <f>F18*(1+F76)</f>
        <v>20670</v>
      </c>
      <c r="H53" s="68">
        <f aca="true" t="shared" si="12" ref="H53:H59">G53*F53</f>
        <v>90.94800000000001</v>
      </c>
      <c r="I53" s="29"/>
      <c r="J53" s="69">
        <v>0.0044</v>
      </c>
      <c r="K53" s="60">
        <f>F18*(1+J76)</f>
        <v>20670</v>
      </c>
      <c r="L53" s="68">
        <f aca="true" t="shared" si="13" ref="L53:L59">K53*J53</f>
        <v>90.94800000000001</v>
      </c>
      <c r="M53" s="29"/>
      <c r="N53" s="32">
        <f t="shared" si="10"/>
        <v>0</v>
      </c>
      <c r="O53" s="70">
        <f t="shared" si="11"/>
        <v>0</v>
      </c>
    </row>
    <row r="54" spans="2:15" ht="30">
      <c r="B54" s="66" t="s">
        <v>34</v>
      </c>
      <c r="C54" s="23"/>
      <c r="D54" s="24" t="s">
        <v>63</v>
      </c>
      <c r="E54" s="25"/>
      <c r="F54" s="67">
        <v>0.0013</v>
      </c>
      <c r="G54" s="59">
        <f>G53</f>
        <v>20670</v>
      </c>
      <c r="H54" s="68">
        <f t="shared" si="12"/>
        <v>26.871</v>
      </c>
      <c r="I54" s="29"/>
      <c r="J54" s="69">
        <v>0.0013</v>
      </c>
      <c r="K54" s="60">
        <f>K53</f>
        <v>20670</v>
      </c>
      <c r="L54" s="68">
        <f t="shared" si="13"/>
        <v>26.871</v>
      </c>
      <c r="M54" s="29"/>
      <c r="N54" s="32">
        <f t="shared" si="10"/>
        <v>0</v>
      </c>
      <c r="O54" s="70">
        <f t="shared" si="11"/>
        <v>0</v>
      </c>
    </row>
    <row r="55" spans="2:15" ht="15">
      <c r="B55" s="23" t="s">
        <v>35</v>
      </c>
      <c r="C55" s="23"/>
      <c r="D55" s="24" t="s">
        <v>62</v>
      </c>
      <c r="E55" s="25"/>
      <c r="F55" s="178">
        <v>0.25</v>
      </c>
      <c r="G55" s="27">
        <v>1</v>
      </c>
      <c r="H55" s="68">
        <f t="shared" si="12"/>
        <v>0.25</v>
      </c>
      <c r="I55" s="29"/>
      <c r="J55" s="179">
        <v>0.25</v>
      </c>
      <c r="K55" s="31">
        <v>1</v>
      </c>
      <c r="L55" s="68">
        <f t="shared" si="13"/>
        <v>0.25</v>
      </c>
      <c r="M55" s="29"/>
      <c r="N55" s="32">
        <f t="shared" si="10"/>
        <v>0</v>
      </c>
      <c r="O55" s="70">
        <f t="shared" si="11"/>
        <v>0</v>
      </c>
    </row>
    <row r="56" spans="2:15" ht="15">
      <c r="B56" s="23" t="s">
        <v>36</v>
      </c>
      <c r="C56" s="23"/>
      <c r="D56" s="24" t="s">
        <v>63</v>
      </c>
      <c r="E56" s="25"/>
      <c r="F56" s="67">
        <v>0.007</v>
      </c>
      <c r="G56" s="71">
        <f>F18</f>
        <v>20000</v>
      </c>
      <c r="H56" s="68">
        <f t="shared" si="12"/>
        <v>140</v>
      </c>
      <c r="I56" s="29"/>
      <c r="J56" s="69">
        <f>0.007</f>
        <v>0.007</v>
      </c>
      <c r="K56" s="72">
        <f>F18</f>
        <v>20000</v>
      </c>
      <c r="L56" s="68">
        <f t="shared" si="13"/>
        <v>140</v>
      </c>
      <c r="M56" s="29"/>
      <c r="N56" s="32">
        <f t="shared" si="10"/>
        <v>0</v>
      </c>
      <c r="O56" s="70">
        <f t="shared" si="11"/>
        <v>0</v>
      </c>
    </row>
    <row r="57" spans="2:19" ht="15.75" thickBot="1">
      <c r="B57" s="50" t="s">
        <v>77</v>
      </c>
      <c r="C57" s="23"/>
      <c r="D57" s="24" t="s">
        <v>63</v>
      </c>
      <c r="E57" s="25"/>
      <c r="F57" s="67">
        <v>0.0799</v>
      </c>
      <c r="G57" s="71">
        <f>F18</f>
        <v>20000</v>
      </c>
      <c r="H57" s="68">
        <f t="shared" si="12"/>
        <v>1598</v>
      </c>
      <c r="I57" s="29"/>
      <c r="J57" s="69">
        <v>0.0799</v>
      </c>
      <c r="K57" s="71">
        <f>G57</f>
        <v>20000</v>
      </c>
      <c r="L57" s="68">
        <f t="shared" si="13"/>
        <v>1598</v>
      </c>
      <c r="M57" s="29"/>
      <c r="N57" s="32">
        <f t="shared" si="10"/>
        <v>0</v>
      </c>
      <c r="O57" s="70">
        <f t="shared" si="11"/>
        <v>0</v>
      </c>
      <c r="S57" s="74"/>
    </row>
    <row r="58" spans="2:19" ht="15" hidden="1">
      <c r="B58" s="50" t="s">
        <v>38</v>
      </c>
      <c r="C58" s="23"/>
      <c r="D58" s="24"/>
      <c r="E58" s="25"/>
      <c r="F58" s="73">
        <v>0.104</v>
      </c>
      <c r="G58" s="71">
        <v>0</v>
      </c>
      <c r="H58" s="68">
        <f t="shared" si="12"/>
        <v>0</v>
      </c>
      <c r="I58" s="29"/>
      <c r="J58" s="67">
        <v>0.104</v>
      </c>
      <c r="K58" s="71">
        <v>0</v>
      </c>
      <c r="L58" s="68">
        <f t="shared" si="13"/>
        <v>0</v>
      </c>
      <c r="M58" s="29"/>
      <c r="N58" s="32">
        <f t="shared" si="10"/>
        <v>0</v>
      </c>
      <c r="O58" s="70">
        <f t="shared" si="11"/>
      </c>
      <c r="S58" s="74"/>
    </row>
    <row r="59" spans="2:19" ht="15" hidden="1">
      <c r="B59" s="13" t="s">
        <v>39</v>
      </c>
      <c r="C59" s="23"/>
      <c r="D59" s="24"/>
      <c r="E59" s="25"/>
      <c r="F59" s="73">
        <v>0.124</v>
      </c>
      <c r="G59" s="71">
        <v>0</v>
      </c>
      <c r="H59" s="68">
        <f t="shared" si="12"/>
        <v>0</v>
      </c>
      <c r="I59" s="29"/>
      <c r="J59" s="67">
        <v>0.124</v>
      </c>
      <c r="K59" s="71">
        <v>0</v>
      </c>
      <c r="L59" s="68">
        <f t="shared" si="13"/>
        <v>0</v>
      </c>
      <c r="M59" s="29"/>
      <c r="N59" s="32">
        <f t="shared" si="10"/>
        <v>0</v>
      </c>
      <c r="O59" s="70">
        <f t="shared" si="11"/>
      </c>
      <c r="S59" s="74"/>
    </row>
    <row r="60" spans="2:15" s="75" customFormat="1" ht="15" hidden="1">
      <c r="B60" s="182" t="s">
        <v>40</v>
      </c>
      <c r="C60" s="77"/>
      <c r="D60" s="78"/>
      <c r="E60" s="79"/>
      <c r="F60" s="73">
        <v>0.075</v>
      </c>
      <c r="G60" s="80">
        <v>0</v>
      </c>
      <c r="H60" s="68">
        <f>G60*F60</f>
        <v>0</v>
      </c>
      <c r="I60" s="81"/>
      <c r="J60" s="67">
        <v>0.075</v>
      </c>
      <c r="K60" s="80">
        <f>G60</f>
        <v>0</v>
      </c>
      <c r="L60" s="68">
        <f>K60*J60</f>
        <v>0</v>
      </c>
      <c r="M60" s="81"/>
      <c r="N60" s="82">
        <f t="shared" si="10"/>
        <v>0</v>
      </c>
      <c r="O60" s="70">
        <f t="shared" si="11"/>
      </c>
    </row>
    <row r="61" spans="2:15" s="75" customFormat="1" ht="15.75" hidden="1" thickBot="1">
      <c r="B61" s="182" t="s">
        <v>41</v>
      </c>
      <c r="C61" s="77"/>
      <c r="D61" s="78"/>
      <c r="E61" s="79"/>
      <c r="F61" s="73">
        <v>0.088</v>
      </c>
      <c r="G61" s="80">
        <v>0</v>
      </c>
      <c r="H61" s="68">
        <f>G61*F61</f>
        <v>0</v>
      </c>
      <c r="I61" s="81"/>
      <c r="J61" s="67">
        <v>0.088</v>
      </c>
      <c r="K61" s="80">
        <f>G61</f>
        <v>0</v>
      </c>
      <c r="L61" s="68">
        <f>K61*J61</f>
        <v>0</v>
      </c>
      <c r="M61" s="81"/>
      <c r="N61" s="82">
        <f t="shared" si="10"/>
        <v>0</v>
      </c>
      <c r="O61" s="70">
        <f t="shared" si="11"/>
      </c>
    </row>
    <row r="62" spans="2:15" ht="15.75" hidden="1" thickBot="1">
      <c r="B62" s="83"/>
      <c r="C62" s="84"/>
      <c r="D62" s="85"/>
      <c r="E62" s="84"/>
      <c r="F62" s="86"/>
      <c r="G62" s="87"/>
      <c r="H62" s="88"/>
      <c r="I62" s="89"/>
      <c r="J62" s="86"/>
      <c r="K62" s="90"/>
      <c r="L62" s="88"/>
      <c r="M62" s="89"/>
      <c r="N62" s="91"/>
      <c r="O62" s="92"/>
    </row>
    <row r="63" spans="2:19" ht="15" hidden="1">
      <c r="B63" s="93" t="s">
        <v>42</v>
      </c>
      <c r="C63" s="23"/>
      <c r="D63" s="23"/>
      <c r="E63" s="23"/>
      <c r="F63" s="94"/>
      <c r="G63" s="95"/>
      <c r="H63" s="96">
        <f>SUM(H53:H59,H52)</f>
        <v>2447.665343</v>
      </c>
      <c r="I63" s="97"/>
      <c r="J63" s="98"/>
      <c r="K63" s="98"/>
      <c r="L63" s="96">
        <f>SUM(L53:L59,L52)</f>
        <v>2696.2333049999997</v>
      </c>
      <c r="M63" s="99"/>
      <c r="N63" s="100">
        <f>L63-H63</f>
        <v>248.56796199999962</v>
      </c>
      <c r="O63" s="101">
        <f>IF((H63)=0,"",(N63/H63))</f>
        <v>0.10155308310871468</v>
      </c>
      <c r="S63" s="74"/>
    </row>
    <row r="64" spans="2:19" ht="15" hidden="1">
      <c r="B64" s="102" t="s">
        <v>43</v>
      </c>
      <c r="C64" s="23"/>
      <c r="D64" s="23"/>
      <c r="E64" s="23"/>
      <c r="F64" s="103">
        <v>0.13</v>
      </c>
      <c r="G64" s="104"/>
      <c r="H64" s="105">
        <f>H63*F64</f>
        <v>318.19649459000004</v>
      </c>
      <c r="I64" s="106"/>
      <c r="J64" s="107">
        <v>0.13</v>
      </c>
      <c r="K64" s="106"/>
      <c r="L64" s="108">
        <f>L63*J64</f>
        <v>350.51032964999996</v>
      </c>
      <c r="M64" s="109"/>
      <c r="N64" s="110">
        <f t="shared" si="10"/>
        <v>32.31383505999992</v>
      </c>
      <c r="O64" s="111">
        <f t="shared" si="11"/>
        <v>0.10155308310871455</v>
      </c>
      <c r="S64" s="74"/>
    </row>
    <row r="65" spans="2:19" ht="15" hidden="1">
      <c r="B65" s="112" t="s">
        <v>44</v>
      </c>
      <c r="C65" s="23"/>
      <c r="D65" s="23"/>
      <c r="E65" s="23"/>
      <c r="F65" s="113"/>
      <c r="G65" s="104"/>
      <c r="H65" s="105">
        <f>H63+H64</f>
        <v>2765.86183759</v>
      </c>
      <c r="I65" s="106"/>
      <c r="J65" s="106"/>
      <c r="K65" s="106"/>
      <c r="L65" s="108">
        <f>L63+L64</f>
        <v>3046.74363465</v>
      </c>
      <c r="M65" s="109"/>
      <c r="N65" s="110">
        <f t="shared" si="10"/>
        <v>280.8817970599998</v>
      </c>
      <c r="O65" s="111">
        <f t="shared" si="11"/>
        <v>0.10155308310871478</v>
      </c>
      <c r="S65" s="74"/>
    </row>
    <row r="66" spans="2:15" ht="15" hidden="1">
      <c r="B66" s="333" t="s">
        <v>45</v>
      </c>
      <c r="C66" s="333"/>
      <c r="D66" s="333"/>
      <c r="E66" s="23"/>
      <c r="F66" s="113"/>
      <c r="G66" s="104"/>
      <c r="H66" s="114">
        <f>ROUND(-H65*10%,2)</f>
        <v>-276.59</v>
      </c>
      <c r="I66" s="106"/>
      <c r="J66" s="106"/>
      <c r="K66" s="106"/>
      <c r="L66" s="115">
        <f>ROUND(-L65*10%,2)</f>
        <v>-304.67</v>
      </c>
      <c r="M66" s="109"/>
      <c r="N66" s="116">
        <f t="shared" si="10"/>
        <v>-28.08000000000004</v>
      </c>
      <c r="O66" s="117">
        <f t="shared" si="11"/>
        <v>0.10152210853610052</v>
      </c>
    </row>
    <row r="67" spans="2:15" ht="15.75" hidden="1" thickBot="1">
      <c r="B67" s="334" t="s">
        <v>46</v>
      </c>
      <c r="C67" s="334"/>
      <c r="D67" s="334"/>
      <c r="E67" s="118"/>
      <c r="F67" s="119"/>
      <c r="G67" s="120"/>
      <c r="H67" s="121">
        <f>H65+H66</f>
        <v>2489.27183759</v>
      </c>
      <c r="I67" s="122"/>
      <c r="J67" s="122"/>
      <c r="K67" s="122"/>
      <c r="L67" s="123">
        <f>L65+L66</f>
        <v>2742.07363465</v>
      </c>
      <c r="M67" s="124"/>
      <c r="N67" s="125">
        <f t="shared" si="10"/>
        <v>252.8017970599999</v>
      </c>
      <c r="O67" s="126">
        <f t="shared" si="11"/>
        <v>0.1015565247806568</v>
      </c>
    </row>
    <row r="68" spans="2:15" s="75" customFormat="1" ht="15.75" thickBot="1">
      <c r="B68" s="127"/>
      <c r="C68" s="128"/>
      <c r="D68" s="129"/>
      <c r="E68" s="128"/>
      <c r="F68" s="86"/>
      <c r="G68" s="130"/>
      <c r="H68" s="88"/>
      <c r="I68" s="131"/>
      <c r="J68" s="86"/>
      <c r="K68" s="132"/>
      <c r="L68" s="88"/>
      <c r="M68" s="131"/>
      <c r="N68" s="133"/>
      <c r="O68" s="92"/>
    </row>
    <row r="69" spans="2:15" s="75" customFormat="1" ht="12.75">
      <c r="B69" s="134" t="s">
        <v>47</v>
      </c>
      <c r="C69" s="77"/>
      <c r="D69" s="77"/>
      <c r="E69" s="77"/>
      <c r="F69" s="135"/>
      <c r="G69" s="136"/>
      <c r="H69" s="137">
        <f>SUM(H57,H52,H53:H56)</f>
        <v>2447.665343</v>
      </c>
      <c r="I69" s="138"/>
      <c r="J69" s="139"/>
      <c r="K69" s="139"/>
      <c r="L69" s="191">
        <f>SUM(L57,L52,L53:L56)</f>
        <v>2696.2333049999997</v>
      </c>
      <c r="M69" s="140"/>
      <c r="N69" s="141">
        <f>L69-H69</f>
        <v>248.56796199999962</v>
      </c>
      <c r="O69" s="101">
        <f>IF((H69)=0,"",(N69/H69))</f>
        <v>0.10155308310871468</v>
      </c>
    </row>
    <row r="70" spans="2:15" s="75" customFormat="1" ht="12.75">
      <c r="B70" s="142" t="s">
        <v>43</v>
      </c>
      <c r="C70" s="77"/>
      <c r="D70" s="77"/>
      <c r="E70" s="77"/>
      <c r="F70" s="143">
        <v>0.13</v>
      </c>
      <c r="G70" s="136"/>
      <c r="H70" s="144">
        <f>H69*F70</f>
        <v>318.19649459000004</v>
      </c>
      <c r="I70" s="145"/>
      <c r="J70" s="146">
        <v>0.13</v>
      </c>
      <c r="K70" s="147"/>
      <c r="L70" s="148">
        <f>L69*J70</f>
        <v>350.51032964999996</v>
      </c>
      <c r="M70" s="149"/>
      <c r="N70" s="150">
        <f>L70-H70</f>
        <v>32.31383505999992</v>
      </c>
      <c r="O70" s="111">
        <f>IF((H70)=0,"",(N70/H70))</f>
        <v>0.10155308310871455</v>
      </c>
    </row>
    <row r="71" spans="2:15" s="75" customFormat="1" ht="12.75">
      <c r="B71" s="151" t="s">
        <v>44</v>
      </c>
      <c r="C71" s="77"/>
      <c r="D71" s="77"/>
      <c r="E71" s="77"/>
      <c r="F71" s="152"/>
      <c r="G71" s="153"/>
      <c r="H71" s="144">
        <f>H69+H70</f>
        <v>2765.86183759</v>
      </c>
      <c r="I71" s="145"/>
      <c r="J71" s="145"/>
      <c r="K71" s="145"/>
      <c r="L71" s="148">
        <f>L69+L70</f>
        <v>3046.74363465</v>
      </c>
      <c r="M71" s="149"/>
      <c r="N71" s="150">
        <f>L71-H71</f>
        <v>280.8817970599998</v>
      </c>
      <c r="O71" s="111">
        <f>IF((H71)=0,"",(N71/H71))</f>
        <v>0.10155308310871478</v>
      </c>
    </row>
    <row r="72" spans="2:15" s="75" customFormat="1" ht="12.75">
      <c r="B72" s="335" t="s">
        <v>45</v>
      </c>
      <c r="C72" s="335"/>
      <c r="D72" s="335"/>
      <c r="E72" s="77"/>
      <c r="F72" s="152"/>
      <c r="G72" s="153"/>
      <c r="H72" s="256">
        <f>ROUND(-H71*10%,2)</f>
        <v>-276.59</v>
      </c>
      <c r="I72" s="145"/>
      <c r="J72" s="145"/>
      <c r="K72" s="145"/>
      <c r="L72" s="257">
        <f>ROUND(-L71*10%,2)</f>
        <v>-304.67</v>
      </c>
      <c r="M72" s="149"/>
      <c r="N72" s="258">
        <f>L72-H72</f>
        <v>-28.08000000000004</v>
      </c>
      <c r="O72" s="117">
        <f>IF((H72)=0,"",(N72/H72))</f>
        <v>0.10152210853610052</v>
      </c>
    </row>
    <row r="73" spans="2:15" s="75" customFormat="1" ht="13.5" thickBot="1">
      <c r="B73" s="326" t="s">
        <v>48</v>
      </c>
      <c r="C73" s="326"/>
      <c r="D73" s="326"/>
      <c r="E73" s="157"/>
      <c r="F73" s="158"/>
      <c r="G73" s="159"/>
      <c r="H73" s="160">
        <f>SUM(H71:H72)</f>
        <v>2489.27183759</v>
      </c>
      <c r="I73" s="161"/>
      <c r="J73" s="161"/>
      <c r="K73" s="161"/>
      <c r="L73" s="162">
        <f>SUM(L71:L72)</f>
        <v>2742.07363465</v>
      </c>
      <c r="M73" s="163"/>
      <c r="N73" s="164">
        <f>L73-H73</f>
        <v>252.8017970599999</v>
      </c>
      <c r="O73" s="165">
        <f>IF((H73)=0,"",(N73/H73))</f>
        <v>0.1015565247806568</v>
      </c>
    </row>
    <row r="74" spans="2:15" s="75" customFormat="1" ht="15.75" thickBot="1">
      <c r="B74" s="127"/>
      <c r="C74" s="128"/>
      <c r="D74" s="129"/>
      <c r="E74" s="128"/>
      <c r="F74" s="166"/>
      <c r="G74" s="167"/>
      <c r="H74" s="168"/>
      <c r="I74" s="169"/>
      <c r="J74" s="166"/>
      <c r="K74" s="130"/>
      <c r="L74" s="170"/>
      <c r="M74" s="131"/>
      <c r="N74" s="171"/>
      <c r="O74" s="92"/>
    </row>
    <row r="75" ht="15">
      <c r="L75" s="74"/>
    </row>
    <row r="76" spans="2:10" ht="15">
      <c r="B76" s="14" t="s">
        <v>49</v>
      </c>
      <c r="F76" s="172">
        <v>0.0335</v>
      </c>
      <c r="J76" s="172">
        <v>0.0335</v>
      </c>
    </row>
    <row r="78" ht="15">
      <c r="A78" s="173" t="s">
        <v>50</v>
      </c>
    </row>
    <row r="80" ht="15">
      <c r="A80" s="8" t="s">
        <v>51</v>
      </c>
    </row>
    <row r="81" ht="15">
      <c r="A81" s="8" t="s">
        <v>52</v>
      </c>
    </row>
    <row r="83" ht="15">
      <c r="A83" s="13" t="s">
        <v>53</v>
      </c>
    </row>
    <row r="84" ht="15">
      <c r="A84" s="13" t="s">
        <v>54</v>
      </c>
    </row>
    <row r="86" ht="15">
      <c r="A86" s="8" t="s">
        <v>55</v>
      </c>
    </row>
    <row r="87" ht="15">
      <c r="A87" s="8" t="s">
        <v>56</v>
      </c>
    </row>
    <row r="88" ht="15">
      <c r="A88" s="8" t="s">
        <v>57</v>
      </c>
    </row>
    <row r="89" ht="15">
      <c r="A89" s="8" t="s">
        <v>58</v>
      </c>
    </row>
    <row r="90" ht="15">
      <c r="A90" s="8" t="s">
        <v>59</v>
      </c>
    </row>
    <row r="92" spans="1:2" ht="15">
      <c r="A92" s="174"/>
      <c r="B92" s="8" t="s">
        <v>60</v>
      </c>
    </row>
  </sheetData>
  <sheetProtection/>
  <mergeCells count="21">
    <mergeCell ref="N6:O6"/>
    <mergeCell ref="N5:O5"/>
    <mergeCell ref="B72:D72"/>
    <mergeCell ref="J20:L20"/>
    <mergeCell ref="B67:D67"/>
    <mergeCell ref="F20:H20"/>
    <mergeCell ref="N7:O7"/>
    <mergeCell ref="B11:O11"/>
    <mergeCell ref="N20:O20"/>
    <mergeCell ref="D14:O14"/>
    <mergeCell ref="B10:O10"/>
    <mergeCell ref="N1:O1"/>
    <mergeCell ref="N2:O2"/>
    <mergeCell ref="N3:O3"/>
    <mergeCell ref="N4:O4"/>
    <mergeCell ref="A3:K3"/>
    <mergeCell ref="B73:D73"/>
    <mergeCell ref="D21:D22"/>
    <mergeCell ref="N21:N22"/>
    <mergeCell ref="O21:O22"/>
    <mergeCell ref="B66:D66"/>
  </mergeCells>
  <dataValidations count="4">
    <dataValidation type="list" allowBlank="1" showInputMessage="1" showErrorMessage="1" sqref="D16">
      <formula1>"TOU, non-TOU"</formula1>
    </dataValidation>
    <dataValidation type="list" allowBlank="1" showInputMessage="1" showErrorMessage="1" sqref="E74 E68 E60:E61">
      <formula1>'GS 50-999 (60kW)'!#REF!</formula1>
    </dataValidation>
    <dataValidation type="list" allowBlank="1" showInputMessage="1" showErrorMessage="1" prompt="Select Charge Unit - monthly, per kWh, per kW" sqref="D50:D51 D42:D48 D68 D53:D62 D74 D23:D40">
      <formula1>"Monthly, per kWh, per kW"</formula1>
    </dataValidation>
    <dataValidation type="list" allowBlank="1" showInputMessage="1" showErrorMessage="1" sqref="E50:E51 E42:E48 E62 E53:E59 E23:E40">
      <formula1>'GS 50-999 (60kW)'!#REF!</formula1>
    </dataValidation>
  </dataValidations>
  <printOptions/>
  <pageMargins left="0.7" right="0.7" top="0.75" bottom="0.75" header="0.3" footer="0.3"/>
  <pageSetup fitToHeight="0" fitToWidth="1" horizontalDpi="600" verticalDpi="600" orientation="portrait" scale="58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85"/>
  <sheetViews>
    <sheetView showGridLines="0" zoomScalePageLayoutView="0" workbookViewId="0" topLeftCell="A10">
      <selection activeCell="J35" sqref="J35"/>
    </sheetView>
  </sheetViews>
  <sheetFormatPr defaultColWidth="9.140625" defaultRowHeight="15"/>
  <cols>
    <col min="1" max="1" width="2.140625" style="8" customWidth="1"/>
    <col min="2" max="2" width="44.5742187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8.57421875" style="8" customWidth="1"/>
    <col min="8" max="8" width="11.57421875" style="8" bestFit="1" customWidth="1"/>
    <col min="9" max="9" width="2.8515625" style="8" customWidth="1"/>
    <col min="10" max="10" width="12.140625" style="8" customWidth="1"/>
    <col min="11" max="11" width="8.57421875" style="8" customWidth="1"/>
    <col min="12" max="12" width="11.57421875" style="8" bestFit="1" customWidth="1"/>
    <col min="13" max="13" width="2.8515625" style="8" customWidth="1"/>
    <col min="14" max="14" width="12.7109375" style="8" bestFit="1" customWidth="1"/>
    <col min="15" max="15" width="10.8515625" style="8" bestFit="1" customWidth="1"/>
    <col min="16" max="16" width="11.14062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42" t="str">
        <f>EBNUMBER</f>
        <v>EB-2013-0116</v>
      </c>
      <c r="O1" s="342"/>
      <c r="P1" s="196"/>
      <c r="T1" s="2">
        <v>1</v>
      </c>
    </row>
    <row r="2" spans="1:16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343">
        <v>8</v>
      </c>
      <c r="O2" s="343"/>
      <c r="P2" s="197"/>
    </row>
    <row r="3" spans="1:16" s="2" customFormat="1" ht="15" customHeight="1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" t="s">
        <v>79</v>
      </c>
      <c r="N3" s="344" t="s">
        <v>80</v>
      </c>
      <c r="O3" s="344"/>
      <c r="P3" s="198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343">
        <v>14</v>
      </c>
      <c r="O4" s="343"/>
      <c r="P4" s="197"/>
    </row>
    <row r="5" spans="3:16" s="2" customFormat="1" ht="15" customHeight="1">
      <c r="C5" s="7"/>
      <c r="D5" s="7"/>
      <c r="E5" s="7"/>
      <c r="L5" s="3" t="s">
        <v>81</v>
      </c>
      <c r="N5" s="345" t="s">
        <v>96</v>
      </c>
      <c r="O5" s="345"/>
      <c r="P5" s="196"/>
    </row>
    <row r="6" spans="12:16" s="2" customFormat="1" ht="9" customHeight="1">
      <c r="L6" s="3"/>
      <c r="N6" s="347"/>
      <c r="O6" s="347"/>
      <c r="P6" s="199"/>
    </row>
    <row r="7" spans="12:16" s="2" customFormat="1" ht="15">
      <c r="L7" s="3" t="s">
        <v>83</v>
      </c>
      <c r="N7" s="346">
        <v>41575</v>
      </c>
      <c r="O7" s="346"/>
      <c r="P7" s="200"/>
    </row>
    <row r="8" spans="14:16" s="2" customFormat="1" ht="15" customHeight="1">
      <c r="N8" s="8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337" t="s">
        <v>3</v>
      </c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/>
    </row>
    <row r="11" spans="2:16" ht="18.75" customHeight="1">
      <c r="B11" s="337" t="s">
        <v>4</v>
      </c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338" t="s">
        <v>70</v>
      </c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69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9" ht="15">
      <c r="B18" s="13"/>
      <c r="D18" s="14" t="s">
        <v>8</v>
      </c>
      <c r="E18" s="14"/>
      <c r="F18" s="15">
        <v>40000</v>
      </c>
      <c r="G18" s="14" t="s">
        <v>9</v>
      </c>
      <c r="H18" s="15">
        <v>100</v>
      </c>
      <c r="I18" s="14" t="s">
        <v>71</v>
      </c>
    </row>
    <row r="19" ht="15">
      <c r="B19" s="13"/>
    </row>
    <row r="20" spans="2:15" ht="15">
      <c r="B20" s="13"/>
      <c r="D20" s="16"/>
      <c r="E20" s="16"/>
      <c r="F20" s="339" t="s">
        <v>10</v>
      </c>
      <c r="G20" s="340"/>
      <c r="H20" s="341"/>
      <c r="J20" s="339" t="s">
        <v>11</v>
      </c>
      <c r="K20" s="340"/>
      <c r="L20" s="341"/>
      <c r="N20" s="339" t="s">
        <v>12</v>
      </c>
      <c r="O20" s="341"/>
    </row>
    <row r="21" spans="2:15" ht="15">
      <c r="B21" s="13"/>
      <c r="D21" s="327" t="s">
        <v>13</v>
      </c>
      <c r="E21" s="17"/>
      <c r="F21" s="18" t="s">
        <v>14</v>
      </c>
      <c r="G21" s="18" t="s">
        <v>15</v>
      </c>
      <c r="H21" s="19" t="s">
        <v>16</v>
      </c>
      <c r="J21" s="18" t="s">
        <v>14</v>
      </c>
      <c r="K21" s="20" t="s">
        <v>15</v>
      </c>
      <c r="L21" s="19" t="s">
        <v>16</v>
      </c>
      <c r="N21" s="329" t="s">
        <v>17</v>
      </c>
      <c r="O21" s="331" t="s">
        <v>18</v>
      </c>
    </row>
    <row r="22" spans="2:15" ht="15">
      <c r="B22" s="13"/>
      <c r="D22" s="328"/>
      <c r="E22" s="17"/>
      <c r="F22" s="21" t="s">
        <v>19</v>
      </c>
      <c r="G22" s="21"/>
      <c r="H22" s="22" t="s">
        <v>19</v>
      </c>
      <c r="J22" s="21" t="s">
        <v>19</v>
      </c>
      <c r="K22" s="22"/>
      <c r="L22" s="22" t="s">
        <v>19</v>
      </c>
      <c r="N22" s="330"/>
      <c r="O22" s="332"/>
    </row>
    <row r="23" spans="2:15" ht="22.5" customHeight="1">
      <c r="B23" s="23" t="s">
        <v>20</v>
      </c>
      <c r="C23" s="23"/>
      <c r="D23" s="24" t="s">
        <v>62</v>
      </c>
      <c r="E23" s="25"/>
      <c r="F23" s="176">
        <f>'GS 50-999 (60kW)'!F23</f>
        <v>109.35</v>
      </c>
      <c r="G23" s="27">
        <v>1</v>
      </c>
      <c r="H23" s="28">
        <f>G23*F23</f>
        <v>109.35</v>
      </c>
      <c r="I23" s="29"/>
      <c r="J23" s="175">
        <f>'GS 50-999 (60kW)'!J23</f>
        <v>110.88</v>
      </c>
      <c r="K23" s="31">
        <v>1</v>
      </c>
      <c r="L23" s="28">
        <f>K23*J23</f>
        <v>110.88</v>
      </c>
      <c r="M23" s="29"/>
      <c r="N23" s="32">
        <f>L23-H23</f>
        <v>1.5300000000000011</v>
      </c>
      <c r="O23" s="33">
        <f>IF((H23)=0,"",(N23/H23))</f>
        <v>0.013991769547325113</v>
      </c>
    </row>
    <row r="24" spans="2:15" ht="22.5" customHeight="1">
      <c r="B24" s="23" t="s">
        <v>102</v>
      </c>
      <c r="C24" s="23"/>
      <c r="D24" s="24" t="s">
        <v>62</v>
      </c>
      <c r="E24" s="25"/>
      <c r="F24" s="176"/>
      <c r="G24" s="27"/>
      <c r="H24" s="28"/>
      <c r="I24" s="29"/>
      <c r="J24" s="175">
        <v>0</v>
      </c>
      <c r="K24" s="31">
        <v>1</v>
      </c>
      <c r="L24" s="28">
        <f>K24*J24</f>
        <v>0</v>
      </c>
      <c r="M24" s="29"/>
      <c r="N24" s="32">
        <f>L24-H24</f>
        <v>0</v>
      </c>
      <c r="O24" s="33">
        <f>IF((H24)=0,"",(N24/H24))</f>
      </c>
    </row>
    <row r="25" spans="2:15" ht="36.75" customHeight="1">
      <c r="B25" s="66" t="s">
        <v>125</v>
      </c>
      <c r="C25" s="23"/>
      <c r="D25" s="57" t="s">
        <v>62</v>
      </c>
      <c r="E25" s="25"/>
      <c r="F25" s="272">
        <v>0</v>
      </c>
      <c r="G25" s="27">
        <v>1</v>
      </c>
      <c r="H25" s="249">
        <f>G25*F25</f>
        <v>0</v>
      </c>
      <c r="I25" s="29"/>
      <c r="J25" s="30">
        <f>'GS 50-999 (60kW)'!J25</f>
        <v>0.79</v>
      </c>
      <c r="K25" s="31">
        <v>1</v>
      </c>
      <c r="L25" s="249">
        <f>K25*J25</f>
        <v>0.79</v>
      </c>
      <c r="M25" s="29"/>
      <c r="N25" s="32">
        <f>L25-H25</f>
        <v>0.79</v>
      </c>
      <c r="O25" s="250">
        <f>IF((H25)=0,"",(N25/H25))</f>
      </c>
    </row>
    <row r="26" spans="2:15" ht="15" hidden="1">
      <c r="B26" s="177"/>
      <c r="C26" s="23"/>
      <c r="D26" s="57" t="s">
        <v>62</v>
      </c>
      <c r="E26" s="58"/>
      <c r="F26" s="175"/>
      <c r="G26" s="27">
        <v>1</v>
      </c>
      <c r="H26" s="28">
        <f aca="true" t="shared" si="0" ref="H26:H33">G26*F26</f>
        <v>0</v>
      </c>
      <c r="I26" s="29"/>
      <c r="J26" s="30"/>
      <c r="K26" s="31">
        <v>1</v>
      </c>
      <c r="L26" s="28">
        <f aca="true" t="shared" si="1" ref="L26:L33">K26*J26</f>
        <v>0</v>
      </c>
      <c r="M26" s="29"/>
      <c r="N26" s="32">
        <f aca="true" t="shared" si="2" ref="N26:N60">L26-H26</f>
        <v>0</v>
      </c>
      <c r="O26" s="33">
        <f aca="true" t="shared" si="3" ref="O26:O40">IF((H26)=0,"",(N26/H26))</f>
      </c>
    </row>
    <row r="27" spans="2:15" ht="15" hidden="1">
      <c r="B27" s="177"/>
      <c r="C27" s="23"/>
      <c r="D27" s="57" t="s">
        <v>62</v>
      </c>
      <c r="E27" s="25"/>
      <c r="F27" s="26"/>
      <c r="G27" s="27">
        <v>1</v>
      </c>
      <c r="H27" s="28">
        <f t="shared" si="0"/>
        <v>0</v>
      </c>
      <c r="I27" s="29"/>
      <c r="J27" s="175"/>
      <c r="K27" s="31">
        <v>1</v>
      </c>
      <c r="L27" s="28">
        <f t="shared" si="1"/>
        <v>0</v>
      </c>
      <c r="M27" s="29"/>
      <c r="N27" s="32">
        <f t="shared" si="2"/>
        <v>0</v>
      </c>
      <c r="O27" s="33">
        <f t="shared" si="3"/>
      </c>
    </row>
    <row r="28" spans="2:15" ht="15">
      <c r="B28" s="47" t="s">
        <v>66</v>
      </c>
      <c r="C28" s="23"/>
      <c r="D28" s="24" t="s">
        <v>72</v>
      </c>
      <c r="E28" s="25"/>
      <c r="F28" s="26">
        <v>0</v>
      </c>
      <c r="G28" s="181">
        <f>$H$18</f>
        <v>100</v>
      </c>
      <c r="H28" s="28">
        <f t="shared" si="0"/>
        <v>0</v>
      </c>
      <c r="I28" s="29"/>
      <c r="J28" s="30"/>
      <c r="K28" s="181">
        <f>$H$18</f>
        <v>100</v>
      </c>
      <c r="L28" s="28">
        <f t="shared" si="1"/>
        <v>0</v>
      </c>
      <c r="M28" s="29"/>
      <c r="N28" s="32">
        <f t="shared" si="2"/>
        <v>0</v>
      </c>
      <c r="O28" s="33">
        <f t="shared" si="3"/>
      </c>
    </row>
    <row r="29" spans="2:15" ht="15">
      <c r="B29" s="47" t="s">
        <v>67</v>
      </c>
      <c r="C29" s="23"/>
      <c r="D29" s="24" t="s">
        <v>72</v>
      </c>
      <c r="E29" s="25"/>
      <c r="F29" s="253">
        <f>'GS 50-999 (60kW)'!F29</f>
        <v>-1.2179</v>
      </c>
      <c r="G29" s="181">
        <f>$H$18</f>
        <v>100</v>
      </c>
      <c r="H29" s="28">
        <f t="shared" si="0"/>
        <v>-121.78999999999999</v>
      </c>
      <c r="I29" s="29"/>
      <c r="J29" s="30">
        <v>0</v>
      </c>
      <c r="K29" s="181">
        <f>$H$18</f>
        <v>100</v>
      </c>
      <c r="L29" s="28">
        <f t="shared" si="1"/>
        <v>0</v>
      </c>
      <c r="M29" s="29"/>
      <c r="N29" s="32">
        <f t="shared" si="2"/>
        <v>121.78999999999999</v>
      </c>
      <c r="O29" s="33">
        <f t="shared" si="3"/>
        <v>-1</v>
      </c>
    </row>
    <row r="30" spans="2:15" ht="15">
      <c r="B30" s="47" t="s">
        <v>103</v>
      </c>
      <c r="C30" s="23"/>
      <c r="D30" s="24" t="s">
        <v>63</v>
      </c>
      <c r="E30" s="25"/>
      <c r="F30" s="26">
        <f>'GS 50-999 (60kW)'!F30</f>
        <v>0</v>
      </c>
      <c r="G30" s="181">
        <f>$H$18</f>
        <v>100</v>
      </c>
      <c r="H30" s="249">
        <f t="shared" si="0"/>
        <v>0</v>
      </c>
      <c r="I30" s="29"/>
      <c r="J30" s="30">
        <f>'GS 50-999 (60kW)'!J30</f>
        <v>0</v>
      </c>
      <c r="K30" s="181">
        <f>H18</f>
        <v>100</v>
      </c>
      <c r="L30" s="28">
        <f t="shared" si="1"/>
        <v>0</v>
      </c>
      <c r="M30" s="29"/>
      <c r="N30" s="259">
        <f t="shared" si="2"/>
        <v>0</v>
      </c>
      <c r="O30" s="33"/>
    </row>
    <row r="31" spans="2:15" ht="15">
      <c r="B31" s="23" t="s">
        <v>21</v>
      </c>
      <c r="C31" s="23"/>
      <c r="D31" s="24" t="s">
        <v>72</v>
      </c>
      <c r="E31" s="25"/>
      <c r="F31" s="26">
        <f>'GS 50-999 (60kW)'!F31</f>
        <v>3.9801</v>
      </c>
      <c r="G31" s="181">
        <f>$H$18</f>
        <v>100</v>
      </c>
      <c r="H31" s="28">
        <f t="shared" si="0"/>
        <v>398.01</v>
      </c>
      <c r="I31" s="29"/>
      <c r="J31" s="30">
        <f>'GS 50-999 (60kW)'!J31</f>
        <v>4.0358</v>
      </c>
      <c r="K31" s="181">
        <f>$H$18</f>
        <v>100</v>
      </c>
      <c r="L31" s="28">
        <f t="shared" si="1"/>
        <v>403.58</v>
      </c>
      <c r="M31" s="29"/>
      <c r="N31" s="32">
        <f t="shared" si="2"/>
        <v>5.569999999999993</v>
      </c>
      <c r="O31" s="33">
        <f t="shared" si="3"/>
        <v>0.013994623250672076</v>
      </c>
    </row>
    <row r="32" spans="2:15" ht="15">
      <c r="B32" s="23" t="s">
        <v>22</v>
      </c>
      <c r="C32" s="23"/>
      <c r="D32" s="24"/>
      <c r="E32" s="25"/>
      <c r="F32" s="26"/>
      <c r="G32" s="27">
        <f>$F$18</f>
        <v>40000</v>
      </c>
      <c r="H32" s="28">
        <f t="shared" si="0"/>
        <v>0</v>
      </c>
      <c r="I32" s="29"/>
      <c r="J32" s="30"/>
      <c r="K32" s="27">
        <f>$F$18</f>
        <v>40000</v>
      </c>
      <c r="L32" s="28">
        <f t="shared" si="1"/>
        <v>0</v>
      </c>
      <c r="M32" s="29"/>
      <c r="N32" s="32">
        <f t="shared" si="2"/>
        <v>0</v>
      </c>
      <c r="O32" s="33">
        <f t="shared" si="3"/>
      </c>
    </row>
    <row r="33" spans="2:15" ht="15">
      <c r="B33" s="23" t="s">
        <v>124</v>
      </c>
      <c r="C33" s="23"/>
      <c r="D33" s="24" t="s">
        <v>72</v>
      </c>
      <c r="E33" s="25"/>
      <c r="F33" s="26">
        <v>0</v>
      </c>
      <c r="G33" s="181">
        <f>$H$18</f>
        <v>100</v>
      </c>
      <c r="H33" s="249">
        <f t="shared" si="0"/>
        <v>0</v>
      </c>
      <c r="I33" s="29"/>
      <c r="J33" s="30">
        <f>'GS 50-999 (60kW)'!J33</f>
        <v>0.1251</v>
      </c>
      <c r="K33" s="181">
        <f>$H$18</f>
        <v>100</v>
      </c>
      <c r="L33" s="249">
        <f t="shared" si="1"/>
        <v>12.509999999999998</v>
      </c>
      <c r="M33" s="29"/>
      <c r="N33" s="32">
        <f t="shared" si="2"/>
        <v>12.509999999999998</v>
      </c>
      <c r="O33" s="250">
        <f t="shared" si="3"/>
      </c>
    </row>
    <row r="34" spans="2:15" s="35" customFormat="1" ht="15">
      <c r="B34" s="36" t="s">
        <v>24</v>
      </c>
      <c r="C34" s="37"/>
      <c r="D34" s="38"/>
      <c r="E34" s="37"/>
      <c r="F34" s="39"/>
      <c r="G34" s="40"/>
      <c r="H34" s="41">
        <f>SUM(H23:H33)</f>
        <v>385.57</v>
      </c>
      <c r="I34" s="42"/>
      <c r="J34" s="43"/>
      <c r="K34" s="44"/>
      <c r="L34" s="41">
        <f>SUM(L23:L33)</f>
        <v>527.76</v>
      </c>
      <c r="M34" s="42"/>
      <c r="N34" s="45">
        <f t="shared" si="2"/>
        <v>142.19</v>
      </c>
      <c r="O34" s="46">
        <f t="shared" si="3"/>
        <v>0.36877869128822266</v>
      </c>
    </row>
    <row r="35" spans="2:15" ht="15">
      <c r="B35" s="47" t="s">
        <v>25</v>
      </c>
      <c r="C35" s="23"/>
      <c r="D35" s="57" t="s">
        <v>72</v>
      </c>
      <c r="E35" s="58"/>
      <c r="F35" s="254">
        <f>'GS 50-999 (60kW)'!F42</f>
        <v>-0.5123</v>
      </c>
      <c r="G35" s="181">
        <f>G31</f>
        <v>100</v>
      </c>
      <c r="H35" s="28">
        <f aca="true" t="shared" si="4" ref="H35:H41">G35*F35</f>
        <v>-51.23</v>
      </c>
      <c r="I35" s="29"/>
      <c r="J35" s="254">
        <f>'GS 50-999 (60kW)'!J42</f>
        <v>-0.5378</v>
      </c>
      <c r="K35" s="181">
        <f>H18</f>
        <v>100</v>
      </c>
      <c r="L35" s="28">
        <f aca="true" t="shared" si="5" ref="L35:L41">K35*J35</f>
        <v>-53.779999999999994</v>
      </c>
      <c r="M35" s="29"/>
      <c r="N35" s="32">
        <f t="shared" si="2"/>
        <v>-2.549999999999997</v>
      </c>
      <c r="O35" s="33">
        <f t="shared" si="3"/>
        <v>0.04977552215498726</v>
      </c>
    </row>
    <row r="36" spans="2:15" ht="15" hidden="1">
      <c r="B36" s="47"/>
      <c r="C36" s="23"/>
      <c r="D36" s="24" t="s">
        <v>72</v>
      </c>
      <c r="E36" s="25"/>
      <c r="F36" s="26"/>
      <c r="G36" s="181">
        <f>H18</f>
        <v>100</v>
      </c>
      <c r="H36" s="28">
        <f t="shared" si="4"/>
        <v>0</v>
      </c>
      <c r="I36" s="48"/>
      <c r="J36" s="30"/>
      <c r="K36" s="181">
        <f>H18</f>
        <v>100</v>
      </c>
      <c r="L36" s="28">
        <f t="shared" si="5"/>
        <v>0</v>
      </c>
      <c r="M36" s="49"/>
      <c r="N36" s="32">
        <f t="shared" si="2"/>
        <v>0</v>
      </c>
      <c r="O36" s="33">
        <f t="shared" si="3"/>
      </c>
    </row>
    <row r="37" spans="2:15" ht="15" hidden="1">
      <c r="B37" s="47"/>
      <c r="C37" s="23"/>
      <c r="D37" s="24" t="s">
        <v>72</v>
      </c>
      <c r="E37" s="25"/>
      <c r="F37" s="26"/>
      <c r="G37" s="181">
        <f>H18</f>
        <v>100</v>
      </c>
      <c r="H37" s="28">
        <f t="shared" si="4"/>
        <v>0</v>
      </c>
      <c r="I37" s="48"/>
      <c r="J37" s="30"/>
      <c r="K37" s="181">
        <f>H18</f>
        <v>100</v>
      </c>
      <c r="L37" s="28">
        <f t="shared" si="5"/>
        <v>0</v>
      </c>
      <c r="M37" s="49"/>
      <c r="N37" s="32">
        <f t="shared" si="2"/>
        <v>0</v>
      </c>
      <c r="O37" s="33">
        <f t="shared" si="3"/>
      </c>
    </row>
    <row r="38" spans="2:15" ht="30.75" customHeight="1">
      <c r="B38" s="47" t="s">
        <v>78</v>
      </c>
      <c r="C38" s="23"/>
      <c r="D38" s="57" t="s">
        <v>72</v>
      </c>
      <c r="E38" s="25"/>
      <c r="F38" s="254">
        <f>'GS 50-999 (60kW)'!F45</f>
        <v>-1.4848</v>
      </c>
      <c r="G38" s="181">
        <f>H18</f>
        <v>100</v>
      </c>
      <c r="H38" s="28">
        <f t="shared" si="4"/>
        <v>-148.48</v>
      </c>
      <c r="I38" s="48"/>
      <c r="J38" s="30">
        <f>'GS 50-999 (60kW)'!J45</f>
        <v>1.0847</v>
      </c>
      <c r="K38" s="181">
        <f>H18</f>
        <v>100</v>
      </c>
      <c r="L38" s="28">
        <f t="shared" si="5"/>
        <v>108.47</v>
      </c>
      <c r="M38" s="49"/>
      <c r="N38" s="32">
        <f t="shared" si="2"/>
        <v>256.95</v>
      </c>
      <c r="O38" s="33">
        <f t="shared" si="3"/>
        <v>-1.730536099137931</v>
      </c>
    </row>
    <row r="39" spans="2:15" ht="15">
      <c r="B39" s="50" t="s">
        <v>26</v>
      </c>
      <c r="C39" s="23"/>
      <c r="D39" s="24" t="s">
        <v>72</v>
      </c>
      <c r="E39" s="25"/>
      <c r="F39" s="26">
        <f>'GS 50-999 (60kW)'!F46</f>
        <v>0.0537</v>
      </c>
      <c r="G39" s="181">
        <f>H18</f>
        <v>100</v>
      </c>
      <c r="H39" s="28">
        <f t="shared" si="4"/>
        <v>5.37</v>
      </c>
      <c r="I39" s="29"/>
      <c r="J39" s="30">
        <f>'GS 50-999 (60kW)'!J46</f>
        <v>0.0537</v>
      </c>
      <c r="K39" s="181">
        <f>H18</f>
        <v>100</v>
      </c>
      <c r="L39" s="28">
        <f t="shared" si="5"/>
        <v>5.37</v>
      </c>
      <c r="M39" s="29"/>
      <c r="N39" s="32">
        <f t="shared" si="2"/>
        <v>0</v>
      </c>
      <c r="O39" s="33">
        <f t="shared" si="3"/>
        <v>0</v>
      </c>
    </row>
    <row r="40" spans="2:15" s="35" customFormat="1" ht="15">
      <c r="B40" s="183" t="s">
        <v>27</v>
      </c>
      <c r="C40" s="25"/>
      <c r="D40" s="184" t="s">
        <v>63</v>
      </c>
      <c r="E40" s="25"/>
      <c r="F40" s="185">
        <f>IF(ISBLANK(D16)=TRUE,0,IF(D16="TOU",0.64*$F$50+0.18*$F$51+0.18*$F$52,IF(AND(D16="non-TOU",G54&gt;0),F54,F53)))</f>
        <v>0.075</v>
      </c>
      <c r="G40" s="27">
        <f>$F$18*(1+$F$69)-$F$18</f>
        <v>1340</v>
      </c>
      <c r="H40" s="186">
        <f t="shared" si="4"/>
        <v>100.5</v>
      </c>
      <c r="I40" s="58"/>
      <c r="J40" s="187">
        <f>IF(ISBLANK(D16)=TRUE,0,IF(D16="TOU",0.64*$F$50+0.18*$F$51+0.18*$F$52,IF(AND(D16="non-TOU",K54&gt;0),J54,J53)))</f>
        <v>0.075</v>
      </c>
      <c r="K40" s="27">
        <f>$F$18*(1+$J$69)-$F$18</f>
        <v>1340</v>
      </c>
      <c r="L40" s="186">
        <f t="shared" si="5"/>
        <v>100.5</v>
      </c>
      <c r="M40" s="58"/>
      <c r="N40" s="188">
        <f t="shared" si="2"/>
        <v>0</v>
      </c>
      <c r="O40" s="189">
        <f t="shared" si="3"/>
        <v>0</v>
      </c>
    </row>
    <row r="41" spans="2:15" ht="15">
      <c r="B41" s="50" t="s">
        <v>28</v>
      </c>
      <c r="C41" s="23"/>
      <c r="D41" s="24" t="s">
        <v>62</v>
      </c>
      <c r="E41" s="25"/>
      <c r="F41" s="180">
        <v>0</v>
      </c>
      <c r="G41" s="27">
        <v>0</v>
      </c>
      <c r="H41" s="28">
        <f t="shared" si="4"/>
        <v>0</v>
      </c>
      <c r="I41" s="29"/>
      <c r="J41" s="180">
        <v>0</v>
      </c>
      <c r="K41" s="27">
        <v>0</v>
      </c>
      <c r="L41" s="28">
        <f t="shared" si="5"/>
        <v>0</v>
      </c>
      <c r="M41" s="29"/>
      <c r="N41" s="32">
        <f t="shared" si="2"/>
        <v>0</v>
      </c>
      <c r="O41" s="33"/>
    </row>
    <row r="42" spans="2:15" ht="25.5">
      <c r="B42" s="51" t="s">
        <v>29</v>
      </c>
      <c r="C42" s="52"/>
      <c r="D42" s="52"/>
      <c r="E42" s="52"/>
      <c r="F42" s="53"/>
      <c r="G42" s="54"/>
      <c r="H42" s="55">
        <f>SUM(H35:H41)+H34</f>
        <v>291.73</v>
      </c>
      <c r="I42" s="42"/>
      <c r="J42" s="54"/>
      <c r="K42" s="56"/>
      <c r="L42" s="55">
        <f>SUM(L35:L41)+L34</f>
        <v>688.3199999999999</v>
      </c>
      <c r="M42" s="42"/>
      <c r="N42" s="45">
        <f t="shared" si="2"/>
        <v>396.5899999999999</v>
      </c>
      <c r="O42" s="46">
        <f aca="true" t="shared" si="6" ref="O42:O60">IF((H42)=0,"",(N42/H42))</f>
        <v>1.3594419497480543</v>
      </c>
    </row>
    <row r="43" spans="2:15" ht="15">
      <c r="B43" s="29" t="s">
        <v>30</v>
      </c>
      <c r="C43" s="29"/>
      <c r="D43" s="57" t="s">
        <v>72</v>
      </c>
      <c r="E43" s="58"/>
      <c r="F43" s="30">
        <f>'GS 50-999 (60kW)'!F50</f>
        <v>3.7803</v>
      </c>
      <c r="G43" s="59">
        <f>H18*(1+F69)</f>
        <v>103.35000000000001</v>
      </c>
      <c r="H43" s="28">
        <f>G43*F43</f>
        <v>390.694005</v>
      </c>
      <c r="I43" s="29"/>
      <c r="J43" s="30">
        <f>'GS 50-999 (60kW)'!J50</f>
        <v>3.8999</v>
      </c>
      <c r="K43" s="60">
        <f>H18*(1+J69)</f>
        <v>103.35000000000001</v>
      </c>
      <c r="L43" s="28">
        <f>K43*J43</f>
        <v>403.05466500000006</v>
      </c>
      <c r="M43" s="29"/>
      <c r="N43" s="32">
        <f t="shared" si="2"/>
        <v>12.360660000000053</v>
      </c>
      <c r="O43" s="33">
        <f t="shared" si="6"/>
        <v>0.03163770071158387</v>
      </c>
    </row>
    <row r="44" spans="2:15" ht="15">
      <c r="B44" s="61" t="s">
        <v>31</v>
      </c>
      <c r="C44" s="29"/>
      <c r="D44" s="57" t="s">
        <v>72</v>
      </c>
      <c r="E44" s="58"/>
      <c r="F44" s="30">
        <f>'GS 50-999 (60kW)'!F51</f>
        <v>2.394</v>
      </c>
      <c r="G44" s="59">
        <f>G43</f>
        <v>103.35000000000001</v>
      </c>
      <c r="H44" s="28">
        <f>G44*F44</f>
        <v>247.41990000000004</v>
      </c>
      <c r="I44" s="29"/>
      <c r="J44" s="30">
        <f>'GS 50-999 (60kW)'!J51</f>
        <v>2.4306</v>
      </c>
      <c r="K44" s="60">
        <f>K43</f>
        <v>103.35000000000001</v>
      </c>
      <c r="L44" s="28">
        <f>K44*J44</f>
        <v>251.20251000000002</v>
      </c>
      <c r="M44" s="29"/>
      <c r="N44" s="32">
        <f t="shared" si="2"/>
        <v>3.782609999999977</v>
      </c>
      <c r="O44" s="33">
        <f t="shared" si="6"/>
        <v>0.015288220551378351</v>
      </c>
    </row>
    <row r="45" spans="2:15" ht="15">
      <c r="B45" s="51" t="s">
        <v>32</v>
      </c>
      <c r="C45" s="37"/>
      <c r="D45" s="37"/>
      <c r="E45" s="37"/>
      <c r="F45" s="62"/>
      <c r="G45" s="54"/>
      <c r="H45" s="55">
        <f>SUM(H42:H44)</f>
        <v>929.8439050000002</v>
      </c>
      <c r="I45" s="63"/>
      <c r="J45" s="64"/>
      <c r="K45" s="65"/>
      <c r="L45" s="55">
        <f>SUM(L42:L44)</f>
        <v>1342.5771750000001</v>
      </c>
      <c r="M45" s="63"/>
      <c r="N45" s="45">
        <f t="shared" si="2"/>
        <v>412.73326999999995</v>
      </c>
      <c r="O45" s="46">
        <f t="shared" si="6"/>
        <v>0.4438737166320404</v>
      </c>
    </row>
    <row r="46" spans="2:15" ht="15">
      <c r="B46" s="66" t="s">
        <v>33</v>
      </c>
      <c r="C46" s="23"/>
      <c r="D46" s="24" t="s">
        <v>63</v>
      </c>
      <c r="E46" s="25"/>
      <c r="F46" s="67">
        <v>0.0044</v>
      </c>
      <c r="G46" s="59">
        <f>F18*(1+F69)</f>
        <v>41340</v>
      </c>
      <c r="H46" s="68">
        <f aca="true" t="shared" si="7" ref="H46:H52">G46*F46</f>
        <v>181.89600000000002</v>
      </c>
      <c r="I46" s="29"/>
      <c r="J46" s="69">
        <v>0.0044</v>
      </c>
      <c r="K46" s="60">
        <f>F18*(1+J69)</f>
        <v>41340</v>
      </c>
      <c r="L46" s="68">
        <f aca="true" t="shared" si="8" ref="L46:L52">K46*J46</f>
        <v>181.89600000000002</v>
      </c>
      <c r="M46" s="29"/>
      <c r="N46" s="32">
        <f t="shared" si="2"/>
        <v>0</v>
      </c>
      <c r="O46" s="70">
        <f t="shared" si="6"/>
        <v>0</v>
      </c>
    </row>
    <row r="47" spans="2:15" ht="15">
      <c r="B47" s="66" t="s">
        <v>34</v>
      </c>
      <c r="C47" s="23"/>
      <c r="D47" s="24" t="s">
        <v>63</v>
      </c>
      <c r="E47" s="25"/>
      <c r="F47" s="67">
        <v>0.0013</v>
      </c>
      <c r="G47" s="59">
        <f>G46</f>
        <v>41340</v>
      </c>
      <c r="H47" s="68">
        <f t="shared" si="7"/>
        <v>53.742</v>
      </c>
      <c r="I47" s="29"/>
      <c r="J47" s="69">
        <v>0.0013</v>
      </c>
      <c r="K47" s="60">
        <f>K46</f>
        <v>41340</v>
      </c>
      <c r="L47" s="68">
        <f t="shared" si="8"/>
        <v>53.742</v>
      </c>
      <c r="M47" s="29"/>
      <c r="N47" s="32">
        <f t="shared" si="2"/>
        <v>0</v>
      </c>
      <c r="O47" s="70">
        <f t="shared" si="6"/>
        <v>0</v>
      </c>
    </row>
    <row r="48" spans="2:15" ht="15">
      <c r="B48" s="23" t="s">
        <v>35</v>
      </c>
      <c r="C48" s="23"/>
      <c r="D48" s="24" t="s">
        <v>62</v>
      </c>
      <c r="E48" s="25"/>
      <c r="F48" s="178">
        <v>0.25</v>
      </c>
      <c r="G48" s="27">
        <v>1</v>
      </c>
      <c r="H48" s="68">
        <f t="shared" si="7"/>
        <v>0.25</v>
      </c>
      <c r="I48" s="29"/>
      <c r="J48" s="179">
        <v>0.25</v>
      </c>
      <c r="K48" s="31">
        <v>1</v>
      </c>
      <c r="L48" s="68">
        <f t="shared" si="8"/>
        <v>0.25</v>
      </c>
      <c r="M48" s="29"/>
      <c r="N48" s="32">
        <f t="shared" si="2"/>
        <v>0</v>
      </c>
      <c r="O48" s="70">
        <f t="shared" si="6"/>
        <v>0</v>
      </c>
    </row>
    <row r="49" spans="2:15" ht="15">
      <c r="B49" s="23" t="s">
        <v>36</v>
      </c>
      <c r="C49" s="23"/>
      <c r="D49" s="24" t="s">
        <v>63</v>
      </c>
      <c r="E49" s="25"/>
      <c r="F49" s="67">
        <v>0.007</v>
      </c>
      <c r="G49" s="71">
        <f>F18</f>
        <v>40000</v>
      </c>
      <c r="H49" s="68">
        <f t="shared" si="7"/>
        <v>280</v>
      </c>
      <c r="I49" s="29"/>
      <c r="J49" s="69">
        <f>0.007</f>
        <v>0.007</v>
      </c>
      <c r="K49" s="72">
        <f>F18</f>
        <v>40000</v>
      </c>
      <c r="L49" s="68">
        <f t="shared" si="8"/>
        <v>280</v>
      </c>
      <c r="M49" s="29"/>
      <c r="N49" s="32">
        <f t="shared" si="2"/>
        <v>0</v>
      </c>
      <c r="O49" s="70">
        <f t="shared" si="6"/>
        <v>0</v>
      </c>
    </row>
    <row r="50" spans="2:19" ht="15.75" thickBot="1">
      <c r="B50" s="50" t="s">
        <v>77</v>
      </c>
      <c r="C50" s="23"/>
      <c r="D50" s="24" t="s">
        <v>63</v>
      </c>
      <c r="E50" s="25"/>
      <c r="F50" s="67">
        <v>0.0799</v>
      </c>
      <c r="G50" s="71">
        <f>F18</f>
        <v>40000</v>
      </c>
      <c r="H50" s="68">
        <f t="shared" si="7"/>
        <v>3196</v>
      </c>
      <c r="I50" s="29"/>
      <c r="J50" s="69">
        <v>0.0799</v>
      </c>
      <c r="K50" s="71">
        <f>G50</f>
        <v>40000</v>
      </c>
      <c r="L50" s="68">
        <f t="shared" si="8"/>
        <v>3196</v>
      </c>
      <c r="M50" s="29"/>
      <c r="N50" s="32">
        <f t="shared" si="2"/>
        <v>0</v>
      </c>
      <c r="O50" s="70">
        <f t="shared" si="6"/>
        <v>0</v>
      </c>
      <c r="S50" s="74"/>
    </row>
    <row r="51" spans="2:19" ht="15.75" hidden="1" thickBot="1">
      <c r="B51" s="50" t="s">
        <v>38</v>
      </c>
      <c r="C51" s="23"/>
      <c r="D51" s="24"/>
      <c r="E51" s="25"/>
      <c r="F51" s="73">
        <v>0.104</v>
      </c>
      <c r="G51" s="71">
        <v>0</v>
      </c>
      <c r="H51" s="68">
        <f t="shared" si="7"/>
        <v>0</v>
      </c>
      <c r="I51" s="29"/>
      <c r="J51" s="67">
        <v>0.104</v>
      </c>
      <c r="K51" s="71">
        <v>0</v>
      </c>
      <c r="L51" s="68">
        <f t="shared" si="8"/>
        <v>0</v>
      </c>
      <c r="M51" s="29"/>
      <c r="N51" s="32">
        <f t="shared" si="2"/>
        <v>0</v>
      </c>
      <c r="O51" s="70">
        <f t="shared" si="6"/>
      </c>
      <c r="S51" s="74"/>
    </row>
    <row r="52" spans="2:19" ht="15.75" hidden="1" thickBot="1">
      <c r="B52" s="13" t="s">
        <v>39</v>
      </c>
      <c r="C52" s="23"/>
      <c r="D52" s="24"/>
      <c r="E52" s="25"/>
      <c r="F52" s="73">
        <v>0.124</v>
      </c>
      <c r="G52" s="71">
        <v>0</v>
      </c>
      <c r="H52" s="68">
        <f t="shared" si="7"/>
        <v>0</v>
      </c>
      <c r="I52" s="29"/>
      <c r="J52" s="67">
        <v>0.124</v>
      </c>
      <c r="K52" s="71">
        <v>0</v>
      </c>
      <c r="L52" s="68">
        <f t="shared" si="8"/>
        <v>0</v>
      </c>
      <c r="M52" s="29"/>
      <c r="N52" s="32">
        <f t="shared" si="2"/>
        <v>0</v>
      </c>
      <c r="O52" s="70">
        <f t="shared" si="6"/>
      </c>
      <c r="S52" s="74"/>
    </row>
    <row r="53" spans="2:15" s="75" customFormat="1" ht="15.75" hidden="1" thickBot="1">
      <c r="B53" s="182" t="s">
        <v>40</v>
      </c>
      <c r="C53" s="77"/>
      <c r="D53" s="78"/>
      <c r="E53" s="79"/>
      <c r="F53" s="73">
        <v>0.075</v>
      </c>
      <c r="G53" s="80">
        <v>0</v>
      </c>
      <c r="H53" s="68">
        <f>G53*F53</f>
        <v>0</v>
      </c>
      <c r="I53" s="81"/>
      <c r="J53" s="67">
        <v>0.075</v>
      </c>
      <c r="K53" s="80">
        <f>G53</f>
        <v>0</v>
      </c>
      <c r="L53" s="68">
        <f>K53*J53</f>
        <v>0</v>
      </c>
      <c r="M53" s="81"/>
      <c r="N53" s="82">
        <f t="shared" si="2"/>
        <v>0</v>
      </c>
      <c r="O53" s="70">
        <f t="shared" si="6"/>
      </c>
    </row>
    <row r="54" spans="2:15" s="75" customFormat="1" ht="15.75" hidden="1" thickBot="1">
      <c r="B54" s="182" t="s">
        <v>41</v>
      </c>
      <c r="C54" s="77"/>
      <c r="D54" s="78"/>
      <c r="E54" s="79"/>
      <c r="F54" s="73">
        <v>0.088</v>
      </c>
      <c r="G54" s="80">
        <v>0</v>
      </c>
      <c r="H54" s="68">
        <f>G54*F54</f>
        <v>0</v>
      </c>
      <c r="I54" s="81"/>
      <c r="J54" s="67">
        <v>0.088</v>
      </c>
      <c r="K54" s="80">
        <f>G54</f>
        <v>0</v>
      </c>
      <c r="L54" s="68">
        <f>K54*J54</f>
        <v>0</v>
      </c>
      <c r="M54" s="81"/>
      <c r="N54" s="82">
        <f t="shared" si="2"/>
        <v>0</v>
      </c>
      <c r="O54" s="70">
        <f t="shared" si="6"/>
      </c>
    </row>
    <row r="55" spans="2:15" ht="8.25" customHeight="1" thickBot="1">
      <c r="B55" s="83"/>
      <c r="C55" s="84"/>
      <c r="D55" s="85"/>
      <c r="E55" s="84"/>
      <c r="F55" s="86"/>
      <c r="G55" s="87"/>
      <c r="H55" s="88"/>
      <c r="I55" s="89"/>
      <c r="J55" s="86"/>
      <c r="K55" s="90"/>
      <c r="L55" s="88"/>
      <c r="M55" s="89"/>
      <c r="N55" s="91"/>
      <c r="O55" s="92"/>
    </row>
    <row r="56" spans="2:19" ht="15" hidden="1">
      <c r="B56" s="93" t="s">
        <v>42</v>
      </c>
      <c r="C56" s="23"/>
      <c r="D56" s="23"/>
      <c r="E56" s="23"/>
      <c r="F56" s="94"/>
      <c r="G56" s="95"/>
      <c r="H56" s="96">
        <f>SUM(H46:H52,H45)</f>
        <v>4641.731905000001</v>
      </c>
      <c r="I56" s="97"/>
      <c r="J56" s="98"/>
      <c r="K56" s="98"/>
      <c r="L56" s="96">
        <f>SUM(L46:L52,L45)</f>
        <v>5054.465175</v>
      </c>
      <c r="M56" s="99"/>
      <c r="N56" s="100">
        <f>L56-H56</f>
        <v>412.7332699999997</v>
      </c>
      <c r="O56" s="101">
        <f>IF((H56)=0,"",(N56/H56))</f>
        <v>0.08891794667318247</v>
      </c>
      <c r="S56" s="74"/>
    </row>
    <row r="57" spans="2:19" ht="15" hidden="1">
      <c r="B57" s="102" t="s">
        <v>43</v>
      </c>
      <c r="C57" s="23"/>
      <c r="D57" s="23"/>
      <c r="E57" s="23"/>
      <c r="F57" s="103">
        <v>0.13</v>
      </c>
      <c r="G57" s="104"/>
      <c r="H57" s="105">
        <f>H56*F57</f>
        <v>603.4251476500001</v>
      </c>
      <c r="I57" s="106"/>
      <c r="J57" s="107">
        <v>0.13</v>
      </c>
      <c r="K57" s="106"/>
      <c r="L57" s="108">
        <f>L56*J57</f>
        <v>657.08047275</v>
      </c>
      <c r="M57" s="109"/>
      <c r="N57" s="110">
        <f t="shared" si="2"/>
        <v>53.655325099999914</v>
      </c>
      <c r="O57" s="111">
        <f t="shared" si="6"/>
        <v>0.08891794667318238</v>
      </c>
      <c r="S57" s="74"/>
    </row>
    <row r="58" spans="2:19" ht="15" hidden="1">
      <c r="B58" s="112" t="s">
        <v>44</v>
      </c>
      <c r="C58" s="23"/>
      <c r="D58" s="23"/>
      <c r="E58" s="23"/>
      <c r="F58" s="113"/>
      <c r="G58" s="104"/>
      <c r="H58" s="105">
        <f>H56+H57</f>
        <v>5245.157052650001</v>
      </c>
      <c r="I58" s="106"/>
      <c r="J58" s="106"/>
      <c r="K58" s="106"/>
      <c r="L58" s="108">
        <f>L56+L57</f>
        <v>5711.54564775</v>
      </c>
      <c r="M58" s="109"/>
      <c r="N58" s="110">
        <f t="shared" si="2"/>
        <v>466.3885950999993</v>
      </c>
      <c r="O58" s="111">
        <f t="shared" si="6"/>
        <v>0.08891794667318238</v>
      </c>
      <c r="S58" s="74"/>
    </row>
    <row r="59" spans="2:15" ht="15.75" customHeight="1" hidden="1">
      <c r="B59" s="333" t="s">
        <v>45</v>
      </c>
      <c r="C59" s="333"/>
      <c r="D59" s="333"/>
      <c r="E59" s="23"/>
      <c r="F59" s="113"/>
      <c r="G59" s="104"/>
      <c r="H59" s="114">
        <f>ROUND(-H58*10%,2)</f>
        <v>-524.52</v>
      </c>
      <c r="I59" s="106"/>
      <c r="J59" s="106"/>
      <c r="K59" s="106"/>
      <c r="L59" s="115">
        <f>ROUND(-L58*10%,2)</f>
        <v>-571.15</v>
      </c>
      <c r="M59" s="109"/>
      <c r="N59" s="116">
        <f t="shared" si="2"/>
        <v>-46.629999999999995</v>
      </c>
      <c r="O59" s="117">
        <f t="shared" si="6"/>
        <v>0.08890032791885914</v>
      </c>
    </row>
    <row r="60" spans="2:15" ht="15" hidden="1">
      <c r="B60" s="334" t="s">
        <v>46</v>
      </c>
      <c r="C60" s="334"/>
      <c r="D60" s="334"/>
      <c r="E60" s="118"/>
      <c r="F60" s="119"/>
      <c r="G60" s="120"/>
      <c r="H60" s="121">
        <f>H58+H59</f>
        <v>4720.637052650001</v>
      </c>
      <c r="I60" s="122"/>
      <c r="J60" s="122"/>
      <c r="K60" s="122"/>
      <c r="L60" s="123">
        <f>L58+L59</f>
        <v>5140.3956477500005</v>
      </c>
      <c r="M60" s="124"/>
      <c r="N60" s="125">
        <f t="shared" si="2"/>
        <v>419.7585950999992</v>
      </c>
      <c r="O60" s="126">
        <f t="shared" si="6"/>
        <v>0.08891990433036179</v>
      </c>
    </row>
    <row r="61" spans="2:15" s="75" customFormat="1" ht="8.25" customHeight="1" hidden="1">
      <c r="B61" s="127"/>
      <c r="C61" s="128"/>
      <c r="D61" s="129"/>
      <c r="E61" s="128"/>
      <c r="F61" s="86"/>
      <c r="G61" s="130"/>
      <c r="H61" s="88"/>
      <c r="I61" s="131"/>
      <c r="J61" s="86"/>
      <c r="K61" s="132"/>
      <c r="L61" s="88"/>
      <c r="M61" s="131"/>
      <c r="N61" s="133"/>
      <c r="O61" s="92"/>
    </row>
    <row r="62" spans="2:15" s="75" customFormat="1" ht="12.75">
      <c r="B62" s="134" t="s">
        <v>47</v>
      </c>
      <c r="C62" s="77"/>
      <c r="D62" s="77"/>
      <c r="E62" s="77"/>
      <c r="F62" s="135"/>
      <c r="G62" s="136"/>
      <c r="H62" s="137">
        <f>SUM(H50,H45,H46:H49)</f>
        <v>4641.731905</v>
      </c>
      <c r="I62" s="138"/>
      <c r="J62" s="139"/>
      <c r="K62" s="139"/>
      <c r="L62" s="191">
        <f>SUM(L50,L45,L46:L49)</f>
        <v>5054.465175</v>
      </c>
      <c r="M62" s="140"/>
      <c r="N62" s="141">
        <f>L62-H62</f>
        <v>412.73327000000063</v>
      </c>
      <c r="O62" s="101">
        <f>IF((H62)=0,"",(N62/H62))</f>
        <v>0.08891794667318269</v>
      </c>
    </row>
    <row r="63" spans="2:15" s="75" customFormat="1" ht="12.75">
      <c r="B63" s="142" t="s">
        <v>43</v>
      </c>
      <c r="C63" s="77"/>
      <c r="D63" s="77"/>
      <c r="E63" s="77"/>
      <c r="F63" s="143">
        <v>0.13</v>
      </c>
      <c r="G63" s="136"/>
      <c r="H63" s="144">
        <f>H62*F63</f>
        <v>603.42514765</v>
      </c>
      <c r="I63" s="145"/>
      <c r="J63" s="146">
        <v>0.13</v>
      </c>
      <c r="K63" s="147"/>
      <c r="L63" s="148">
        <f>L62*J63</f>
        <v>657.08047275</v>
      </c>
      <c r="M63" s="149"/>
      <c r="N63" s="150">
        <f>L63-H63</f>
        <v>53.65532510000003</v>
      </c>
      <c r="O63" s="111">
        <f>IF((H63)=0,"",(N63/H63))</f>
        <v>0.08891794667318259</v>
      </c>
    </row>
    <row r="64" spans="2:15" s="75" customFormat="1" ht="12.75">
      <c r="B64" s="151" t="s">
        <v>44</v>
      </c>
      <c r="C64" s="77"/>
      <c r="D64" s="77"/>
      <c r="E64" s="77"/>
      <c r="F64" s="152"/>
      <c r="G64" s="153"/>
      <c r="H64" s="144">
        <f>H62+H63</f>
        <v>5245.15705265</v>
      </c>
      <c r="I64" s="145"/>
      <c r="J64" s="145"/>
      <c r="K64" s="145"/>
      <c r="L64" s="148">
        <f>L62+L63</f>
        <v>5711.54564775</v>
      </c>
      <c r="M64" s="149"/>
      <c r="N64" s="150">
        <f>L64-H64</f>
        <v>466.3885951000002</v>
      </c>
      <c r="O64" s="111">
        <f>IF((H64)=0,"",(N64/H64))</f>
        <v>0.08891794667318258</v>
      </c>
    </row>
    <row r="65" spans="2:15" s="75" customFormat="1" ht="15.75" customHeight="1">
      <c r="B65" s="335" t="s">
        <v>45</v>
      </c>
      <c r="C65" s="335"/>
      <c r="D65" s="335"/>
      <c r="E65" s="77"/>
      <c r="F65" s="152"/>
      <c r="G65" s="153"/>
      <c r="H65" s="256">
        <f>ROUND(-H64*10%,2)</f>
        <v>-524.52</v>
      </c>
      <c r="I65" s="145"/>
      <c r="J65" s="145"/>
      <c r="K65" s="145"/>
      <c r="L65" s="257">
        <f>ROUND(-L64*10%,2)</f>
        <v>-571.15</v>
      </c>
      <c r="M65" s="149"/>
      <c r="N65" s="258">
        <f>L65-H65</f>
        <v>-46.629999999999995</v>
      </c>
      <c r="O65" s="117">
        <f>IF((H65)=0,"",(N65/H65))</f>
        <v>0.08890032791885914</v>
      </c>
    </row>
    <row r="66" spans="2:15" s="75" customFormat="1" ht="13.5" thickBot="1">
      <c r="B66" s="326" t="s">
        <v>48</v>
      </c>
      <c r="C66" s="326"/>
      <c r="D66" s="326"/>
      <c r="E66" s="157"/>
      <c r="F66" s="158"/>
      <c r="G66" s="159"/>
      <c r="H66" s="160">
        <f>SUM(H64:H65)</f>
        <v>4720.6370526499995</v>
      </c>
      <c r="I66" s="161"/>
      <c r="J66" s="161"/>
      <c r="K66" s="161"/>
      <c r="L66" s="162">
        <f>SUM(L64:L65)</f>
        <v>5140.3956477500005</v>
      </c>
      <c r="M66" s="163"/>
      <c r="N66" s="164">
        <f>L66-H66</f>
        <v>419.758595100001</v>
      </c>
      <c r="O66" s="165">
        <f>IF((H66)=0,"",(N66/H66))</f>
        <v>0.08891990433036222</v>
      </c>
    </row>
    <row r="67" spans="2:15" s="75" customFormat="1" ht="8.25" customHeight="1" thickBot="1">
      <c r="B67" s="127"/>
      <c r="C67" s="128"/>
      <c r="D67" s="129"/>
      <c r="E67" s="128"/>
      <c r="F67" s="166"/>
      <c r="G67" s="167"/>
      <c r="H67" s="168"/>
      <c r="I67" s="169"/>
      <c r="J67" s="166"/>
      <c r="K67" s="130"/>
      <c r="L67" s="170"/>
      <c r="M67" s="131"/>
      <c r="N67" s="171"/>
      <c r="O67" s="92"/>
    </row>
    <row r="68" ht="10.5" customHeight="1">
      <c r="L68" s="74"/>
    </row>
    <row r="69" spans="2:10" ht="15">
      <c r="B69" s="14" t="s">
        <v>49</v>
      </c>
      <c r="F69" s="172">
        <v>0.0335</v>
      </c>
      <c r="J69" s="172">
        <v>0.0335</v>
      </c>
    </row>
    <row r="70" ht="10.5" customHeight="1"/>
    <row r="71" ht="15">
      <c r="A71" s="173" t="s">
        <v>50</v>
      </c>
    </row>
    <row r="72" ht="10.5" customHeight="1"/>
    <row r="73" ht="15">
      <c r="A73" s="8" t="s">
        <v>51</v>
      </c>
    </row>
    <row r="74" ht="15">
      <c r="A74" s="8" t="s">
        <v>52</v>
      </c>
    </row>
    <row r="76" ht="15">
      <c r="A76" s="13" t="s">
        <v>53</v>
      </c>
    </row>
    <row r="77" ht="15">
      <c r="A77" s="13" t="s">
        <v>54</v>
      </c>
    </row>
    <row r="79" ht="15">
      <c r="A79" s="8" t="s">
        <v>55</v>
      </c>
    </row>
    <row r="80" ht="15">
      <c r="A80" s="8" t="s">
        <v>56</v>
      </c>
    </row>
    <row r="81" ht="15">
      <c r="A81" s="8" t="s">
        <v>57</v>
      </c>
    </row>
    <row r="82" ht="15">
      <c r="A82" s="8" t="s">
        <v>58</v>
      </c>
    </row>
    <row r="83" ht="15">
      <c r="A83" s="8" t="s">
        <v>59</v>
      </c>
    </row>
    <row r="85" spans="1:2" ht="15">
      <c r="A85" s="174"/>
      <c r="B85" s="8" t="s">
        <v>60</v>
      </c>
    </row>
  </sheetData>
  <sheetProtection/>
  <mergeCells count="21">
    <mergeCell ref="N6:O6"/>
    <mergeCell ref="N5:O5"/>
    <mergeCell ref="B65:D65"/>
    <mergeCell ref="J20:L20"/>
    <mergeCell ref="B60:D60"/>
    <mergeCell ref="F20:H20"/>
    <mergeCell ref="N7:O7"/>
    <mergeCell ref="B11:O11"/>
    <mergeCell ref="N20:O20"/>
    <mergeCell ref="D14:O14"/>
    <mergeCell ref="B10:O10"/>
    <mergeCell ref="N1:O1"/>
    <mergeCell ref="N2:O2"/>
    <mergeCell ref="N3:O3"/>
    <mergeCell ref="N4:O4"/>
    <mergeCell ref="A3:K3"/>
    <mergeCell ref="B66:D66"/>
    <mergeCell ref="D21:D22"/>
    <mergeCell ref="N21:N22"/>
    <mergeCell ref="O21:O22"/>
    <mergeCell ref="B59:D59"/>
  </mergeCells>
  <dataValidations count="4">
    <dataValidation type="list" allowBlank="1" showInputMessage="1" showErrorMessage="1" sqref="E43:E44 E35:E41 E55 E46:E52 E23:E33">
      <formula1>'GS 50-999 (100kW)'!#REF!</formula1>
    </dataValidation>
    <dataValidation type="list" allowBlank="1" showInputMessage="1" showErrorMessage="1" prompt="Select Charge Unit - monthly, per kWh, per kW" sqref="D43:D44 D35:D41 D61 D46:D55 D67 D23:D33">
      <formula1>"Monthly, per kWh, per kW"</formula1>
    </dataValidation>
    <dataValidation type="list" allowBlank="1" showInputMessage="1" showErrorMessage="1" sqref="E67 E61 E53:E54">
      <formula1>'GS 50-999 (100kW)'!#REF!</formula1>
    </dataValidation>
    <dataValidation type="list" allowBlank="1" showInputMessage="1" showErrorMessage="1" sqref="D16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8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92"/>
  <sheetViews>
    <sheetView showGridLines="0" zoomScalePageLayoutView="0" workbookViewId="0" topLeftCell="A13">
      <selection activeCell="F31" sqref="F31"/>
    </sheetView>
  </sheetViews>
  <sheetFormatPr defaultColWidth="9.140625" defaultRowHeight="15"/>
  <cols>
    <col min="1" max="1" width="2.140625" style="8" customWidth="1"/>
    <col min="2" max="2" width="44.5742187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8.57421875" style="8" customWidth="1"/>
    <col min="8" max="8" width="12.28125" style="8" bestFit="1" customWidth="1"/>
    <col min="9" max="9" width="2.8515625" style="8" customWidth="1"/>
    <col min="10" max="10" width="12.140625" style="8" customWidth="1"/>
    <col min="11" max="11" width="8.57421875" style="8" customWidth="1"/>
    <col min="12" max="12" width="11.57421875" style="8" bestFit="1" customWidth="1"/>
    <col min="13" max="13" width="2.8515625" style="8" customWidth="1"/>
    <col min="14" max="14" width="12.7109375" style="8" bestFit="1" customWidth="1"/>
    <col min="15" max="15" width="12.8515625" style="8" customWidth="1"/>
    <col min="16" max="16" width="3.851562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42" t="str">
        <f>EBNUMBER</f>
        <v>EB-2013-0116</v>
      </c>
      <c r="O1" s="342"/>
      <c r="T1" s="2">
        <v>1</v>
      </c>
    </row>
    <row r="2" spans="1:15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343">
        <v>8</v>
      </c>
      <c r="O2" s="343"/>
    </row>
    <row r="3" spans="1:15" s="2" customFormat="1" ht="15" customHeight="1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" t="s">
        <v>79</v>
      </c>
      <c r="N3" s="344" t="s">
        <v>80</v>
      </c>
      <c r="O3" s="344"/>
    </row>
    <row r="4" spans="1:15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343">
        <v>15</v>
      </c>
      <c r="O4" s="343"/>
    </row>
    <row r="5" spans="3:15" s="2" customFormat="1" ht="15" customHeight="1">
      <c r="C5" s="7"/>
      <c r="D5" s="7"/>
      <c r="E5" s="7"/>
      <c r="L5" s="3" t="s">
        <v>81</v>
      </c>
      <c r="N5" s="345" t="s">
        <v>97</v>
      </c>
      <c r="O5" s="345"/>
    </row>
    <row r="6" spans="12:15" s="2" customFormat="1" ht="9" customHeight="1">
      <c r="L6" s="3"/>
      <c r="N6" s="4"/>
      <c r="O6" s="193"/>
    </row>
    <row r="7" spans="12:15" s="2" customFormat="1" ht="15">
      <c r="L7" s="3" t="s">
        <v>83</v>
      </c>
      <c r="N7" s="346">
        <v>41575</v>
      </c>
      <c r="O7" s="346"/>
    </row>
    <row r="8" spans="14:16" s="2" customFormat="1" ht="15" customHeight="1">
      <c r="N8" s="8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337" t="s">
        <v>3</v>
      </c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/>
    </row>
    <row r="11" spans="2:16" ht="18.75" customHeight="1">
      <c r="B11" s="337" t="s">
        <v>4</v>
      </c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338" t="s">
        <v>73</v>
      </c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69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9" ht="15">
      <c r="B18" s="13"/>
      <c r="D18" s="14" t="s">
        <v>8</v>
      </c>
      <c r="E18" s="14"/>
      <c r="F18" s="15">
        <v>400000</v>
      </c>
      <c r="G18" s="14" t="s">
        <v>9</v>
      </c>
      <c r="H18" s="15">
        <v>1000</v>
      </c>
      <c r="I18" s="14" t="s">
        <v>71</v>
      </c>
    </row>
    <row r="19" ht="15">
      <c r="B19" s="13"/>
    </row>
    <row r="20" spans="2:15" ht="15">
      <c r="B20" s="13"/>
      <c r="D20" s="16"/>
      <c r="E20" s="16"/>
      <c r="F20" s="339" t="s">
        <v>10</v>
      </c>
      <c r="G20" s="340"/>
      <c r="H20" s="341"/>
      <c r="J20" s="339" t="s">
        <v>11</v>
      </c>
      <c r="K20" s="340"/>
      <c r="L20" s="341"/>
      <c r="N20" s="339" t="s">
        <v>12</v>
      </c>
      <c r="O20" s="341"/>
    </row>
    <row r="21" spans="2:15" ht="15">
      <c r="B21" s="13"/>
      <c r="D21" s="327" t="s">
        <v>13</v>
      </c>
      <c r="E21" s="17"/>
      <c r="F21" s="18" t="s">
        <v>14</v>
      </c>
      <c r="G21" s="18" t="s">
        <v>15</v>
      </c>
      <c r="H21" s="19" t="s">
        <v>16</v>
      </c>
      <c r="J21" s="18" t="s">
        <v>14</v>
      </c>
      <c r="K21" s="20" t="s">
        <v>15</v>
      </c>
      <c r="L21" s="19" t="s">
        <v>16</v>
      </c>
      <c r="N21" s="329" t="s">
        <v>17</v>
      </c>
      <c r="O21" s="331" t="s">
        <v>18</v>
      </c>
    </row>
    <row r="22" spans="2:15" ht="15">
      <c r="B22" s="13"/>
      <c r="D22" s="328"/>
      <c r="E22" s="17"/>
      <c r="F22" s="21" t="s">
        <v>19</v>
      </c>
      <c r="G22" s="21"/>
      <c r="H22" s="22" t="s">
        <v>19</v>
      </c>
      <c r="J22" s="21" t="s">
        <v>19</v>
      </c>
      <c r="K22" s="22"/>
      <c r="L22" s="22" t="s">
        <v>19</v>
      </c>
      <c r="N22" s="330"/>
      <c r="O22" s="332"/>
    </row>
    <row r="23" spans="2:15" ht="22.5" customHeight="1">
      <c r="B23" s="23" t="s">
        <v>20</v>
      </c>
      <c r="C23" s="23"/>
      <c r="D23" s="24" t="s">
        <v>62</v>
      </c>
      <c r="E23" s="25"/>
      <c r="F23" s="176">
        <v>991.12</v>
      </c>
      <c r="G23" s="27">
        <v>1</v>
      </c>
      <c r="H23" s="28">
        <f>G23*F23</f>
        <v>991.12</v>
      </c>
      <c r="I23" s="29"/>
      <c r="J23" s="175">
        <v>1005</v>
      </c>
      <c r="K23" s="31">
        <v>1</v>
      </c>
      <c r="L23" s="28">
        <f>K23*J23</f>
        <v>1005</v>
      </c>
      <c r="M23" s="29"/>
      <c r="N23" s="32">
        <f>L23-H23</f>
        <v>13.879999999999995</v>
      </c>
      <c r="O23" s="33">
        <f>IF((H23)=0,"",(N23/H23))</f>
        <v>0.014004358705303087</v>
      </c>
    </row>
    <row r="24" spans="2:15" ht="22.5" customHeight="1">
      <c r="B24" s="23" t="s">
        <v>102</v>
      </c>
      <c r="C24" s="23"/>
      <c r="D24" s="24" t="s">
        <v>62</v>
      </c>
      <c r="E24" s="25"/>
      <c r="F24" s="176">
        <v>0</v>
      </c>
      <c r="G24" s="27">
        <v>1</v>
      </c>
      <c r="H24" s="249">
        <f>G24*F24</f>
        <v>0</v>
      </c>
      <c r="I24" s="29"/>
      <c r="J24" s="175">
        <v>0</v>
      </c>
      <c r="K24" s="31">
        <v>1</v>
      </c>
      <c r="L24" s="28">
        <f>K24*J24</f>
        <v>0</v>
      </c>
      <c r="M24" s="29"/>
      <c r="N24" s="259">
        <f>L24-H24</f>
        <v>0</v>
      </c>
      <c r="O24" s="33">
        <f>IF((H24)=0,"",(N24/H24))</f>
      </c>
    </row>
    <row r="25" spans="2:15" ht="36.75" customHeight="1">
      <c r="B25" s="66" t="s">
        <v>125</v>
      </c>
      <c r="C25" s="23"/>
      <c r="D25" s="57" t="s">
        <v>62</v>
      </c>
      <c r="E25" s="25"/>
      <c r="F25" s="272">
        <v>0</v>
      </c>
      <c r="G25" s="27">
        <v>1</v>
      </c>
      <c r="H25" s="249">
        <f>G25*F25</f>
        <v>0</v>
      </c>
      <c r="I25" s="29"/>
      <c r="J25" s="30">
        <f>'GS 50-999 (60kW)'!J25</f>
        <v>0.79</v>
      </c>
      <c r="K25" s="31">
        <v>1</v>
      </c>
      <c r="L25" s="249">
        <f>K25*J25</f>
        <v>0.79</v>
      </c>
      <c r="M25" s="29"/>
      <c r="N25" s="32">
        <f>L25-H25</f>
        <v>0.79</v>
      </c>
      <c r="O25" s="250">
        <f>IF((H25)=0,"",(N25/H25))</f>
      </c>
    </row>
    <row r="26" spans="2:15" ht="15" hidden="1">
      <c r="B26" s="177"/>
      <c r="C26" s="23"/>
      <c r="D26" s="57" t="s">
        <v>62</v>
      </c>
      <c r="E26" s="58"/>
      <c r="F26" s="175"/>
      <c r="G26" s="27">
        <v>1</v>
      </c>
      <c r="H26" s="28">
        <f aca="true" t="shared" si="0" ref="H26:H40">G26*F26</f>
        <v>0</v>
      </c>
      <c r="I26" s="29"/>
      <c r="J26" s="30"/>
      <c r="K26" s="31">
        <v>1</v>
      </c>
      <c r="L26" s="28">
        <f aca="true" t="shared" si="1" ref="L26:L40">K26*J26</f>
        <v>0</v>
      </c>
      <c r="M26" s="29"/>
      <c r="N26" s="32">
        <f aca="true" t="shared" si="2" ref="N26:N41">L26-H26</f>
        <v>0</v>
      </c>
      <c r="O26" s="33">
        <f aca="true" t="shared" si="3" ref="O26:O41">IF((H26)=0,"",(N26/H26))</f>
      </c>
    </row>
    <row r="27" spans="2:15" ht="15" hidden="1">
      <c r="B27" s="177"/>
      <c r="C27" s="23"/>
      <c r="D27" s="57" t="s">
        <v>62</v>
      </c>
      <c r="E27" s="25"/>
      <c r="F27" s="26"/>
      <c r="G27" s="27">
        <v>1</v>
      </c>
      <c r="H27" s="28">
        <f t="shared" si="0"/>
        <v>0</v>
      </c>
      <c r="I27" s="29"/>
      <c r="J27" s="175"/>
      <c r="K27" s="31">
        <v>1</v>
      </c>
      <c r="L27" s="28">
        <f t="shared" si="1"/>
        <v>0</v>
      </c>
      <c r="M27" s="29"/>
      <c r="N27" s="32">
        <f t="shared" si="2"/>
        <v>0</v>
      </c>
      <c r="O27" s="33">
        <f t="shared" si="3"/>
      </c>
    </row>
    <row r="28" spans="2:15" ht="15">
      <c r="B28" s="47" t="s">
        <v>66</v>
      </c>
      <c r="C28" s="23"/>
      <c r="D28" s="24" t="s">
        <v>72</v>
      </c>
      <c r="E28" s="25"/>
      <c r="F28" s="26">
        <v>0</v>
      </c>
      <c r="G28" s="181">
        <f>$H$18</f>
        <v>1000</v>
      </c>
      <c r="H28" s="28">
        <f t="shared" si="0"/>
        <v>0</v>
      </c>
      <c r="I28" s="29"/>
      <c r="J28" s="30"/>
      <c r="K28" s="181">
        <f>$H$18</f>
        <v>1000</v>
      </c>
      <c r="L28" s="28">
        <f t="shared" si="1"/>
        <v>0</v>
      </c>
      <c r="M28" s="29"/>
      <c r="N28" s="32">
        <f t="shared" si="2"/>
        <v>0</v>
      </c>
      <c r="O28" s="33">
        <f t="shared" si="3"/>
      </c>
    </row>
    <row r="29" spans="2:15" ht="15">
      <c r="B29" s="47" t="s">
        <v>67</v>
      </c>
      <c r="C29" s="23"/>
      <c r="D29" s="24" t="s">
        <v>72</v>
      </c>
      <c r="E29" s="25"/>
      <c r="F29" s="253">
        <v>-1.6537</v>
      </c>
      <c r="G29" s="181">
        <f>$H$18</f>
        <v>1000</v>
      </c>
      <c r="H29" s="28">
        <f t="shared" si="0"/>
        <v>-1653.7</v>
      </c>
      <c r="I29" s="29"/>
      <c r="J29" s="30">
        <v>0</v>
      </c>
      <c r="K29" s="181">
        <f>$H$18</f>
        <v>1000</v>
      </c>
      <c r="L29" s="28">
        <f t="shared" si="1"/>
        <v>0</v>
      </c>
      <c r="M29" s="29"/>
      <c r="N29" s="32">
        <f t="shared" si="2"/>
        <v>1653.7</v>
      </c>
      <c r="O29" s="33">
        <f t="shared" si="3"/>
        <v>-1</v>
      </c>
    </row>
    <row r="30" spans="2:15" ht="15">
      <c r="B30" s="47" t="s">
        <v>103</v>
      </c>
      <c r="C30" s="23"/>
      <c r="D30" s="24" t="s">
        <v>72</v>
      </c>
      <c r="E30" s="25"/>
      <c r="F30" s="26">
        <v>0</v>
      </c>
      <c r="G30" s="181">
        <f>$H$18</f>
        <v>1000</v>
      </c>
      <c r="H30" s="249">
        <f>G30*F30</f>
        <v>0</v>
      </c>
      <c r="I30" s="29"/>
      <c r="J30" s="30">
        <v>0</v>
      </c>
      <c r="K30" s="181">
        <f>H18</f>
        <v>1000</v>
      </c>
      <c r="L30" s="28">
        <f t="shared" si="1"/>
        <v>0</v>
      </c>
      <c r="M30" s="29"/>
      <c r="N30" s="259">
        <f t="shared" si="2"/>
        <v>0</v>
      </c>
      <c r="O30" s="33"/>
    </row>
    <row r="31" spans="2:15" ht="15">
      <c r="B31" s="23" t="s">
        <v>21</v>
      </c>
      <c r="C31" s="23"/>
      <c r="D31" s="24" t="s">
        <v>72</v>
      </c>
      <c r="E31" s="25"/>
      <c r="F31" s="26">
        <v>3.4499</v>
      </c>
      <c r="G31" s="181">
        <f>$H$18</f>
        <v>1000</v>
      </c>
      <c r="H31" s="28">
        <f t="shared" si="0"/>
        <v>3449.9</v>
      </c>
      <c r="I31" s="29"/>
      <c r="J31" s="30">
        <v>3.4982</v>
      </c>
      <c r="K31" s="181">
        <f>$H$18</f>
        <v>1000</v>
      </c>
      <c r="L31" s="28">
        <f t="shared" si="1"/>
        <v>3498.2000000000003</v>
      </c>
      <c r="M31" s="29"/>
      <c r="N31" s="32">
        <f t="shared" si="2"/>
        <v>48.30000000000018</v>
      </c>
      <c r="O31" s="33">
        <f t="shared" si="3"/>
        <v>0.014000405808864077</v>
      </c>
    </row>
    <row r="32" spans="2:15" ht="15">
      <c r="B32" s="23" t="s">
        <v>22</v>
      </c>
      <c r="C32" s="23"/>
      <c r="D32" s="24"/>
      <c r="E32" s="25"/>
      <c r="F32" s="26"/>
      <c r="G32" s="27">
        <f>$F$18</f>
        <v>400000</v>
      </c>
      <c r="H32" s="28">
        <f t="shared" si="0"/>
        <v>0</v>
      </c>
      <c r="I32" s="29"/>
      <c r="J32" s="30"/>
      <c r="K32" s="27">
        <f aca="true" t="shared" si="4" ref="K32:K40">$F$18</f>
        <v>400000</v>
      </c>
      <c r="L32" s="28">
        <f t="shared" si="1"/>
        <v>0</v>
      </c>
      <c r="M32" s="29"/>
      <c r="N32" s="32">
        <f t="shared" si="2"/>
        <v>0</v>
      </c>
      <c r="O32" s="33">
        <f t="shared" si="3"/>
      </c>
    </row>
    <row r="33" spans="2:15" ht="15">
      <c r="B33" s="23" t="s">
        <v>124</v>
      </c>
      <c r="C33" s="23"/>
      <c r="D33" s="24" t="s">
        <v>72</v>
      </c>
      <c r="E33" s="25"/>
      <c r="F33" s="26">
        <v>0</v>
      </c>
      <c r="G33" s="181">
        <f>$H$18</f>
        <v>1000</v>
      </c>
      <c r="H33" s="249">
        <f t="shared" si="0"/>
        <v>0</v>
      </c>
      <c r="I33" s="29"/>
      <c r="J33" s="30">
        <v>0.0577</v>
      </c>
      <c r="K33" s="181">
        <f>$H$18</f>
        <v>1000</v>
      </c>
      <c r="L33" s="249">
        <f t="shared" si="1"/>
        <v>57.7</v>
      </c>
      <c r="M33" s="29"/>
      <c r="N33" s="32">
        <f t="shared" si="2"/>
        <v>57.7</v>
      </c>
      <c r="O33" s="250">
        <f t="shared" si="3"/>
      </c>
    </row>
    <row r="34" spans="2:15" ht="15" hidden="1">
      <c r="B34" s="34"/>
      <c r="C34" s="23"/>
      <c r="D34" s="24"/>
      <c r="E34" s="25"/>
      <c r="F34" s="26"/>
      <c r="G34" s="27">
        <f aca="true" t="shared" si="5" ref="G34:G40">$F$18</f>
        <v>400000</v>
      </c>
      <c r="H34" s="28">
        <f t="shared" si="0"/>
        <v>0</v>
      </c>
      <c r="I34" s="29"/>
      <c r="J34" s="30"/>
      <c r="K34" s="27">
        <f t="shared" si="4"/>
        <v>400000</v>
      </c>
      <c r="L34" s="28">
        <f t="shared" si="1"/>
        <v>0</v>
      </c>
      <c r="M34" s="29"/>
      <c r="N34" s="32">
        <f t="shared" si="2"/>
        <v>0</v>
      </c>
      <c r="O34" s="33">
        <f t="shared" si="3"/>
      </c>
    </row>
    <row r="35" spans="2:15" ht="15" hidden="1">
      <c r="B35" s="34"/>
      <c r="C35" s="23"/>
      <c r="D35" s="24"/>
      <c r="E35" s="25"/>
      <c r="F35" s="26"/>
      <c r="G35" s="27">
        <f t="shared" si="5"/>
        <v>400000</v>
      </c>
      <c r="H35" s="28">
        <f t="shared" si="0"/>
        <v>0</v>
      </c>
      <c r="I35" s="29"/>
      <c r="J35" s="30"/>
      <c r="K35" s="27">
        <f t="shared" si="4"/>
        <v>400000</v>
      </c>
      <c r="L35" s="28">
        <f t="shared" si="1"/>
        <v>0</v>
      </c>
      <c r="M35" s="29"/>
      <c r="N35" s="32">
        <f t="shared" si="2"/>
        <v>0</v>
      </c>
      <c r="O35" s="33">
        <f t="shared" si="3"/>
      </c>
    </row>
    <row r="36" spans="2:15" ht="15" hidden="1">
      <c r="B36" s="34"/>
      <c r="C36" s="23"/>
      <c r="D36" s="24"/>
      <c r="E36" s="25"/>
      <c r="F36" s="26"/>
      <c r="G36" s="27">
        <f t="shared" si="5"/>
        <v>400000</v>
      </c>
      <c r="H36" s="28">
        <f t="shared" si="0"/>
        <v>0</v>
      </c>
      <c r="I36" s="29"/>
      <c r="J36" s="30"/>
      <c r="K36" s="27">
        <f t="shared" si="4"/>
        <v>400000</v>
      </c>
      <c r="L36" s="28">
        <f t="shared" si="1"/>
        <v>0</v>
      </c>
      <c r="M36" s="29"/>
      <c r="N36" s="32">
        <f t="shared" si="2"/>
        <v>0</v>
      </c>
      <c r="O36" s="33">
        <f t="shared" si="3"/>
      </c>
    </row>
    <row r="37" spans="2:15" ht="15" hidden="1">
      <c r="B37" s="34"/>
      <c r="C37" s="23"/>
      <c r="D37" s="24"/>
      <c r="E37" s="25"/>
      <c r="F37" s="26"/>
      <c r="G37" s="27">
        <f t="shared" si="5"/>
        <v>400000</v>
      </c>
      <c r="H37" s="28">
        <f t="shared" si="0"/>
        <v>0</v>
      </c>
      <c r="I37" s="29"/>
      <c r="J37" s="30"/>
      <c r="K37" s="27">
        <f t="shared" si="4"/>
        <v>400000</v>
      </c>
      <c r="L37" s="28">
        <f t="shared" si="1"/>
        <v>0</v>
      </c>
      <c r="M37" s="29"/>
      <c r="N37" s="32">
        <f t="shared" si="2"/>
        <v>0</v>
      </c>
      <c r="O37" s="33">
        <f t="shared" si="3"/>
      </c>
    </row>
    <row r="38" spans="2:15" ht="15" hidden="1">
      <c r="B38" s="34"/>
      <c r="C38" s="23"/>
      <c r="D38" s="24"/>
      <c r="E38" s="25"/>
      <c r="F38" s="26"/>
      <c r="G38" s="27">
        <f t="shared" si="5"/>
        <v>400000</v>
      </c>
      <c r="H38" s="28">
        <f t="shared" si="0"/>
        <v>0</v>
      </c>
      <c r="I38" s="29"/>
      <c r="J38" s="30"/>
      <c r="K38" s="27">
        <f t="shared" si="4"/>
        <v>400000</v>
      </c>
      <c r="L38" s="28">
        <f t="shared" si="1"/>
        <v>0</v>
      </c>
      <c r="M38" s="29"/>
      <c r="N38" s="32">
        <f t="shared" si="2"/>
        <v>0</v>
      </c>
      <c r="O38" s="33">
        <f t="shared" si="3"/>
      </c>
    </row>
    <row r="39" spans="2:15" ht="15" hidden="1">
      <c r="B39" s="34"/>
      <c r="C39" s="23"/>
      <c r="D39" s="24"/>
      <c r="E39" s="25"/>
      <c r="F39" s="26"/>
      <c r="G39" s="27">
        <f t="shared" si="5"/>
        <v>400000</v>
      </c>
      <c r="H39" s="28">
        <f t="shared" si="0"/>
        <v>0</v>
      </c>
      <c r="I39" s="29"/>
      <c r="J39" s="30"/>
      <c r="K39" s="27">
        <f t="shared" si="4"/>
        <v>400000</v>
      </c>
      <c r="L39" s="28">
        <f t="shared" si="1"/>
        <v>0</v>
      </c>
      <c r="M39" s="29"/>
      <c r="N39" s="32">
        <f t="shared" si="2"/>
        <v>0</v>
      </c>
      <c r="O39" s="33">
        <f t="shared" si="3"/>
      </c>
    </row>
    <row r="40" spans="2:15" ht="15" hidden="1">
      <c r="B40" s="34"/>
      <c r="C40" s="23"/>
      <c r="D40" s="24"/>
      <c r="E40" s="25"/>
      <c r="F40" s="26"/>
      <c r="G40" s="27">
        <f t="shared" si="5"/>
        <v>400000</v>
      </c>
      <c r="H40" s="28">
        <f t="shared" si="0"/>
        <v>0</v>
      </c>
      <c r="I40" s="29"/>
      <c r="J40" s="30"/>
      <c r="K40" s="27">
        <f t="shared" si="4"/>
        <v>400000</v>
      </c>
      <c r="L40" s="28">
        <f t="shared" si="1"/>
        <v>0</v>
      </c>
      <c r="M40" s="29"/>
      <c r="N40" s="32">
        <f t="shared" si="2"/>
        <v>0</v>
      </c>
      <c r="O40" s="33">
        <f t="shared" si="3"/>
      </c>
    </row>
    <row r="41" spans="2:15" s="35" customFormat="1" ht="15">
      <c r="B41" s="36" t="s">
        <v>24</v>
      </c>
      <c r="C41" s="37"/>
      <c r="D41" s="38"/>
      <c r="E41" s="37"/>
      <c r="F41" s="39"/>
      <c r="G41" s="40"/>
      <c r="H41" s="41">
        <f>SUM(H23:H40)</f>
        <v>2787.32</v>
      </c>
      <c r="I41" s="42"/>
      <c r="J41" s="43"/>
      <c r="K41" s="44"/>
      <c r="L41" s="41">
        <f>SUM(L23:L40)</f>
        <v>4561.69</v>
      </c>
      <c r="M41" s="42"/>
      <c r="N41" s="45">
        <f t="shared" si="2"/>
        <v>1774.3699999999994</v>
      </c>
      <c r="O41" s="46">
        <f t="shared" si="3"/>
        <v>0.6365863984042016</v>
      </c>
    </row>
    <row r="42" spans="2:15" ht="25.5">
      <c r="B42" s="47" t="s">
        <v>25</v>
      </c>
      <c r="C42" s="23"/>
      <c r="D42" s="57" t="s">
        <v>72</v>
      </c>
      <c r="E42" s="58"/>
      <c r="F42" s="254">
        <v>-0.7587</v>
      </c>
      <c r="G42" s="181">
        <f>G31</f>
        <v>1000</v>
      </c>
      <c r="H42" s="28">
        <f aca="true" t="shared" si="6" ref="H42:H48">G42*F42</f>
        <v>-758.7</v>
      </c>
      <c r="I42" s="29"/>
      <c r="J42" s="254">
        <v>-0.7302</v>
      </c>
      <c r="K42" s="181">
        <f>H18</f>
        <v>1000</v>
      </c>
      <c r="L42" s="28">
        <f aca="true" t="shared" si="7" ref="L42:L48">K42*J42</f>
        <v>-730.1999999999999</v>
      </c>
      <c r="M42" s="29"/>
      <c r="N42" s="32">
        <f aca="true" t="shared" si="8" ref="N42:N48">L42-H42</f>
        <v>28.500000000000114</v>
      </c>
      <c r="O42" s="33">
        <f aca="true" t="shared" si="9" ref="O42:O47">IF((H42)=0,"",(N42/H42))</f>
        <v>-0.03756425464610533</v>
      </c>
    </row>
    <row r="43" spans="2:15" ht="15" hidden="1">
      <c r="B43" s="47"/>
      <c r="C43" s="23"/>
      <c r="D43" s="24" t="s">
        <v>72</v>
      </c>
      <c r="E43" s="25"/>
      <c r="F43" s="26"/>
      <c r="G43" s="181">
        <f>H18</f>
        <v>1000</v>
      </c>
      <c r="H43" s="28">
        <f t="shared" si="6"/>
        <v>0</v>
      </c>
      <c r="I43" s="48"/>
      <c r="J43" s="30"/>
      <c r="K43" s="181">
        <f>H18</f>
        <v>1000</v>
      </c>
      <c r="L43" s="28">
        <f t="shared" si="7"/>
        <v>0</v>
      </c>
      <c r="M43" s="49"/>
      <c r="N43" s="32">
        <f t="shared" si="8"/>
        <v>0</v>
      </c>
      <c r="O43" s="33">
        <f t="shared" si="9"/>
      </c>
    </row>
    <row r="44" spans="2:15" ht="15" hidden="1">
      <c r="B44" s="47"/>
      <c r="C44" s="23"/>
      <c r="D44" s="24" t="s">
        <v>72</v>
      </c>
      <c r="E44" s="25"/>
      <c r="F44" s="26"/>
      <c r="G44" s="181">
        <f>H18</f>
        <v>1000</v>
      </c>
      <c r="H44" s="28">
        <f t="shared" si="6"/>
        <v>0</v>
      </c>
      <c r="I44" s="48"/>
      <c r="J44" s="30"/>
      <c r="K44" s="181">
        <f>H18</f>
        <v>1000</v>
      </c>
      <c r="L44" s="28">
        <f t="shared" si="7"/>
        <v>0</v>
      </c>
      <c r="M44" s="49"/>
      <c r="N44" s="32">
        <f t="shared" si="8"/>
        <v>0</v>
      </c>
      <c r="O44" s="33">
        <f t="shared" si="9"/>
      </c>
    </row>
    <row r="45" spans="2:15" ht="30.75" customHeight="1">
      <c r="B45" s="47" t="s">
        <v>78</v>
      </c>
      <c r="C45" s="23"/>
      <c r="D45" s="24" t="s">
        <v>72</v>
      </c>
      <c r="E45" s="25"/>
      <c r="F45" s="254">
        <v>-2.0161</v>
      </c>
      <c r="G45" s="181">
        <f>H18</f>
        <v>1000</v>
      </c>
      <c r="H45" s="28">
        <f t="shared" si="6"/>
        <v>-2016.0999999999997</v>
      </c>
      <c r="I45" s="48"/>
      <c r="J45" s="30">
        <v>1.4728</v>
      </c>
      <c r="K45" s="181">
        <f>H18</f>
        <v>1000</v>
      </c>
      <c r="L45" s="28">
        <f t="shared" si="7"/>
        <v>1472.8000000000002</v>
      </c>
      <c r="M45" s="49"/>
      <c r="N45" s="32">
        <f t="shared" si="8"/>
        <v>3488.8999999999996</v>
      </c>
      <c r="O45" s="33">
        <f t="shared" si="9"/>
        <v>-1.7305193194782005</v>
      </c>
    </row>
    <row r="46" spans="2:15" ht="15">
      <c r="B46" s="50" t="s">
        <v>26</v>
      </c>
      <c r="C46" s="23"/>
      <c r="D46" s="24" t="s">
        <v>72</v>
      </c>
      <c r="E46" s="25"/>
      <c r="F46" s="26">
        <v>0.0421</v>
      </c>
      <c r="G46" s="181">
        <f>H18</f>
        <v>1000</v>
      </c>
      <c r="H46" s="28">
        <f t="shared" si="6"/>
        <v>42.1</v>
      </c>
      <c r="I46" s="29"/>
      <c r="J46" s="30">
        <v>0.0421</v>
      </c>
      <c r="K46" s="181">
        <f>H18</f>
        <v>1000</v>
      </c>
      <c r="L46" s="28">
        <f t="shared" si="7"/>
        <v>42.1</v>
      </c>
      <c r="M46" s="29"/>
      <c r="N46" s="32">
        <f t="shared" si="8"/>
        <v>0</v>
      </c>
      <c r="O46" s="33">
        <f t="shared" si="9"/>
        <v>0</v>
      </c>
    </row>
    <row r="47" spans="2:15" s="35" customFormat="1" ht="15">
      <c r="B47" s="183" t="s">
        <v>27</v>
      </c>
      <c r="C47" s="25"/>
      <c r="D47" s="184" t="s">
        <v>63</v>
      </c>
      <c r="E47" s="25"/>
      <c r="F47" s="185">
        <f>IF(ISBLANK(D16)=TRUE,0,IF(D16="TOU",0.64*$F$57+0.18*$F$58+0.18*$F$59,IF(AND(D16="non-TOU",G61&gt;0),F61,F60)))</f>
        <v>0.088</v>
      </c>
      <c r="G47" s="27">
        <f>$F$18*(1+$F$76)-$F$18</f>
        <v>13400.000000000058</v>
      </c>
      <c r="H47" s="186">
        <f t="shared" si="6"/>
        <v>1179.200000000005</v>
      </c>
      <c r="I47" s="58"/>
      <c r="J47" s="187">
        <f>IF(ISBLANK(D16)=TRUE,0,IF(D16="TOU",0.64*$F$57+0.18*$F$58+0.18*$F$59,IF(AND(D16="non-TOU",K61&gt;0),J61,J60)))</f>
        <v>0.088</v>
      </c>
      <c r="K47" s="27">
        <f>$F$18*(1+$J$76)-$F$18</f>
        <v>13400.000000000058</v>
      </c>
      <c r="L47" s="186">
        <f t="shared" si="7"/>
        <v>1179.200000000005</v>
      </c>
      <c r="M47" s="58"/>
      <c r="N47" s="188">
        <f t="shared" si="8"/>
        <v>0</v>
      </c>
      <c r="O47" s="189">
        <f t="shared" si="9"/>
        <v>0</v>
      </c>
    </row>
    <row r="48" spans="2:15" ht="15">
      <c r="B48" s="50" t="s">
        <v>28</v>
      </c>
      <c r="C48" s="23"/>
      <c r="D48" s="24" t="s">
        <v>62</v>
      </c>
      <c r="E48" s="25"/>
      <c r="F48" s="180">
        <v>0.79</v>
      </c>
      <c r="G48" s="27">
        <v>0</v>
      </c>
      <c r="H48" s="28">
        <f t="shared" si="6"/>
        <v>0</v>
      </c>
      <c r="I48" s="29"/>
      <c r="J48" s="180">
        <v>0.79</v>
      </c>
      <c r="K48" s="27">
        <v>0</v>
      </c>
      <c r="L48" s="28">
        <f t="shared" si="7"/>
        <v>0</v>
      </c>
      <c r="M48" s="29"/>
      <c r="N48" s="32">
        <f t="shared" si="8"/>
        <v>0</v>
      </c>
      <c r="O48" s="33"/>
    </row>
    <row r="49" spans="2:15" ht="25.5">
      <c r="B49" s="51" t="s">
        <v>29</v>
      </c>
      <c r="C49" s="52"/>
      <c r="D49" s="52"/>
      <c r="E49" s="52"/>
      <c r="F49" s="53"/>
      <c r="G49" s="54"/>
      <c r="H49" s="55">
        <f>SUM(H42:H48)+H41</f>
        <v>1233.8200000000054</v>
      </c>
      <c r="I49" s="42"/>
      <c r="J49" s="54"/>
      <c r="K49" s="56"/>
      <c r="L49" s="55">
        <f>SUM(L42:L48)+L41</f>
        <v>6525.590000000005</v>
      </c>
      <c r="M49" s="42"/>
      <c r="N49" s="45">
        <f aca="true" t="shared" si="10" ref="N49:N67">L49-H49</f>
        <v>5291.7699999999995</v>
      </c>
      <c r="O49" s="46">
        <f aca="true" t="shared" si="11" ref="O49:O67">IF((H49)=0,"",(N49/H49))</f>
        <v>4.288931934966183</v>
      </c>
    </row>
    <row r="50" spans="2:15" ht="15">
      <c r="B50" s="29" t="s">
        <v>30</v>
      </c>
      <c r="C50" s="29"/>
      <c r="D50" s="57" t="s">
        <v>72</v>
      </c>
      <c r="E50" s="58"/>
      <c r="F50" s="30">
        <v>2.8711</v>
      </c>
      <c r="G50" s="59">
        <f>H18*(1+F76)</f>
        <v>1033.5</v>
      </c>
      <c r="H50" s="28">
        <f>G50*F50</f>
        <v>2967.2818500000003</v>
      </c>
      <c r="I50" s="29"/>
      <c r="J50" s="30">
        <v>2.962</v>
      </c>
      <c r="K50" s="60">
        <f>H18*(1+J76)</f>
        <v>1033.5</v>
      </c>
      <c r="L50" s="28">
        <f>K50*J50</f>
        <v>3061.2270000000003</v>
      </c>
      <c r="M50" s="29"/>
      <c r="N50" s="32">
        <f t="shared" si="10"/>
        <v>93.94515000000001</v>
      </c>
      <c r="O50" s="33">
        <f t="shared" si="11"/>
        <v>0.03166033924279893</v>
      </c>
    </row>
    <row r="51" spans="2:15" ht="30">
      <c r="B51" s="61" t="s">
        <v>31</v>
      </c>
      <c r="C51" s="29"/>
      <c r="D51" s="57" t="s">
        <v>72</v>
      </c>
      <c r="E51" s="58"/>
      <c r="F51" s="30">
        <v>1.8788</v>
      </c>
      <c r="G51" s="59">
        <f>G50</f>
        <v>1033.5</v>
      </c>
      <c r="H51" s="28">
        <f>G51*F51</f>
        <v>1941.7398</v>
      </c>
      <c r="I51" s="29"/>
      <c r="J51" s="30">
        <v>1.9075</v>
      </c>
      <c r="K51" s="60">
        <f>K50</f>
        <v>1033.5</v>
      </c>
      <c r="L51" s="28">
        <f>K51*J51</f>
        <v>1971.40125</v>
      </c>
      <c r="M51" s="29"/>
      <c r="N51" s="32">
        <f t="shared" si="10"/>
        <v>29.66144999999983</v>
      </c>
      <c r="O51" s="33">
        <f t="shared" si="11"/>
        <v>0.015275707898658631</v>
      </c>
    </row>
    <row r="52" spans="2:15" ht="25.5">
      <c r="B52" s="51" t="s">
        <v>32</v>
      </c>
      <c r="C52" s="37"/>
      <c r="D52" s="37"/>
      <c r="E52" s="37"/>
      <c r="F52" s="62"/>
      <c r="G52" s="54"/>
      <c r="H52" s="55">
        <f>SUM(H49:H51)</f>
        <v>6142.841650000006</v>
      </c>
      <c r="I52" s="63"/>
      <c r="J52" s="64"/>
      <c r="K52" s="65"/>
      <c r="L52" s="55">
        <f>SUM(L49:L51)</f>
        <v>11558.218250000005</v>
      </c>
      <c r="M52" s="63"/>
      <c r="N52" s="45">
        <f t="shared" si="10"/>
        <v>5415.3766</v>
      </c>
      <c r="O52" s="46">
        <f t="shared" si="11"/>
        <v>0.8815751582982763</v>
      </c>
    </row>
    <row r="53" spans="2:15" ht="15">
      <c r="B53" s="66" t="s">
        <v>33</v>
      </c>
      <c r="C53" s="23"/>
      <c r="D53" s="24" t="s">
        <v>63</v>
      </c>
      <c r="E53" s="25"/>
      <c r="F53" s="67">
        <v>0.0044</v>
      </c>
      <c r="G53" s="59">
        <f>F18*(F76)</f>
        <v>13400</v>
      </c>
      <c r="H53" s="68">
        <f aca="true" t="shared" si="12" ref="H53:H59">G53*F53</f>
        <v>58.96</v>
      </c>
      <c r="I53" s="29"/>
      <c r="J53" s="69">
        <v>0.0044</v>
      </c>
      <c r="K53" s="60">
        <f>F18*(J76)</f>
        <v>13400</v>
      </c>
      <c r="L53" s="68">
        <f aca="true" t="shared" si="13" ref="L53:L59">K53*J53</f>
        <v>58.96</v>
      </c>
      <c r="M53" s="29"/>
      <c r="N53" s="32">
        <f t="shared" si="10"/>
        <v>0</v>
      </c>
      <c r="O53" s="70">
        <f t="shared" si="11"/>
        <v>0</v>
      </c>
    </row>
    <row r="54" spans="2:15" ht="15">
      <c r="B54" s="66" t="s">
        <v>34</v>
      </c>
      <c r="C54" s="23"/>
      <c r="D54" s="24" t="s">
        <v>63</v>
      </c>
      <c r="E54" s="25"/>
      <c r="F54" s="67">
        <v>0.0013</v>
      </c>
      <c r="G54" s="59">
        <f>G53</f>
        <v>13400</v>
      </c>
      <c r="H54" s="68">
        <f t="shared" si="12"/>
        <v>17.419999999999998</v>
      </c>
      <c r="I54" s="29"/>
      <c r="J54" s="69">
        <v>0.0013</v>
      </c>
      <c r="K54" s="60">
        <f>K53</f>
        <v>13400</v>
      </c>
      <c r="L54" s="68">
        <f t="shared" si="13"/>
        <v>17.419999999999998</v>
      </c>
      <c r="M54" s="29"/>
      <c r="N54" s="32">
        <f t="shared" si="10"/>
        <v>0</v>
      </c>
      <c r="O54" s="70">
        <f t="shared" si="11"/>
        <v>0</v>
      </c>
    </row>
    <row r="55" spans="2:15" ht="15">
      <c r="B55" s="23" t="s">
        <v>35</v>
      </c>
      <c r="C55" s="23"/>
      <c r="D55" s="24" t="s">
        <v>62</v>
      </c>
      <c r="E55" s="25"/>
      <c r="F55" s="178">
        <v>0.25</v>
      </c>
      <c r="G55" s="27">
        <v>1</v>
      </c>
      <c r="H55" s="68">
        <f t="shared" si="12"/>
        <v>0.25</v>
      </c>
      <c r="I55" s="29"/>
      <c r="J55" s="179">
        <v>0.25</v>
      </c>
      <c r="K55" s="31">
        <v>1</v>
      </c>
      <c r="L55" s="68">
        <f t="shared" si="13"/>
        <v>0.25</v>
      </c>
      <c r="M55" s="29"/>
      <c r="N55" s="32">
        <f t="shared" si="10"/>
        <v>0</v>
      </c>
      <c r="O55" s="70">
        <f t="shared" si="11"/>
        <v>0</v>
      </c>
    </row>
    <row r="56" spans="2:15" ht="15">
      <c r="B56" s="23" t="s">
        <v>36</v>
      </c>
      <c r="C56" s="23"/>
      <c r="D56" s="24" t="s">
        <v>63</v>
      </c>
      <c r="E56" s="25"/>
      <c r="F56" s="67">
        <v>0.007</v>
      </c>
      <c r="G56" s="71">
        <f>F18</f>
        <v>400000</v>
      </c>
      <c r="H56" s="68">
        <f t="shared" si="12"/>
        <v>2800</v>
      </c>
      <c r="I56" s="29"/>
      <c r="J56" s="69">
        <f>0.007</f>
        <v>0.007</v>
      </c>
      <c r="K56" s="72">
        <f>F18</f>
        <v>400000</v>
      </c>
      <c r="L56" s="68">
        <f t="shared" si="13"/>
        <v>2800</v>
      </c>
      <c r="M56" s="29"/>
      <c r="N56" s="32">
        <f t="shared" si="10"/>
        <v>0</v>
      </c>
      <c r="O56" s="70">
        <f t="shared" si="11"/>
        <v>0</v>
      </c>
    </row>
    <row r="57" spans="2:19" ht="15.75" thickBot="1">
      <c r="B57" s="50" t="s">
        <v>77</v>
      </c>
      <c r="C57" s="23"/>
      <c r="D57" s="24" t="s">
        <v>63</v>
      </c>
      <c r="E57" s="25"/>
      <c r="F57" s="67">
        <v>0.0799</v>
      </c>
      <c r="G57" s="71">
        <f>F18</f>
        <v>400000</v>
      </c>
      <c r="H57" s="190">
        <f t="shared" si="12"/>
        <v>31960</v>
      </c>
      <c r="I57" s="58"/>
      <c r="J57" s="69">
        <v>0.0799</v>
      </c>
      <c r="K57" s="71">
        <f>G57</f>
        <v>400000</v>
      </c>
      <c r="L57" s="68">
        <f t="shared" si="13"/>
        <v>31960</v>
      </c>
      <c r="M57" s="29"/>
      <c r="N57" s="32">
        <f t="shared" si="10"/>
        <v>0</v>
      </c>
      <c r="O57" s="70">
        <f t="shared" si="11"/>
        <v>0</v>
      </c>
      <c r="S57" s="74"/>
    </row>
    <row r="58" spans="2:19" ht="15" hidden="1">
      <c r="B58" s="50" t="s">
        <v>38</v>
      </c>
      <c r="C58" s="23"/>
      <c r="D58" s="24"/>
      <c r="E58" s="25"/>
      <c r="F58" s="73">
        <v>0.104</v>
      </c>
      <c r="G58" s="59">
        <v>0</v>
      </c>
      <c r="H58" s="68">
        <f t="shared" si="12"/>
        <v>0</v>
      </c>
      <c r="I58" s="29"/>
      <c r="J58" s="67">
        <v>0.104</v>
      </c>
      <c r="K58" s="59">
        <v>0</v>
      </c>
      <c r="L58" s="68">
        <f t="shared" si="13"/>
        <v>0</v>
      </c>
      <c r="M58" s="29"/>
      <c r="N58" s="32">
        <f t="shared" si="10"/>
        <v>0</v>
      </c>
      <c r="O58" s="70">
        <f t="shared" si="11"/>
      </c>
      <c r="S58" s="74"/>
    </row>
    <row r="59" spans="2:19" ht="15" hidden="1">
      <c r="B59" s="13" t="s">
        <v>39</v>
      </c>
      <c r="C59" s="23"/>
      <c r="D59" s="24"/>
      <c r="E59" s="25"/>
      <c r="F59" s="73">
        <v>0.124</v>
      </c>
      <c r="G59" s="59">
        <v>0</v>
      </c>
      <c r="H59" s="68">
        <f t="shared" si="12"/>
        <v>0</v>
      </c>
      <c r="I59" s="29"/>
      <c r="J59" s="67">
        <v>0.124</v>
      </c>
      <c r="K59" s="59">
        <v>0</v>
      </c>
      <c r="L59" s="68">
        <f t="shared" si="13"/>
        <v>0</v>
      </c>
      <c r="M59" s="29"/>
      <c r="N59" s="32">
        <f t="shared" si="10"/>
        <v>0</v>
      </c>
      <c r="O59" s="70">
        <f t="shared" si="11"/>
      </c>
      <c r="S59" s="74"/>
    </row>
    <row r="60" spans="2:15" s="75" customFormat="1" ht="15" hidden="1">
      <c r="B60" s="182" t="s">
        <v>40</v>
      </c>
      <c r="C60" s="77"/>
      <c r="D60" s="78"/>
      <c r="E60" s="79"/>
      <c r="F60" s="73">
        <v>0.075</v>
      </c>
      <c r="G60" s="80">
        <f>IF(AND($T$1=1,F18&gt;=600),600,IF(AND($T$1=1,AND(F18&lt;600,F18&gt;=0)),F18,IF(AND($T$1=2,F18&gt;=1000),1000,IF(AND($T$1=2,AND(F18&lt;1000,F18&gt;=0)),F18))))</f>
        <v>600</v>
      </c>
      <c r="H60" s="68">
        <f>G60*F60</f>
        <v>45</v>
      </c>
      <c r="I60" s="81"/>
      <c r="J60" s="67">
        <v>0.075</v>
      </c>
      <c r="K60" s="80">
        <f>G60</f>
        <v>600</v>
      </c>
      <c r="L60" s="68">
        <f>K60*J60</f>
        <v>45</v>
      </c>
      <c r="M60" s="81"/>
      <c r="N60" s="82">
        <f t="shared" si="10"/>
        <v>0</v>
      </c>
      <c r="O60" s="70">
        <f t="shared" si="11"/>
        <v>0</v>
      </c>
    </row>
    <row r="61" spans="2:15" s="75" customFormat="1" ht="15.75" hidden="1" thickBot="1">
      <c r="B61" s="182" t="s">
        <v>41</v>
      </c>
      <c r="C61" s="77"/>
      <c r="D61" s="78"/>
      <c r="E61" s="79"/>
      <c r="F61" s="73">
        <v>0.088</v>
      </c>
      <c r="G61" s="80">
        <f>IF(AND($T$1=1,F18&gt;=600),F18-600,IF(AND($T$1=1,AND(F18&lt;600,F18&gt;=0)),0,IF(AND($T$1=2,F18&gt;=1000),F18-1000,IF(AND($T$1=2,AND(F18&lt;1000,F18&gt;=0)),0))))</f>
        <v>399400</v>
      </c>
      <c r="H61" s="68">
        <f>G61*F61</f>
        <v>35147.2</v>
      </c>
      <c r="I61" s="81"/>
      <c r="J61" s="67">
        <v>0.088</v>
      </c>
      <c r="K61" s="80">
        <f>G61</f>
        <v>399400</v>
      </c>
      <c r="L61" s="68">
        <f>K61*J61</f>
        <v>35147.2</v>
      </c>
      <c r="M61" s="81"/>
      <c r="N61" s="82">
        <f t="shared" si="10"/>
        <v>0</v>
      </c>
      <c r="O61" s="70">
        <f t="shared" si="11"/>
        <v>0</v>
      </c>
    </row>
    <row r="62" spans="2:15" ht="8.25" customHeight="1" thickBot="1">
      <c r="B62" s="83"/>
      <c r="C62" s="84"/>
      <c r="D62" s="85"/>
      <c r="E62" s="84"/>
      <c r="F62" s="86"/>
      <c r="G62" s="87"/>
      <c r="H62" s="88"/>
      <c r="I62" s="89"/>
      <c r="J62" s="86"/>
      <c r="K62" s="90"/>
      <c r="L62" s="88"/>
      <c r="M62" s="89"/>
      <c r="N62" s="91"/>
      <c r="O62" s="92"/>
    </row>
    <row r="63" spans="2:19" ht="15" hidden="1">
      <c r="B63" s="93" t="s">
        <v>42</v>
      </c>
      <c r="C63" s="23"/>
      <c r="D63" s="23"/>
      <c r="E63" s="23"/>
      <c r="F63" s="94"/>
      <c r="G63" s="95"/>
      <c r="H63" s="96">
        <f>SUM(H53:H59,H52)</f>
        <v>40979.47165000001</v>
      </c>
      <c r="I63" s="97"/>
      <c r="J63" s="98"/>
      <c r="K63" s="98"/>
      <c r="L63" s="96">
        <f>SUM(L53:L59,L52)</f>
        <v>46394.84825</v>
      </c>
      <c r="M63" s="99"/>
      <c r="N63" s="100">
        <f>L63-H63</f>
        <v>5415.376599999996</v>
      </c>
      <c r="O63" s="101">
        <f>IF((H63)=0,"",(N63/H63))</f>
        <v>0.1321485217342961</v>
      </c>
      <c r="S63" s="74"/>
    </row>
    <row r="64" spans="2:19" ht="15" hidden="1">
      <c r="B64" s="102" t="s">
        <v>43</v>
      </c>
      <c r="C64" s="23"/>
      <c r="D64" s="23"/>
      <c r="E64" s="23"/>
      <c r="F64" s="103">
        <v>0.13</v>
      </c>
      <c r="G64" s="104"/>
      <c r="H64" s="105">
        <f>H63*F64</f>
        <v>5327.331314500001</v>
      </c>
      <c r="I64" s="106"/>
      <c r="J64" s="107">
        <v>0.13</v>
      </c>
      <c r="K64" s="106"/>
      <c r="L64" s="108">
        <f>L63*J64</f>
        <v>6031.3302725</v>
      </c>
      <c r="M64" s="109"/>
      <c r="N64" s="110">
        <f t="shared" si="10"/>
        <v>703.9989579999992</v>
      </c>
      <c r="O64" s="111">
        <f t="shared" si="11"/>
        <v>0.13214852173429603</v>
      </c>
      <c r="S64" s="74"/>
    </row>
    <row r="65" spans="2:19" ht="15" hidden="1">
      <c r="B65" s="112" t="s">
        <v>44</v>
      </c>
      <c r="C65" s="23"/>
      <c r="D65" s="23"/>
      <c r="E65" s="23"/>
      <c r="F65" s="113"/>
      <c r="G65" s="104"/>
      <c r="H65" s="105">
        <f>H63+H64</f>
        <v>46306.802964500006</v>
      </c>
      <c r="I65" s="106"/>
      <c r="J65" s="106"/>
      <c r="K65" s="106"/>
      <c r="L65" s="108">
        <f>L63+L64</f>
        <v>52426.178522500006</v>
      </c>
      <c r="M65" s="109"/>
      <c r="N65" s="110">
        <f t="shared" si="10"/>
        <v>6119.375558</v>
      </c>
      <c r="O65" s="111">
        <f t="shared" si="11"/>
        <v>0.13214852173429617</v>
      </c>
      <c r="S65" s="74"/>
    </row>
    <row r="66" spans="2:15" ht="15.75" customHeight="1" hidden="1">
      <c r="B66" s="333" t="s">
        <v>45</v>
      </c>
      <c r="C66" s="333"/>
      <c r="D66" s="333"/>
      <c r="E66" s="23"/>
      <c r="F66" s="113"/>
      <c r="G66" s="104"/>
      <c r="H66" s="114">
        <f>ROUND(-H65*10%,2)</f>
        <v>-4630.68</v>
      </c>
      <c r="I66" s="106"/>
      <c r="J66" s="106"/>
      <c r="K66" s="106"/>
      <c r="L66" s="115">
        <f>ROUND(-L65*10%,2)</f>
        <v>-5242.62</v>
      </c>
      <c r="M66" s="109"/>
      <c r="N66" s="116">
        <f t="shared" si="10"/>
        <v>-611.9399999999996</v>
      </c>
      <c r="O66" s="117">
        <f t="shared" si="11"/>
        <v>0.13214905802171595</v>
      </c>
    </row>
    <row r="67" spans="2:15" ht="15" hidden="1">
      <c r="B67" s="334" t="s">
        <v>46</v>
      </c>
      <c r="C67" s="334"/>
      <c r="D67" s="334"/>
      <c r="E67" s="118"/>
      <c r="F67" s="119"/>
      <c r="G67" s="120"/>
      <c r="H67" s="121">
        <f>H65+H66</f>
        <v>41676.122964500006</v>
      </c>
      <c r="I67" s="122"/>
      <c r="J67" s="122"/>
      <c r="K67" s="122"/>
      <c r="L67" s="123">
        <f>L65+L66</f>
        <v>47183.5585225</v>
      </c>
      <c r="M67" s="124"/>
      <c r="N67" s="125">
        <f t="shared" si="10"/>
        <v>5507.435557999997</v>
      </c>
      <c r="O67" s="126">
        <f t="shared" si="11"/>
        <v>0.13214846214680925</v>
      </c>
    </row>
    <row r="68" spans="2:15" s="75" customFormat="1" ht="8.25" customHeight="1" hidden="1">
      <c r="B68" s="127"/>
      <c r="C68" s="128"/>
      <c r="D68" s="129"/>
      <c r="E68" s="128"/>
      <c r="F68" s="86"/>
      <c r="G68" s="130"/>
      <c r="H68" s="88"/>
      <c r="I68" s="131"/>
      <c r="J68" s="86"/>
      <c r="K68" s="132"/>
      <c r="L68" s="88"/>
      <c r="M68" s="131"/>
      <c r="N68" s="133"/>
      <c r="O68" s="92"/>
    </row>
    <row r="69" spans="2:15" s="75" customFormat="1" ht="12.75">
      <c r="B69" s="134" t="s">
        <v>47</v>
      </c>
      <c r="C69" s="77"/>
      <c r="D69" s="77"/>
      <c r="E69" s="77"/>
      <c r="F69" s="135"/>
      <c r="G69" s="136"/>
      <c r="H69" s="137">
        <f>SUM(H57,H52,H53:H56)</f>
        <v>40979.47165</v>
      </c>
      <c r="I69" s="138"/>
      <c r="J69" s="139"/>
      <c r="K69" s="139"/>
      <c r="L69" s="191">
        <f>SUM(L57,L52,L53:L56)</f>
        <v>46394.84825</v>
      </c>
      <c r="M69" s="140"/>
      <c r="N69" s="141">
        <f>L69-H69</f>
        <v>5415.376600000003</v>
      </c>
      <c r="O69" s="101">
        <f>IF((H69)=0,"",(N69/H69))</f>
        <v>0.13214852173429628</v>
      </c>
    </row>
    <row r="70" spans="2:15" s="75" customFormat="1" ht="12.75">
      <c r="B70" s="142" t="s">
        <v>43</v>
      </c>
      <c r="C70" s="77"/>
      <c r="D70" s="77"/>
      <c r="E70" s="77"/>
      <c r="F70" s="143">
        <v>0.13</v>
      </c>
      <c r="G70" s="136"/>
      <c r="H70" s="144">
        <f>H69*F70</f>
        <v>5327.3313145</v>
      </c>
      <c r="I70" s="145"/>
      <c r="J70" s="146">
        <v>0.13</v>
      </c>
      <c r="K70" s="147"/>
      <c r="L70" s="148">
        <f>L69*J70</f>
        <v>6031.3302725</v>
      </c>
      <c r="M70" s="149"/>
      <c r="N70" s="150">
        <f>L70-H70</f>
        <v>703.9989580000001</v>
      </c>
      <c r="O70" s="111">
        <f>IF((H70)=0,"",(N70/H70))</f>
        <v>0.13214852173429623</v>
      </c>
    </row>
    <row r="71" spans="2:15" s="75" customFormat="1" ht="12.75">
      <c r="B71" s="151" t="s">
        <v>44</v>
      </c>
      <c r="C71" s="77"/>
      <c r="D71" s="77"/>
      <c r="E71" s="77"/>
      <c r="F71" s="152"/>
      <c r="G71" s="153"/>
      <c r="H71" s="144">
        <f>H69+H70</f>
        <v>46306.8029645</v>
      </c>
      <c r="I71" s="145"/>
      <c r="J71" s="145"/>
      <c r="K71" s="145"/>
      <c r="L71" s="148">
        <f>L69+L70</f>
        <v>52426.178522500006</v>
      </c>
      <c r="M71" s="149"/>
      <c r="N71" s="150">
        <f>L71-H71</f>
        <v>6119.375558000007</v>
      </c>
      <c r="O71" s="111">
        <f>IF((H71)=0,"",(N71/H71))</f>
        <v>0.13214852173429636</v>
      </c>
    </row>
    <row r="72" spans="2:15" s="75" customFormat="1" ht="15.75" customHeight="1">
      <c r="B72" s="335" t="s">
        <v>45</v>
      </c>
      <c r="C72" s="335"/>
      <c r="D72" s="335"/>
      <c r="E72" s="77"/>
      <c r="F72" s="152"/>
      <c r="G72" s="153"/>
      <c r="H72" s="256">
        <f>ROUND(-H71*10%,2)</f>
        <v>-4630.68</v>
      </c>
      <c r="I72" s="145"/>
      <c r="J72" s="145"/>
      <c r="K72" s="145"/>
      <c r="L72" s="257">
        <f>ROUND(-L71*10%,2)</f>
        <v>-5242.62</v>
      </c>
      <c r="M72" s="149"/>
      <c r="N72" s="258">
        <f>L72-H72</f>
        <v>-611.9399999999996</v>
      </c>
      <c r="O72" s="117">
        <f>IF((H72)=0,"",(N72/H72))</f>
        <v>0.13214905802171595</v>
      </c>
    </row>
    <row r="73" spans="2:15" s="75" customFormat="1" ht="13.5" thickBot="1">
      <c r="B73" s="326" t="s">
        <v>48</v>
      </c>
      <c r="C73" s="326"/>
      <c r="D73" s="326"/>
      <c r="E73" s="157"/>
      <c r="F73" s="158"/>
      <c r="G73" s="159"/>
      <c r="H73" s="160">
        <f>SUM(H71:H72)</f>
        <v>41676.1229645</v>
      </c>
      <c r="I73" s="161"/>
      <c r="J73" s="161"/>
      <c r="K73" s="161"/>
      <c r="L73" s="162">
        <f>SUM(L71:L72)</f>
        <v>47183.5585225</v>
      </c>
      <c r="M73" s="163"/>
      <c r="N73" s="164">
        <f>L73-H73</f>
        <v>5507.435558000005</v>
      </c>
      <c r="O73" s="165">
        <f>IF((H73)=0,"",(N73/H73))</f>
        <v>0.13214846214680948</v>
      </c>
    </row>
    <row r="74" spans="2:15" s="75" customFormat="1" ht="8.25" customHeight="1" thickBot="1">
      <c r="B74" s="127"/>
      <c r="C74" s="128"/>
      <c r="D74" s="129"/>
      <c r="E74" s="128"/>
      <c r="F74" s="166"/>
      <c r="G74" s="167"/>
      <c r="H74" s="168"/>
      <c r="I74" s="169"/>
      <c r="J74" s="166"/>
      <c r="K74" s="130"/>
      <c r="L74" s="170"/>
      <c r="M74" s="131"/>
      <c r="N74" s="171"/>
      <c r="O74" s="92"/>
    </row>
    <row r="75" ht="10.5" customHeight="1">
      <c r="L75" s="74"/>
    </row>
    <row r="76" spans="2:10" ht="15">
      <c r="B76" s="14" t="s">
        <v>49</v>
      </c>
      <c r="F76" s="172">
        <v>0.0335</v>
      </c>
      <c r="J76" s="172">
        <v>0.0335</v>
      </c>
    </row>
    <row r="77" ht="10.5" customHeight="1"/>
    <row r="78" ht="15">
      <c r="A78" s="173" t="s">
        <v>50</v>
      </c>
    </row>
    <row r="79" ht="10.5" customHeight="1"/>
    <row r="80" ht="15">
      <c r="A80" s="8" t="s">
        <v>51</v>
      </c>
    </row>
    <row r="81" ht="15">
      <c r="A81" s="8" t="s">
        <v>52</v>
      </c>
    </row>
    <row r="83" ht="15">
      <c r="A83" s="13" t="s">
        <v>53</v>
      </c>
    </row>
    <row r="84" ht="15">
      <c r="A84" s="13" t="s">
        <v>54</v>
      </c>
    </row>
    <row r="86" ht="15">
      <c r="A86" s="8" t="s">
        <v>55</v>
      </c>
    </row>
    <row r="87" ht="15">
      <c r="A87" s="8" t="s">
        <v>56</v>
      </c>
    </row>
    <row r="88" ht="15">
      <c r="A88" s="8" t="s">
        <v>57</v>
      </c>
    </row>
    <row r="89" ht="15">
      <c r="A89" s="8" t="s">
        <v>58</v>
      </c>
    </row>
    <row r="90" ht="15">
      <c r="A90" s="8" t="s">
        <v>59</v>
      </c>
    </row>
    <row r="92" spans="1:2" ht="15">
      <c r="A92" s="174"/>
      <c r="B92" s="8" t="s">
        <v>60</v>
      </c>
    </row>
  </sheetData>
  <sheetProtection/>
  <mergeCells count="20">
    <mergeCell ref="B72:D72"/>
    <mergeCell ref="A3:K3"/>
    <mergeCell ref="B10:O10"/>
    <mergeCell ref="B11:O11"/>
    <mergeCell ref="D14:O14"/>
    <mergeCell ref="F20:H20"/>
    <mergeCell ref="J20:L20"/>
    <mergeCell ref="N20:O20"/>
    <mergeCell ref="N5:O5"/>
    <mergeCell ref="N7:O7"/>
    <mergeCell ref="N1:O1"/>
    <mergeCell ref="N2:O2"/>
    <mergeCell ref="N3:O3"/>
    <mergeCell ref="N4:O4"/>
    <mergeCell ref="B73:D73"/>
    <mergeCell ref="D21:D22"/>
    <mergeCell ref="N21:N22"/>
    <mergeCell ref="O21:O22"/>
    <mergeCell ref="B66:D66"/>
    <mergeCell ref="B67:D67"/>
  </mergeCells>
  <dataValidations count="4">
    <dataValidation type="list" allowBlank="1" showInputMessage="1" showErrorMessage="1" sqref="E50:E51 E42:E48 E62 E53:E59 E23:E40">
      <formula1>'GS 1000-4999 (1,000kW)'!#REF!</formula1>
    </dataValidation>
    <dataValidation type="list" allowBlank="1" showInputMessage="1" showErrorMessage="1" prompt="Select Charge Unit - monthly, per kWh, per kW" sqref="D50:D51 D42:D48 D68 D53:D62 D74 D23:D40">
      <formula1>"Monthly, per kWh, per kW"</formula1>
    </dataValidation>
    <dataValidation type="list" allowBlank="1" showInputMessage="1" showErrorMessage="1" sqref="E74 E68 E60:E61">
      <formula1>'GS 1000-4999 (1,000kW)'!#REF!</formula1>
    </dataValidation>
    <dataValidation type="list" allowBlank="1" showInputMessage="1" showErrorMessage="1" sqref="D16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7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92"/>
  <sheetViews>
    <sheetView showGridLines="0" zoomScalePageLayoutView="0" workbookViewId="0" topLeftCell="A16">
      <selection activeCell="J46" sqref="J46"/>
    </sheetView>
  </sheetViews>
  <sheetFormatPr defaultColWidth="9.140625" defaultRowHeight="15"/>
  <cols>
    <col min="1" max="1" width="2.140625" style="8" customWidth="1"/>
    <col min="2" max="2" width="44.5742187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8.57421875" style="8" customWidth="1"/>
    <col min="8" max="8" width="12.28125" style="8" bestFit="1" customWidth="1"/>
    <col min="9" max="9" width="2.8515625" style="8" customWidth="1"/>
    <col min="10" max="10" width="12.140625" style="8" customWidth="1"/>
    <col min="11" max="11" width="8.57421875" style="8" customWidth="1"/>
    <col min="12" max="12" width="12.57421875" style="8" bestFit="1" customWidth="1"/>
    <col min="13" max="13" width="2.8515625" style="8" customWidth="1"/>
    <col min="14" max="14" width="12.7109375" style="8" bestFit="1" customWidth="1"/>
    <col min="15" max="15" width="13.140625" style="8" customWidth="1"/>
    <col min="16" max="16" width="3.851562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42" t="str">
        <f>EBNUMBER</f>
        <v>EB-2013-0116</v>
      </c>
      <c r="O1" s="342"/>
      <c r="P1"/>
      <c r="T1" s="2">
        <v>1</v>
      </c>
    </row>
    <row r="2" spans="1:16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343">
        <v>8</v>
      </c>
      <c r="O2" s="343"/>
      <c r="P2"/>
    </row>
    <row r="3" spans="1:16" s="2" customFormat="1" ht="15" customHeight="1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" t="s">
        <v>79</v>
      </c>
      <c r="N3" s="344" t="s">
        <v>80</v>
      </c>
      <c r="O3" s="344"/>
      <c r="P3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343">
        <v>16</v>
      </c>
      <c r="O4" s="343"/>
      <c r="P4"/>
    </row>
    <row r="5" spans="3:16" s="2" customFormat="1" ht="15" customHeight="1">
      <c r="C5" s="7"/>
      <c r="D5" s="7"/>
      <c r="E5" s="7"/>
      <c r="L5" s="3" t="s">
        <v>81</v>
      </c>
      <c r="N5" s="345" t="s">
        <v>98</v>
      </c>
      <c r="O5" s="345"/>
      <c r="P5"/>
    </row>
    <row r="6" spans="12:16" s="2" customFormat="1" ht="9" customHeight="1">
      <c r="L6" s="3"/>
      <c r="N6" s="4"/>
      <c r="O6" s="193"/>
      <c r="P6"/>
    </row>
    <row r="7" spans="12:16" s="2" customFormat="1" ht="15">
      <c r="L7" s="3" t="s">
        <v>83</v>
      </c>
      <c r="N7" s="346">
        <v>41575</v>
      </c>
      <c r="O7" s="346"/>
      <c r="P7"/>
    </row>
    <row r="8" spans="14:16" s="2" customFormat="1" ht="15" customHeight="1">
      <c r="N8" s="8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337" t="s">
        <v>3</v>
      </c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/>
    </row>
    <row r="11" spans="2:16" ht="18.75" customHeight="1">
      <c r="B11" s="337" t="s">
        <v>4</v>
      </c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338" t="s">
        <v>73</v>
      </c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69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9" ht="15">
      <c r="B18" s="13"/>
      <c r="D18" s="14" t="s">
        <v>8</v>
      </c>
      <c r="E18" s="14"/>
      <c r="F18" s="15">
        <v>1800000</v>
      </c>
      <c r="G18" s="14" t="s">
        <v>9</v>
      </c>
      <c r="H18" s="15">
        <v>5000</v>
      </c>
      <c r="I18" s="14" t="s">
        <v>71</v>
      </c>
    </row>
    <row r="19" ht="15">
      <c r="B19" s="13"/>
    </row>
    <row r="20" spans="2:15" ht="15">
      <c r="B20" s="13"/>
      <c r="D20" s="16"/>
      <c r="E20" s="16"/>
      <c r="F20" s="339" t="s">
        <v>10</v>
      </c>
      <c r="G20" s="340"/>
      <c r="H20" s="341"/>
      <c r="J20" s="339" t="s">
        <v>11</v>
      </c>
      <c r="K20" s="340"/>
      <c r="L20" s="341"/>
      <c r="N20" s="339" t="s">
        <v>12</v>
      </c>
      <c r="O20" s="341"/>
    </row>
    <row r="21" spans="2:15" ht="15">
      <c r="B21" s="13"/>
      <c r="D21" s="327" t="s">
        <v>13</v>
      </c>
      <c r="E21" s="17"/>
      <c r="F21" s="18" t="s">
        <v>14</v>
      </c>
      <c r="G21" s="18" t="s">
        <v>15</v>
      </c>
      <c r="H21" s="19" t="s">
        <v>16</v>
      </c>
      <c r="J21" s="18" t="s">
        <v>14</v>
      </c>
      <c r="K21" s="20" t="s">
        <v>15</v>
      </c>
      <c r="L21" s="19" t="s">
        <v>16</v>
      </c>
      <c r="N21" s="329" t="s">
        <v>17</v>
      </c>
      <c r="O21" s="331" t="s">
        <v>18</v>
      </c>
    </row>
    <row r="22" spans="2:15" ht="15">
      <c r="B22" s="13"/>
      <c r="D22" s="328"/>
      <c r="E22" s="17"/>
      <c r="F22" s="21" t="s">
        <v>19</v>
      </c>
      <c r="G22" s="21"/>
      <c r="H22" s="22" t="s">
        <v>19</v>
      </c>
      <c r="J22" s="21" t="s">
        <v>19</v>
      </c>
      <c r="K22" s="22"/>
      <c r="L22" s="22" t="s">
        <v>19</v>
      </c>
      <c r="N22" s="330"/>
      <c r="O22" s="332"/>
    </row>
    <row r="23" spans="2:15" ht="22.5" customHeight="1">
      <c r="B23" s="23" t="s">
        <v>20</v>
      </c>
      <c r="C23" s="23"/>
      <c r="D23" s="24" t="s">
        <v>62</v>
      </c>
      <c r="E23" s="25"/>
      <c r="F23" s="176">
        <f>'GS 1000-4999 (1,000kW)'!F23</f>
        <v>991.12</v>
      </c>
      <c r="G23" s="27">
        <v>1</v>
      </c>
      <c r="H23" s="28">
        <f>G23*F23</f>
        <v>991.12</v>
      </c>
      <c r="I23" s="29"/>
      <c r="J23" s="175">
        <f>'GS 1000-4999 (1,000kW)'!J23</f>
        <v>1005</v>
      </c>
      <c r="K23" s="31">
        <v>1</v>
      </c>
      <c r="L23" s="28">
        <f>K23*J23</f>
        <v>1005</v>
      </c>
      <c r="M23" s="29"/>
      <c r="N23" s="32">
        <f>L23-H23</f>
        <v>13.879999999999995</v>
      </c>
      <c r="O23" s="33">
        <f>IF((H23)=0,"",(N23/H23))</f>
        <v>0.014004358705303087</v>
      </c>
    </row>
    <row r="24" spans="2:15" ht="22.5" customHeight="1">
      <c r="B24" s="23" t="s">
        <v>102</v>
      </c>
      <c r="C24" s="23"/>
      <c r="D24" s="24" t="s">
        <v>62</v>
      </c>
      <c r="E24" s="25"/>
      <c r="F24" s="176">
        <f>'GS 1000-4999 (1,000kW)'!F24</f>
        <v>0</v>
      </c>
      <c r="G24" s="27">
        <v>1</v>
      </c>
      <c r="H24" s="249">
        <f>G24*F24</f>
        <v>0</v>
      </c>
      <c r="I24" s="29"/>
      <c r="J24" s="175">
        <v>0</v>
      </c>
      <c r="K24" s="31">
        <v>1</v>
      </c>
      <c r="L24" s="28">
        <f>K24*J24</f>
        <v>0</v>
      </c>
      <c r="M24" s="29"/>
      <c r="N24" s="259">
        <f>L24-H24</f>
        <v>0</v>
      </c>
      <c r="O24" s="33">
        <f>IF((H24)=0,"",(N24/H24))</f>
      </c>
    </row>
    <row r="25" spans="2:15" ht="36.75" customHeight="1">
      <c r="B25" s="66" t="s">
        <v>125</v>
      </c>
      <c r="C25" s="23"/>
      <c r="D25" s="57" t="s">
        <v>62</v>
      </c>
      <c r="E25" s="25"/>
      <c r="F25" s="272">
        <v>0</v>
      </c>
      <c r="G25" s="27">
        <v>1</v>
      </c>
      <c r="H25" s="249">
        <f>G25*F25</f>
        <v>0</v>
      </c>
      <c r="I25" s="29"/>
      <c r="J25" s="30">
        <f>'GS 1000-4999 (1,000kW)'!J25</f>
        <v>0.79</v>
      </c>
      <c r="K25" s="31">
        <v>1</v>
      </c>
      <c r="L25" s="249">
        <f>K25*J25</f>
        <v>0.79</v>
      </c>
      <c r="M25" s="29"/>
      <c r="N25" s="32">
        <f>L25-H25</f>
        <v>0.79</v>
      </c>
      <c r="O25" s="250">
        <f>IF((H25)=0,"",(N25/H25))</f>
      </c>
    </row>
    <row r="26" spans="2:15" ht="15" hidden="1">
      <c r="B26" s="177"/>
      <c r="C26" s="23"/>
      <c r="D26" s="57" t="s">
        <v>62</v>
      </c>
      <c r="E26" s="58"/>
      <c r="F26" s="175"/>
      <c r="G26" s="27">
        <v>1</v>
      </c>
      <c r="H26" s="28">
        <f aca="true" t="shared" si="0" ref="H26:H40">G26*F26</f>
        <v>0</v>
      </c>
      <c r="I26" s="29"/>
      <c r="J26" s="30"/>
      <c r="K26" s="31">
        <v>1</v>
      </c>
      <c r="L26" s="28">
        <f aca="true" t="shared" si="1" ref="L26:L40">K26*J26</f>
        <v>0</v>
      </c>
      <c r="M26" s="29"/>
      <c r="N26" s="32">
        <f aca="true" t="shared" si="2" ref="N26:N67">L26-H26</f>
        <v>0</v>
      </c>
      <c r="O26" s="33">
        <f aca="true" t="shared" si="3" ref="O26:O47">IF((H26)=0,"",(N26/H26))</f>
      </c>
    </row>
    <row r="27" spans="2:15" ht="15" hidden="1">
      <c r="B27" s="177"/>
      <c r="C27" s="23"/>
      <c r="D27" s="57" t="s">
        <v>62</v>
      </c>
      <c r="E27" s="25"/>
      <c r="F27" s="26"/>
      <c r="G27" s="27">
        <v>1</v>
      </c>
      <c r="H27" s="28">
        <f t="shared" si="0"/>
        <v>0</v>
      </c>
      <c r="I27" s="29"/>
      <c r="J27" s="175"/>
      <c r="K27" s="31">
        <v>1</v>
      </c>
      <c r="L27" s="28">
        <f t="shared" si="1"/>
        <v>0</v>
      </c>
      <c r="M27" s="29"/>
      <c r="N27" s="32">
        <f t="shared" si="2"/>
        <v>0</v>
      </c>
      <c r="O27" s="33">
        <f t="shared" si="3"/>
      </c>
    </row>
    <row r="28" spans="2:15" ht="15">
      <c r="B28" s="47" t="s">
        <v>66</v>
      </c>
      <c r="C28" s="23"/>
      <c r="D28" s="24" t="s">
        <v>72</v>
      </c>
      <c r="E28" s="25"/>
      <c r="F28" s="26">
        <v>0</v>
      </c>
      <c r="G28" s="181">
        <f>$H$18</f>
        <v>5000</v>
      </c>
      <c r="H28" s="28">
        <f t="shared" si="0"/>
        <v>0</v>
      </c>
      <c r="I28" s="29"/>
      <c r="J28" s="30"/>
      <c r="K28" s="181">
        <f>$H$18</f>
        <v>5000</v>
      </c>
      <c r="L28" s="28">
        <f t="shared" si="1"/>
        <v>0</v>
      </c>
      <c r="M28" s="29"/>
      <c r="N28" s="32">
        <f t="shared" si="2"/>
        <v>0</v>
      </c>
      <c r="O28" s="33">
        <f t="shared" si="3"/>
      </c>
    </row>
    <row r="29" spans="2:15" ht="15">
      <c r="B29" s="47" t="s">
        <v>67</v>
      </c>
      <c r="C29" s="23"/>
      <c r="D29" s="24" t="s">
        <v>72</v>
      </c>
      <c r="E29" s="25"/>
      <c r="F29" s="253">
        <f>'GS 1000-4999 (1,000kW)'!F29</f>
        <v>-1.6537</v>
      </c>
      <c r="G29" s="181">
        <f>$H$18</f>
        <v>5000</v>
      </c>
      <c r="H29" s="28">
        <f t="shared" si="0"/>
        <v>-8268.5</v>
      </c>
      <c r="I29" s="29"/>
      <c r="J29" s="30">
        <v>0</v>
      </c>
      <c r="K29" s="181">
        <f>$H$18</f>
        <v>5000</v>
      </c>
      <c r="L29" s="28">
        <f t="shared" si="1"/>
        <v>0</v>
      </c>
      <c r="M29" s="29"/>
      <c r="N29" s="32">
        <f t="shared" si="2"/>
        <v>8268.5</v>
      </c>
      <c r="O29" s="33">
        <f t="shared" si="3"/>
        <v>-1</v>
      </c>
    </row>
    <row r="30" spans="2:15" ht="15">
      <c r="B30" s="47" t="s">
        <v>103</v>
      </c>
      <c r="C30" s="23"/>
      <c r="D30" s="24" t="s">
        <v>63</v>
      </c>
      <c r="E30" s="25"/>
      <c r="F30" s="26">
        <f>'GS 1000-4999 (1,000kW)'!F30</f>
        <v>0</v>
      </c>
      <c r="G30" s="181">
        <f>$H$18</f>
        <v>5000</v>
      </c>
      <c r="H30" s="249">
        <f t="shared" si="0"/>
        <v>0</v>
      </c>
      <c r="I30" s="29"/>
      <c r="J30" s="30">
        <v>0</v>
      </c>
      <c r="K30" s="181">
        <f>H18</f>
        <v>5000</v>
      </c>
      <c r="L30" s="28">
        <f t="shared" si="1"/>
        <v>0</v>
      </c>
      <c r="M30" s="29"/>
      <c r="N30" s="259">
        <f t="shared" si="2"/>
        <v>0</v>
      </c>
      <c r="O30" s="33"/>
    </row>
    <row r="31" spans="2:15" ht="15">
      <c r="B31" s="23" t="s">
        <v>21</v>
      </c>
      <c r="C31" s="23"/>
      <c r="D31" s="24" t="s">
        <v>72</v>
      </c>
      <c r="E31" s="25"/>
      <c r="F31" s="26">
        <f>'GS 1000-4999 (1,000kW)'!F31</f>
        <v>3.4499</v>
      </c>
      <c r="G31" s="181">
        <f>$H$18</f>
        <v>5000</v>
      </c>
      <c r="H31" s="28">
        <f t="shared" si="0"/>
        <v>17249.5</v>
      </c>
      <c r="I31" s="29"/>
      <c r="J31" s="30">
        <f>'GS 1000-4999 (1,000kW)'!J31</f>
        <v>3.4982</v>
      </c>
      <c r="K31" s="181">
        <f>$H$18</f>
        <v>5000</v>
      </c>
      <c r="L31" s="28">
        <f t="shared" si="1"/>
        <v>17491</v>
      </c>
      <c r="M31" s="29"/>
      <c r="N31" s="32">
        <f t="shared" si="2"/>
        <v>241.5</v>
      </c>
      <c r="O31" s="33">
        <f t="shared" si="3"/>
        <v>0.014000405808864025</v>
      </c>
    </row>
    <row r="32" spans="2:15" ht="15">
      <c r="B32" s="23" t="s">
        <v>22</v>
      </c>
      <c r="C32" s="23"/>
      <c r="D32" s="24"/>
      <c r="E32" s="25"/>
      <c r="F32" s="26"/>
      <c r="G32" s="27">
        <f>$F$18</f>
        <v>1800000</v>
      </c>
      <c r="H32" s="28">
        <f t="shared" si="0"/>
        <v>0</v>
      </c>
      <c r="I32" s="29"/>
      <c r="J32" s="30"/>
      <c r="K32" s="27">
        <f aca="true" t="shared" si="4" ref="K32:K40">$F$18</f>
        <v>1800000</v>
      </c>
      <c r="L32" s="28">
        <f t="shared" si="1"/>
        <v>0</v>
      </c>
      <c r="M32" s="29"/>
      <c r="N32" s="32">
        <f t="shared" si="2"/>
        <v>0</v>
      </c>
      <c r="O32" s="33">
        <f t="shared" si="3"/>
      </c>
    </row>
    <row r="33" spans="2:15" ht="15">
      <c r="B33" s="23" t="s">
        <v>23</v>
      </c>
      <c r="C33" s="23"/>
      <c r="D33" s="24" t="s">
        <v>72</v>
      </c>
      <c r="E33" s="25"/>
      <c r="F33" s="26"/>
      <c r="G33" s="181">
        <f>$H$18</f>
        <v>5000</v>
      </c>
      <c r="H33" s="28">
        <f t="shared" si="0"/>
        <v>0</v>
      </c>
      <c r="I33" s="29"/>
      <c r="J33" s="30">
        <f>'GS 1000-4999 (1,000kW)'!J33</f>
        <v>0.0577</v>
      </c>
      <c r="K33" s="181">
        <f>$H$18</f>
        <v>5000</v>
      </c>
      <c r="L33" s="28">
        <f t="shared" si="1"/>
        <v>288.5</v>
      </c>
      <c r="M33" s="29"/>
      <c r="N33" s="32">
        <f t="shared" si="2"/>
        <v>288.5</v>
      </c>
      <c r="O33" s="33">
        <f t="shared" si="3"/>
      </c>
    </row>
    <row r="34" spans="2:15" ht="15" hidden="1">
      <c r="B34" s="34"/>
      <c r="C34" s="23"/>
      <c r="D34" s="24"/>
      <c r="E34" s="25"/>
      <c r="F34" s="26"/>
      <c r="G34" s="27">
        <f aca="true" t="shared" si="5" ref="G34:G40">$F$18</f>
        <v>1800000</v>
      </c>
      <c r="H34" s="28">
        <f t="shared" si="0"/>
        <v>0</v>
      </c>
      <c r="I34" s="29"/>
      <c r="J34" s="30"/>
      <c r="K34" s="27">
        <f t="shared" si="4"/>
        <v>1800000</v>
      </c>
      <c r="L34" s="28">
        <f t="shared" si="1"/>
        <v>0</v>
      </c>
      <c r="M34" s="29"/>
      <c r="N34" s="32">
        <f t="shared" si="2"/>
        <v>0</v>
      </c>
      <c r="O34" s="33">
        <f t="shared" si="3"/>
      </c>
    </row>
    <row r="35" spans="2:15" ht="15" hidden="1">
      <c r="B35" s="34"/>
      <c r="C35" s="23"/>
      <c r="D35" s="24"/>
      <c r="E35" s="25"/>
      <c r="F35" s="26"/>
      <c r="G35" s="27">
        <f t="shared" si="5"/>
        <v>1800000</v>
      </c>
      <c r="H35" s="28">
        <f t="shared" si="0"/>
        <v>0</v>
      </c>
      <c r="I35" s="29"/>
      <c r="J35" s="30"/>
      <c r="K35" s="27">
        <f t="shared" si="4"/>
        <v>1800000</v>
      </c>
      <c r="L35" s="28">
        <f t="shared" si="1"/>
        <v>0</v>
      </c>
      <c r="M35" s="29"/>
      <c r="N35" s="32">
        <f t="shared" si="2"/>
        <v>0</v>
      </c>
      <c r="O35" s="33">
        <f t="shared" si="3"/>
      </c>
    </row>
    <row r="36" spans="2:15" ht="15" hidden="1">
      <c r="B36" s="34"/>
      <c r="C36" s="23"/>
      <c r="D36" s="24"/>
      <c r="E36" s="25"/>
      <c r="F36" s="26"/>
      <c r="G36" s="27">
        <f t="shared" si="5"/>
        <v>1800000</v>
      </c>
      <c r="H36" s="28">
        <f t="shared" si="0"/>
        <v>0</v>
      </c>
      <c r="I36" s="29"/>
      <c r="J36" s="30"/>
      <c r="K36" s="27">
        <f t="shared" si="4"/>
        <v>1800000</v>
      </c>
      <c r="L36" s="28">
        <f t="shared" si="1"/>
        <v>0</v>
      </c>
      <c r="M36" s="29"/>
      <c r="N36" s="32">
        <f t="shared" si="2"/>
        <v>0</v>
      </c>
      <c r="O36" s="33">
        <f t="shared" si="3"/>
      </c>
    </row>
    <row r="37" spans="2:15" ht="15" hidden="1">
      <c r="B37" s="34"/>
      <c r="C37" s="23"/>
      <c r="D37" s="24"/>
      <c r="E37" s="25"/>
      <c r="F37" s="26"/>
      <c r="G37" s="27">
        <f t="shared" si="5"/>
        <v>1800000</v>
      </c>
      <c r="H37" s="28">
        <f t="shared" si="0"/>
        <v>0</v>
      </c>
      <c r="I37" s="29"/>
      <c r="J37" s="30"/>
      <c r="K37" s="27">
        <f t="shared" si="4"/>
        <v>1800000</v>
      </c>
      <c r="L37" s="28">
        <f t="shared" si="1"/>
        <v>0</v>
      </c>
      <c r="M37" s="29"/>
      <c r="N37" s="32">
        <f t="shared" si="2"/>
        <v>0</v>
      </c>
      <c r="O37" s="33">
        <f t="shared" si="3"/>
      </c>
    </row>
    <row r="38" spans="2:15" ht="15" hidden="1">
      <c r="B38" s="34"/>
      <c r="C38" s="23"/>
      <c r="D38" s="24"/>
      <c r="E38" s="25"/>
      <c r="F38" s="26"/>
      <c r="G38" s="27">
        <f t="shared" si="5"/>
        <v>1800000</v>
      </c>
      <c r="H38" s="28">
        <f t="shared" si="0"/>
        <v>0</v>
      </c>
      <c r="I38" s="29"/>
      <c r="J38" s="30"/>
      <c r="K38" s="27">
        <f t="shared" si="4"/>
        <v>1800000</v>
      </c>
      <c r="L38" s="28">
        <f t="shared" si="1"/>
        <v>0</v>
      </c>
      <c r="M38" s="29"/>
      <c r="N38" s="32">
        <f t="shared" si="2"/>
        <v>0</v>
      </c>
      <c r="O38" s="33">
        <f t="shared" si="3"/>
      </c>
    </row>
    <row r="39" spans="2:15" ht="15" hidden="1">
      <c r="B39" s="34"/>
      <c r="C39" s="23"/>
      <c r="D39" s="24"/>
      <c r="E39" s="25"/>
      <c r="F39" s="26"/>
      <c r="G39" s="27">
        <f t="shared" si="5"/>
        <v>1800000</v>
      </c>
      <c r="H39" s="28">
        <f t="shared" si="0"/>
        <v>0</v>
      </c>
      <c r="I39" s="29"/>
      <c r="J39" s="30"/>
      <c r="K39" s="27">
        <f t="shared" si="4"/>
        <v>1800000</v>
      </c>
      <c r="L39" s="28">
        <f t="shared" si="1"/>
        <v>0</v>
      </c>
      <c r="M39" s="29"/>
      <c r="N39" s="32">
        <f t="shared" si="2"/>
        <v>0</v>
      </c>
      <c r="O39" s="33">
        <f t="shared" si="3"/>
      </c>
    </row>
    <row r="40" spans="2:15" ht="15" hidden="1">
      <c r="B40" s="34"/>
      <c r="C40" s="23"/>
      <c r="D40" s="24"/>
      <c r="E40" s="25"/>
      <c r="F40" s="26"/>
      <c r="G40" s="27">
        <f t="shared" si="5"/>
        <v>1800000</v>
      </c>
      <c r="H40" s="28">
        <f t="shared" si="0"/>
        <v>0</v>
      </c>
      <c r="I40" s="29"/>
      <c r="J40" s="30"/>
      <c r="K40" s="27">
        <f t="shared" si="4"/>
        <v>1800000</v>
      </c>
      <c r="L40" s="28">
        <f t="shared" si="1"/>
        <v>0</v>
      </c>
      <c r="M40" s="29"/>
      <c r="N40" s="32">
        <f t="shared" si="2"/>
        <v>0</v>
      </c>
      <c r="O40" s="33">
        <f t="shared" si="3"/>
      </c>
    </row>
    <row r="41" spans="2:15" s="35" customFormat="1" ht="15">
      <c r="B41" s="36" t="s">
        <v>24</v>
      </c>
      <c r="C41" s="37"/>
      <c r="D41" s="38"/>
      <c r="E41" s="37"/>
      <c r="F41" s="39"/>
      <c r="G41" s="40"/>
      <c r="H41" s="41">
        <f>SUM(H23:H40)</f>
        <v>9972.119999999999</v>
      </c>
      <c r="I41" s="42"/>
      <c r="J41" s="43"/>
      <c r="K41" s="44"/>
      <c r="L41" s="41">
        <f>SUM(L23:L40)</f>
        <v>18785.29</v>
      </c>
      <c r="M41" s="42"/>
      <c r="N41" s="45">
        <f t="shared" si="2"/>
        <v>8813.170000000002</v>
      </c>
      <c r="O41" s="46">
        <f t="shared" si="3"/>
        <v>0.8837809813760767</v>
      </c>
    </row>
    <row r="42" spans="2:15" ht="25.5">
      <c r="B42" s="47" t="s">
        <v>25</v>
      </c>
      <c r="C42" s="23"/>
      <c r="D42" s="57" t="s">
        <v>72</v>
      </c>
      <c r="E42" s="58"/>
      <c r="F42" s="254">
        <f>'GS 1000-4999 (1,000kW)'!F42</f>
        <v>-0.7587</v>
      </c>
      <c r="G42" s="181">
        <f>G31</f>
        <v>5000</v>
      </c>
      <c r="H42" s="28">
        <f aca="true" t="shared" si="6" ref="H42:H48">G42*F42</f>
        <v>-3793.5</v>
      </c>
      <c r="I42" s="29"/>
      <c r="J42" s="254">
        <f>'GS 1000-4999 (1,000kW)'!J42</f>
        <v>-0.7302</v>
      </c>
      <c r="K42" s="181">
        <f>H18</f>
        <v>5000</v>
      </c>
      <c r="L42" s="28">
        <f aca="true" t="shared" si="7" ref="L42:L48">K42*J42</f>
        <v>-3651</v>
      </c>
      <c r="M42" s="29"/>
      <c r="N42" s="32">
        <f t="shared" si="2"/>
        <v>142.5</v>
      </c>
      <c r="O42" s="33">
        <f t="shared" si="3"/>
        <v>-0.03756425464610518</v>
      </c>
    </row>
    <row r="43" spans="2:15" ht="15" hidden="1">
      <c r="B43" s="47"/>
      <c r="C43" s="23"/>
      <c r="D43" s="24" t="s">
        <v>72</v>
      </c>
      <c r="E43" s="25"/>
      <c r="F43" s="26"/>
      <c r="G43" s="181">
        <f>H18</f>
        <v>5000</v>
      </c>
      <c r="H43" s="28">
        <f t="shared" si="6"/>
        <v>0</v>
      </c>
      <c r="I43" s="48"/>
      <c r="J43" s="30"/>
      <c r="K43" s="181">
        <f>H18</f>
        <v>5000</v>
      </c>
      <c r="L43" s="28">
        <f t="shared" si="7"/>
        <v>0</v>
      </c>
      <c r="M43" s="49"/>
      <c r="N43" s="32">
        <f t="shared" si="2"/>
        <v>0</v>
      </c>
      <c r="O43" s="33">
        <f t="shared" si="3"/>
      </c>
    </row>
    <row r="44" spans="2:15" ht="15" hidden="1">
      <c r="B44" s="47"/>
      <c r="C44" s="23"/>
      <c r="D44" s="24" t="s">
        <v>72</v>
      </c>
      <c r="E44" s="25"/>
      <c r="F44" s="26"/>
      <c r="G44" s="181">
        <f>H18</f>
        <v>5000</v>
      </c>
      <c r="H44" s="28">
        <f t="shared" si="6"/>
        <v>0</v>
      </c>
      <c r="I44" s="48"/>
      <c r="J44" s="30"/>
      <c r="K44" s="181">
        <f>H18</f>
        <v>5000</v>
      </c>
      <c r="L44" s="28">
        <f t="shared" si="7"/>
        <v>0</v>
      </c>
      <c r="M44" s="49"/>
      <c r="N44" s="32">
        <f t="shared" si="2"/>
        <v>0</v>
      </c>
      <c r="O44" s="33">
        <f t="shared" si="3"/>
      </c>
    </row>
    <row r="45" spans="2:15" ht="30.75" customHeight="1">
      <c r="B45" s="47" t="s">
        <v>78</v>
      </c>
      <c r="C45" s="23"/>
      <c r="D45" s="24" t="s">
        <v>72</v>
      </c>
      <c r="E45" s="25"/>
      <c r="F45" s="254">
        <f>'GS 1000-4999 (1,000kW)'!F45</f>
        <v>-2.0161</v>
      </c>
      <c r="G45" s="181">
        <f>H18</f>
        <v>5000</v>
      </c>
      <c r="H45" s="28">
        <f t="shared" si="6"/>
        <v>-10080.499999999998</v>
      </c>
      <c r="I45" s="48"/>
      <c r="J45" s="30">
        <f>'GS 1000-4999 (1,000kW)'!J45</f>
        <v>1.4728</v>
      </c>
      <c r="K45" s="181">
        <f>H18</f>
        <v>5000</v>
      </c>
      <c r="L45" s="28">
        <f t="shared" si="7"/>
        <v>7364.000000000001</v>
      </c>
      <c r="M45" s="49"/>
      <c r="N45" s="32">
        <f t="shared" si="2"/>
        <v>17444.5</v>
      </c>
      <c r="O45" s="33">
        <f t="shared" si="3"/>
        <v>-1.7305193194782007</v>
      </c>
    </row>
    <row r="46" spans="2:15" ht="15">
      <c r="B46" s="50" t="s">
        <v>26</v>
      </c>
      <c r="C46" s="23"/>
      <c r="D46" s="24" t="s">
        <v>72</v>
      </c>
      <c r="E46" s="25"/>
      <c r="F46" s="26">
        <f>'GS 1000-4999 (1,000kW)'!F46</f>
        <v>0.0421</v>
      </c>
      <c r="G46" s="181">
        <f>H18</f>
        <v>5000</v>
      </c>
      <c r="H46" s="28">
        <f t="shared" si="6"/>
        <v>210.5</v>
      </c>
      <c r="I46" s="29"/>
      <c r="J46" s="30">
        <f>'GS 1000-4999 (1,000kW)'!J46</f>
        <v>0.0421</v>
      </c>
      <c r="K46" s="181">
        <f>H18</f>
        <v>5000</v>
      </c>
      <c r="L46" s="28">
        <f t="shared" si="7"/>
        <v>210.5</v>
      </c>
      <c r="M46" s="29"/>
      <c r="N46" s="32">
        <f t="shared" si="2"/>
        <v>0</v>
      </c>
      <c r="O46" s="33">
        <f t="shared" si="3"/>
        <v>0</v>
      </c>
    </row>
    <row r="47" spans="2:15" s="35" customFormat="1" ht="15">
      <c r="B47" s="183" t="s">
        <v>27</v>
      </c>
      <c r="C47" s="25"/>
      <c r="D47" s="184" t="s">
        <v>63</v>
      </c>
      <c r="E47" s="25"/>
      <c r="F47" s="185">
        <f>IF(ISBLANK(D16)=TRUE,0,IF(D16="TOU",0.64*$F$57+0.18*$F$58+0.18*$F$59,IF(AND(D16="non-TOU",G61&gt;0),F61,F60)))</f>
        <v>0.088</v>
      </c>
      <c r="G47" s="27">
        <f>$F$18*(1+$F$76)-$F$18</f>
        <v>60300.00000000023</v>
      </c>
      <c r="H47" s="186">
        <f t="shared" si="6"/>
        <v>5306.400000000021</v>
      </c>
      <c r="I47" s="58"/>
      <c r="J47" s="187">
        <f>IF(ISBLANK(D16)=TRUE,0,IF(D16="TOU",0.64*$F$57+0.18*$F$58+0.18*$F$59,IF(AND(D16="non-TOU",K61&gt;0),J61,J60)))</f>
        <v>0.088</v>
      </c>
      <c r="K47" s="27">
        <f>$F$18*(1+$J$76)-$F$18</f>
        <v>60300.00000000023</v>
      </c>
      <c r="L47" s="186">
        <f t="shared" si="7"/>
        <v>5306.400000000021</v>
      </c>
      <c r="M47" s="58"/>
      <c r="N47" s="188">
        <f t="shared" si="2"/>
        <v>0</v>
      </c>
      <c r="O47" s="189">
        <f t="shared" si="3"/>
        <v>0</v>
      </c>
    </row>
    <row r="48" spans="2:15" ht="15">
      <c r="B48" s="50" t="s">
        <v>28</v>
      </c>
      <c r="C48" s="23"/>
      <c r="D48" s="24" t="s">
        <v>62</v>
      </c>
      <c r="E48" s="25"/>
      <c r="F48" s="180">
        <v>0.79</v>
      </c>
      <c r="G48" s="27">
        <v>0</v>
      </c>
      <c r="H48" s="28">
        <f t="shared" si="6"/>
        <v>0</v>
      </c>
      <c r="I48" s="29"/>
      <c r="J48" s="180">
        <v>0.79</v>
      </c>
      <c r="K48" s="27">
        <v>0</v>
      </c>
      <c r="L48" s="28">
        <f t="shared" si="7"/>
        <v>0</v>
      </c>
      <c r="M48" s="29"/>
      <c r="N48" s="32">
        <f t="shared" si="2"/>
        <v>0</v>
      </c>
      <c r="O48" s="33"/>
    </row>
    <row r="49" spans="2:15" ht="25.5">
      <c r="B49" s="51" t="s">
        <v>29</v>
      </c>
      <c r="C49" s="52"/>
      <c r="D49" s="52"/>
      <c r="E49" s="52"/>
      <c r="F49" s="53"/>
      <c r="G49" s="54"/>
      <c r="H49" s="55">
        <f>SUM(H42:H48)+H41</f>
        <v>1615.0200000000223</v>
      </c>
      <c r="I49" s="42"/>
      <c r="J49" s="54"/>
      <c r="K49" s="56"/>
      <c r="L49" s="55">
        <f>SUM(L42:L48)+L41</f>
        <v>28015.190000000024</v>
      </c>
      <c r="M49" s="42"/>
      <c r="N49" s="45">
        <f t="shared" si="2"/>
        <v>26400.170000000002</v>
      </c>
      <c r="O49" s="46">
        <f aca="true" t="shared" si="8" ref="O49:O67">IF((H49)=0,"",(N49/H49))</f>
        <v>16.34665205384431</v>
      </c>
    </row>
    <row r="50" spans="2:15" ht="15">
      <c r="B50" s="29" t="s">
        <v>30</v>
      </c>
      <c r="C50" s="29"/>
      <c r="D50" s="57" t="s">
        <v>72</v>
      </c>
      <c r="E50" s="58"/>
      <c r="F50" s="30">
        <f>'GS 1000-4999 (1,000kW)'!F50</f>
        <v>2.8711</v>
      </c>
      <c r="G50" s="59">
        <f>H18*(1+F76)</f>
        <v>5167.5</v>
      </c>
      <c r="H50" s="28">
        <f>G50*F50</f>
        <v>14836.40925</v>
      </c>
      <c r="I50" s="29"/>
      <c r="J50" s="30">
        <f>'GS 1000-4999 (1,000kW)'!J50</f>
        <v>2.962</v>
      </c>
      <c r="K50" s="60">
        <f>H18*(1+J76)</f>
        <v>5167.5</v>
      </c>
      <c r="L50" s="28">
        <f>K50*J50</f>
        <v>15306.135</v>
      </c>
      <c r="M50" s="29"/>
      <c r="N50" s="32">
        <f t="shared" si="2"/>
        <v>469.7257499999996</v>
      </c>
      <c r="O50" s="33">
        <f t="shared" si="8"/>
        <v>0.0316603392427989</v>
      </c>
    </row>
    <row r="51" spans="2:15" ht="30">
      <c r="B51" s="61" t="s">
        <v>31</v>
      </c>
      <c r="C51" s="29"/>
      <c r="D51" s="57" t="s">
        <v>72</v>
      </c>
      <c r="E51" s="58"/>
      <c r="F51" s="30">
        <f>'GS 1000-4999 (1,000kW)'!F51</f>
        <v>1.8788</v>
      </c>
      <c r="G51" s="59">
        <f>G50</f>
        <v>5167.5</v>
      </c>
      <c r="H51" s="28">
        <f>G51*F51</f>
        <v>9708.699</v>
      </c>
      <c r="I51" s="29"/>
      <c r="J51" s="30">
        <f>'GS 1000-4999 (1,000kW)'!J51</f>
        <v>1.9075</v>
      </c>
      <c r="K51" s="60">
        <f>K50</f>
        <v>5167.5</v>
      </c>
      <c r="L51" s="28">
        <f>K51*J51</f>
        <v>9857.00625</v>
      </c>
      <c r="M51" s="29"/>
      <c r="N51" s="32">
        <f t="shared" si="2"/>
        <v>148.30724999999984</v>
      </c>
      <c r="O51" s="33">
        <f t="shared" si="8"/>
        <v>0.0152757078986587</v>
      </c>
    </row>
    <row r="52" spans="2:15" ht="25.5">
      <c r="B52" s="51" t="s">
        <v>32</v>
      </c>
      <c r="C52" s="37"/>
      <c r="D52" s="37"/>
      <c r="E52" s="37"/>
      <c r="F52" s="62"/>
      <c r="G52" s="54"/>
      <c r="H52" s="55">
        <f>SUM(H49:H51)</f>
        <v>26160.128250000023</v>
      </c>
      <c r="I52" s="63"/>
      <c r="J52" s="64"/>
      <c r="K52" s="65"/>
      <c r="L52" s="55">
        <f>SUM(L49:L51)</f>
        <v>53178.331250000025</v>
      </c>
      <c r="M52" s="63"/>
      <c r="N52" s="45">
        <f t="shared" si="2"/>
        <v>27018.203</v>
      </c>
      <c r="O52" s="46">
        <f t="shared" si="8"/>
        <v>1.032800861746539</v>
      </c>
    </row>
    <row r="53" spans="2:15" ht="30">
      <c r="B53" s="66" t="s">
        <v>33</v>
      </c>
      <c r="C53" s="23"/>
      <c r="D53" s="24" t="s">
        <v>63</v>
      </c>
      <c r="E53" s="25"/>
      <c r="F53" s="67">
        <v>0.0044</v>
      </c>
      <c r="G53" s="59">
        <f>F18*(1+F76)</f>
        <v>1860300.0000000002</v>
      </c>
      <c r="H53" s="68">
        <f aca="true" t="shared" si="9" ref="H53:H59">G53*F53</f>
        <v>8185.3200000000015</v>
      </c>
      <c r="I53" s="29"/>
      <c r="J53" s="69">
        <v>0.0044</v>
      </c>
      <c r="K53" s="60">
        <f>F18*(1+J76)</f>
        <v>1860300.0000000002</v>
      </c>
      <c r="L53" s="68">
        <f aca="true" t="shared" si="10" ref="L53:L59">K53*J53</f>
        <v>8185.3200000000015</v>
      </c>
      <c r="M53" s="29"/>
      <c r="N53" s="32">
        <f t="shared" si="2"/>
        <v>0</v>
      </c>
      <c r="O53" s="70">
        <f t="shared" si="8"/>
        <v>0</v>
      </c>
    </row>
    <row r="54" spans="2:15" ht="30">
      <c r="B54" s="66" t="s">
        <v>34</v>
      </c>
      <c r="C54" s="23"/>
      <c r="D54" s="24" t="s">
        <v>63</v>
      </c>
      <c r="E54" s="25"/>
      <c r="F54" s="67">
        <v>0.0013</v>
      </c>
      <c r="G54" s="59">
        <f>G53</f>
        <v>1860300.0000000002</v>
      </c>
      <c r="H54" s="68">
        <f t="shared" si="9"/>
        <v>2418.3900000000003</v>
      </c>
      <c r="I54" s="29"/>
      <c r="J54" s="69">
        <v>0.0013</v>
      </c>
      <c r="K54" s="60">
        <f>K53</f>
        <v>1860300.0000000002</v>
      </c>
      <c r="L54" s="68">
        <f t="shared" si="10"/>
        <v>2418.3900000000003</v>
      </c>
      <c r="M54" s="29"/>
      <c r="N54" s="32">
        <f t="shared" si="2"/>
        <v>0</v>
      </c>
      <c r="O54" s="70">
        <f t="shared" si="8"/>
        <v>0</v>
      </c>
    </row>
    <row r="55" spans="2:15" ht="15">
      <c r="B55" s="23" t="s">
        <v>35</v>
      </c>
      <c r="C55" s="23"/>
      <c r="D55" s="24" t="s">
        <v>62</v>
      </c>
      <c r="E55" s="25"/>
      <c r="F55" s="178">
        <v>0.25</v>
      </c>
      <c r="G55" s="27">
        <v>1</v>
      </c>
      <c r="H55" s="68">
        <f t="shared" si="9"/>
        <v>0.25</v>
      </c>
      <c r="I55" s="29"/>
      <c r="J55" s="179">
        <v>0.25</v>
      </c>
      <c r="K55" s="31">
        <v>1</v>
      </c>
      <c r="L55" s="68">
        <f t="shared" si="10"/>
        <v>0.25</v>
      </c>
      <c r="M55" s="29"/>
      <c r="N55" s="32">
        <f t="shared" si="2"/>
        <v>0</v>
      </c>
      <c r="O55" s="70">
        <f t="shared" si="8"/>
        <v>0</v>
      </c>
    </row>
    <row r="56" spans="2:15" ht="15">
      <c r="B56" s="23" t="s">
        <v>36</v>
      </c>
      <c r="C56" s="23"/>
      <c r="D56" s="24" t="s">
        <v>63</v>
      </c>
      <c r="E56" s="25"/>
      <c r="F56" s="67">
        <v>0.007</v>
      </c>
      <c r="G56" s="71">
        <f>F18</f>
        <v>1800000</v>
      </c>
      <c r="H56" s="68">
        <f t="shared" si="9"/>
        <v>12600</v>
      </c>
      <c r="I56" s="29"/>
      <c r="J56" s="69">
        <f>0.007</f>
        <v>0.007</v>
      </c>
      <c r="K56" s="72">
        <f>F18</f>
        <v>1800000</v>
      </c>
      <c r="L56" s="68">
        <f t="shared" si="10"/>
        <v>12600</v>
      </c>
      <c r="M56" s="29"/>
      <c r="N56" s="32">
        <f t="shared" si="2"/>
        <v>0</v>
      </c>
      <c r="O56" s="70">
        <f t="shared" si="8"/>
        <v>0</v>
      </c>
    </row>
    <row r="57" spans="2:19" ht="15.75" thickBot="1">
      <c r="B57" s="50" t="s">
        <v>77</v>
      </c>
      <c r="C57" s="23"/>
      <c r="D57" s="24" t="s">
        <v>63</v>
      </c>
      <c r="E57" s="25"/>
      <c r="F57" s="67">
        <v>0.0799</v>
      </c>
      <c r="G57" s="71">
        <f>F18</f>
        <v>1800000</v>
      </c>
      <c r="H57" s="190">
        <f t="shared" si="9"/>
        <v>143820</v>
      </c>
      <c r="I57" s="58"/>
      <c r="J57" s="69">
        <v>0.0799</v>
      </c>
      <c r="K57" s="71">
        <f>G57</f>
        <v>1800000</v>
      </c>
      <c r="L57" s="68">
        <f t="shared" si="10"/>
        <v>143820</v>
      </c>
      <c r="M57" s="29"/>
      <c r="N57" s="32">
        <f t="shared" si="2"/>
        <v>0</v>
      </c>
      <c r="O57" s="70">
        <f t="shared" si="8"/>
        <v>0</v>
      </c>
      <c r="S57" s="74"/>
    </row>
    <row r="58" spans="2:19" ht="15.75" hidden="1" thickBot="1">
      <c r="B58" s="50" t="s">
        <v>38</v>
      </c>
      <c r="C58" s="23"/>
      <c r="D58" s="24"/>
      <c r="E58" s="25"/>
      <c r="F58" s="73">
        <v>0.104</v>
      </c>
      <c r="G58" s="59">
        <v>0</v>
      </c>
      <c r="H58" s="68">
        <f t="shared" si="9"/>
        <v>0</v>
      </c>
      <c r="I58" s="29"/>
      <c r="J58" s="67">
        <v>0.104</v>
      </c>
      <c r="K58" s="59">
        <v>0</v>
      </c>
      <c r="L58" s="68">
        <f t="shared" si="10"/>
        <v>0</v>
      </c>
      <c r="M58" s="29"/>
      <c r="N58" s="32">
        <f t="shared" si="2"/>
        <v>0</v>
      </c>
      <c r="O58" s="70">
        <f t="shared" si="8"/>
      </c>
      <c r="S58" s="74"/>
    </row>
    <row r="59" spans="2:19" ht="15.75" hidden="1" thickBot="1">
      <c r="B59" s="13" t="s">
        <v>39</v>
      </c>
      <c r="C59" s="23"/>
      <c r="D59" s="24"/>
      <c r="E59" s="25"/>
      <c r="F59" s="73">
        <v>0.124</v>
      </c>
      <c r="G59" s="59">
        <v>0</v>
      </c>
      <c r="H59" s="68">
        <f t="shared" si="9"/>
        <v>0</v>
      </c>
      <c r="I59" s="29"/>
      <c r="J59" s="67">
        <v>0.124</v>
      </c>
      <c r="K59" s="59">
        <v>0</v>
      </c>
      <c r="L59" s="68">
        <f t="shared" si="10"/>
        <v>0</v>
      </c>
      <c r="M59" s="29"/>
      <c r="N59" s="32">
        <f t="shared" si="2"/>
        <v>0</v>
      </c>
      <c r="O59" s="70">
        <f t="shared" si="8"/>
      </c>
      <c r="S59" s="74"/>
    </row>
    <row r="60" spans="2:15" s="75" customFormat="1" ht="15.75" hidden="1" thickBot="1">
      <c r="B60" s="182" t="s">
        <v>40</v>
      </c>
      <c r="C60" s="77"/>
      <c r="D60" s="78"/>
      <c r="E60" s="79"/>
      <c r="F60" s="73">
        <v>0.075</v>
      </c>
      <c r="G60" s="80">
        <f>IF(AND($T$1=1,F18&gt;=600),600,IF(AND($T$1=1,AND(F18&lt;600,F18&gt;=0)),F18,IF(AND($T$1=2,F18&gt;=1000),1000,IF(AND($T$1=2,AND(F18&lt;1000,F18&gt;=0)),F18))))</f>
        <v>600</v>
      </c>
      <c r="H60" s="68">
        <f>G60*F60</f>
        <v>45</v>
      </c>
      <c r="I60" s="81"/>
      <c r="J60" s="67">
        <v>0.075</v>
      </c>
      <c r="K60" s="80">
        <f>G60</f>
        <v>600</v>
      </c>
      <c r="L60" s="68">
        <f>K60*J60</f>
        <v>45</v>
      </c>
      <c r="M60" s="81"/>
      <c r="N60" s="82">
        <f t="shared" si="2"/>
        <v>0</v>
      </c>
      <c r="O60" s="70">
        <f t="shared" si="8"/>
        <v>0</v>
      </c>
    </row>
    <row r="61" spans="2:15" s="75" customFormat="1" ht="15.75" hidden="1" thickBot="1">
      <c r="B61" s="182" t="s">
        <v>41</v>
      </c>
      <c r="C61" s="77"/>
      <c r="D61" s="78"/>
      <c r="E61" s="79"/>
      <c r="F61" s="73">
        <v>0.088</v>
      </c>
      <c r="G61" s="80">
        <f>IF(AND($T$1=1,F18&gt;=600),F18-600,IF(AND($T$1=1,AND(F18&lt;600,F18&gt;=0)),0,IF(AND($T$1=2,F18&gt;=1000),F18-1000,IF(AND($T$1=2,AND(F18&lt;1000,F18&gt;=0)),0))))</f>
        <v>1799400</v>
      </c>
      <c r="H61" s="68">
        <f>G61*F61</f>
        <v>158347.19999999998</v>
      </c>
      <c r="I61" s="81"/>
      <c r="J61" s="67">
        <v>0.088</v>
      </c>
      <c r="K61" s="80">
        <f>G61</f>
        <v>1799400</v>
      </c>
      <c r="L61" s="68">
        <f>K61*J61</f>
        <v>158347.19999999998</v>
      </c>
      <c r="M61" s="81"/>
      <c r="N61" s="82">
        <f t="shared" si="2"/>
        <v>0</v>
      </c>
      <c r="O61" s="70">
        <f t="shared" si="8"/>
        <v>0</v>
      </c>
    </row>
    <row r="62" spans="2:15" ht="8.25" customHeight="1" thickBot="1">
      <c r="B62" s="83"/>
      <c r="C62" s="84"/>
      <c r="D62" s="85"/>
      <c r="E62" s="84"/>
      <c r="F62" s="86"/>
      <c r="G62" s="87"/>
      <c r="H62" s="88"/>
      <c r="I62" s="89"/>
      <c r="J62" s="86"/>
      <c r="K62" s="90"/>
      <c r="L62" s="88"/>
      <c r="M62" s="89"/>
      <c r="N62" s="91"/>
      <c r="O62" s="92"/>
    </row>
    <row r="63" spans="2:19" ht="15" hidden="1">
      <c r="B63" s="93" t="s">
        <v>42</v>
      </c>
      <c r="C63" s="23"/>
      <c r="D63" s="23"/>
      <c r="E63" s="23"/>
      <c r="F63" s="94"/>
      <c r="G63" s="95"/>
      <c r="H63" s="96">
        <f>SUM(H53:H59,H52)</f>
        <v>193184.08825000003</v>
      </c>
      <c r="I63" s="97"/>
      <c r="J63" s="98"/>
      <c r="K63" s="98"/>
      <c r="L63" s="96">
        <f>SUM(L53:L59,L52)</f>
        <v>220202.29125</v>
      </c>
      <c r="M63" s="99"/>
      <c r="N63" s="100">
        <f>L63-H63</f>
        <v>27018.20299999998</v>
      </c>
      <c r="O63" s="101">
        <f>IF((H63)=0,"",(N63/H63))</f>
        <v>0.13985728972168585</v>
      </c>
      <c r="S63" s="74"/>
    </row>
    <row r="64" spans="2:19" ht="15" hidden="1">
      <c r="B64" s="102" t="s">
        <v>43</v>
      </c>
      <c r="C64" s="23"/>
      <c r="D64" s="23"/>
      <c r="E64" s="23"/>
      <c r="F64" s="103">
        <v>0.13</v>
      </c>
      <c r="G64" s="104"/>
      <c r="H64" s="105">
        <f>H63*F64</f>
        <v>25113.931472500004</v>
      </c>
      <c r="I64" s="106"/>
      <c r="J64" s="107">
        <v>0.13</v>
      </c>
      <c r="K64" s="106"/>
      <c r="L64" s="108">
        <f>L63*J64</f>
        <v>28626.297862500003</v>
      </c>
      <c r="M64" s="109"/>
      <c r="N64" s="110">
        <f t="shared" si="2"/>
        <v>3512.3663899999992</v>
      </c>
      <c r="O64" s="111">
        <f t="shared" si="8"/>
        <v>0.1398572897216859</v>
      </c>
      <c r="S64" s="74"/>
    </row>
    <row r="65" spans="2:19" ht="15" hidden="1">
      <c r="B65" s="112" t="s">
        <v>44</v>
      </c>
      <c r="C65" s="23"/>
      <c r="D65" s="23"/>
      <c r="E65" s="23"/>
      <c r="F65" s="113"/>
      <c r="G65" s="104"/>
      <c r="H65" s="105">
        <f>H63+H64</f>
        <v>218298.01972250003</v>
      </c>
      <c r="I65" s="106"/>
      <c r="J65" s="106"/>
      <c r="K65" s="106"/>
      <c r="L65" s="108">
        <f>L63+L64</f>
        <v>248828.58911250002</v>
      </c>
      <c r="M65" s="109"/>
      <c r="N65" s="110">
        <f t="shared" si="2"/>
        <v>30530.56938999999</v>
      </c>
      <c r="O65" s="111">
        <f t="shared" si="8"/>
        <v>0.1398572897216859</v>
      </c>
      <c r="S65" s="74"/>
    </row>
    <row r="66" spans="2:15" ht="15.75" customHeight="1" hidden="1">
      <c r="B66" s="333" t="s">
        <v>45</v>
      </c>
      <c r="C66" s="333"/>
      <c r="D66" s="333"/>
      <c r="E66" s="23"/>
      <c r="F66" s="113"/>
      <c r="G66" s="104"/>
      <c r="H66" s="114">
        <f>ROUND(-H65*10%,2)</f>
        <v>-21829.8</v>
      </c>
      <c r="I66" s="106"/>
      <c r="J66" s="106"/>
      <c r="K66" s="106"/>
      <c r="L66" s="115">
        <f>ROUND(-L65*10%,2)</f>
        <v>-24882.86</v>
      </c>
      <c r="M66" s="109"/>
      <c r="N66" s="116">
        <f t="shared" si="2"/>
        <v>-3053.0600000000013</v>
      </c>
      <c r="O66" s="117">
        <f t="shared" si="8"/>
        <v>0.1398574425784937</v>
      </c>
    </row>
    <row r="67" spans="2:15" ht="15" hidden="1">
      <c r="B67" s="334" t="s">
        <v>46</v>
      </c>
      <c r="C67" s="334"/>
      <c r="D67" s="334"/>
      <c r="E67" s="118"/>
      <c r="F67" s="119"/>
      <c r="G67" s="120"/>
      <c r="H67" s="121">
        <f>H65+H66</f>
        <v>196468.21972250004</v>
      </c>
      <c r="I67" s="122"/>
      <c r="J67" s="122"/>
      <c r="K67" s="122"/>
      <c r="L67" s="123">
        <f>L65+L66</f>
        <v>223945.72911250003</v>
      </c>
      <c r="M67" s="124"/>
      <c r="N67" s="125">
        <f t="shared" si="2"/>
        <v>27477.509389999992</v>
      </c>
      <c r="O67" s="126">
        <f t="shared" si="8"/>
        <v>0.13985727273759788</v>
      </c>
    </row>
    <row r="68" spans="2:15" s="75" customFormat="1" ht="8.25" customHeight="1" hidden="1">
      <c r="B68" s="127"/>
      <c r="C68" s="128"/>
      <c r="D68" s="129"/>
      <c r="E68" s="128"/>
      <c r="F68" s="86"/>
      <c r="G68" s="130"/>
      <c r="H68" s="88"/>
      <c r="I68" s="131"/>
      <c r="J68" s="86"/>
      <c r="K68" s="132"/>
      <c r="L68" s="88"/>
      <c r="M68" s="131"/>
      <c r="N68" s="133"/>
      <c r="O68" s="92"/>
    </row>
    <row r="69" spans="2:15" s="75" customFormat="1" ht="12.75">
      <c r="B69" s="134" t="s">
        <v>47</v>
      </c>
      <c r="C69" s="77"/>
      <c r="D69" s="77"/>
      <c r="E69" s="77"/>
      <c r="F69" s="135"/>
      <c r="G69" s="136"/>
      <c r="H69" s="137">
        <f>SUM(H57,H52,H53:H56)</f>
        <v>193184.08825000003</v>
      </c>
      <c r="I69" s="138"/>
      <c r="J69" s="139"/>
      <c r="K69" s="139"/>
      <c r="L69" s="191">
        <f>SUM(L57,L52,L53:L56)</f>
        <v>220202.29125000004</v>
      </c>
      <c r="M69" s="140"/>
      <c r="N69" s="141">
        <f>L69-H69</f>
        <v>27018.20300000001</v>
      </c>
      <c r="O69" s="101">
        <f>IF((H69)=0,"",(N69/H69))</f>
        <v>0.13985728972168598</v>
      </c>
    </row>
    <row r="70" spans="2:15" s="75" customFormat="1" ht="12.75">
      <c r="B70" s="142" t="s">
        <v>43</v>
      </c>
      <c r="C70" s="77"/>
      <c r="D70" s="77"/>
      <c r="E70" s="77"/>
      <c r="F70" s="143">
        <v>0.13</v>
      </c>
      <c r="G70" s="136"/>
      <c r="H70" s="144">
        <f>H69*F70</f>
        <v>25113.931472500004</v>
      </c>
      <c r="I70" s="145"/>
      <c r="J70" s="146">
        <v>0.13</v>
      </c>
      <c r="K70" s="147"/>
      <c r="L70" s="148">
        <f>L69*J70</f>
        <v>28626.297862500007</v>
      </c>
      <c r="M70" s="149"/>
      <c r="N70" s="150">
        <f>L70-H70</f>
        <v>3512.366390000003</v>
      </c>
      <c r="O70" s="111">
        <f>IF((H70)=0,"",(N70/H70))</f>
        <v>0.13985728972168607</v>
      </c>
    </row>
    <row r="71" spans="2:15" s="75" customFormat="1" ht="12.75">
      <c r="B71" s="151" t="s">
        <v>44</v>
      </c>
      <c r="C71" s="77"/>
      <c r="D71" s="77"/>
      <c r="E71" s="77"/>
      <c r="F71" s="152"/>
      <c r="G71" s="153"/>
      <c r="H71" s="144">
        <f>H69+H70</f>
        <v>218298.01972250003</v>
      </c>
      <c r="I71" s="145"/>
      <c r="J71" s="145"/>
      <c r="K71" s="145"/>
      <c r="L71" s="148">
        <f>L69+L70</f>
        <v>248828.58911250005</v>
      </c>
      <c r="M71" s="149"/>
      <c r="N71" s="150">
        <f>L71-H71</f>
        <v>30530.56939000002</v>
      </c>
      <c r="O71" s="111">
        <f>IF((H71)=0,"",(N71/H71))</f>
        <v>0.13985728972168604</v>
      </c>
    </row>
    <row r="72" spans="2:15" s="75" customFormat="1" ht="15.75" customHeight="1">
      <c r="B72" s="335" t="s">
        <v>45</v>
      </c>
      <c r="C72" s="335"/>
      <c r="D72" s="335"/>
      <c r="E72" s="77"/>
      <c r="F72" s="152"/>
      <c r="G72" s="153"/>
      <c r="H72" s="256">
        <f>ROUND(-H71*10%,2)</f>
        <v>-21829.8</v>
      </c>
      <c r="I72" s="145"/>
      <c r="J72" s="145"/>
      <c r="K72" s="145"/>
      <c r="L72" s="257">
        <f>ROUND(-L71*10%,2)</f>
        <v>-24882.86</v>
      </c>
      <c r="M72" s="149"/>
      <c r="N72" s="258">
        <f>L72-H72</f>
        <v>-3053.0600000000013</v>
      </c>
      <c r="O72" s="117">
        <f>IF((H72)=0,"",(N72/H72))</f>
        <v>0.1398574425784937</v>
      </c>
    </row>
    <row r="73" spans="2:15" s="75" customFormat="1" ht="13.5" thickBot="1">
      <c r="B73" s="326" t="s">
        <v>48</v>
      </c>
      <c r="C73" s="326"/>
      <c r="D73" s="326"/>
      <c r="E73" s="157"/>
      <c r="F73" s="158"/>
      <c r="G73" s="159"/>
      <c r="H73" s="160">
        <f>SUM(H71:H72)</f>
        <v>196468.21972250004</v>
      </c>
      <c r="I73" s="161"/>
      <c r="J73" s="161"/>
      <c r="K73" s="161"/>
      <c r="L73" s="162">
        <f>SUM(L71:L72)</f>
        <v>223945.72911250003</v>
      </c>
      <c r="M73" s="163"/>
      <c r="N73" s="164">
        <f>L73-H73</f>
        <v>27477.509389999992</v>
      </c>
      <c r="O73" s="165">
        <f>IF((H73)=0,"",(N73/H73))</f>
        <v>0.13985727273759788</v>
      </c>
    </row>
    <row r="74" spans="2:15" s="75" customFormat="1" ht="8.25" customHeight="1" thickBot="1">
      <c r="B74" s="127"/>
      <c r="C74" s="128"/>
      <c r="D74" s="129"/>
      <c r="E74" s="128"/>
      <c r="F74" s="166"/>
      <c r="G74" s="167"/>
      <c r="H74" s="168"/>
      <c r="I74" s="169"/>
      <c r="J74" s="166"/>
      <c r="K74" s="130"/>
      <c r="L74" s="170"/>
      <c r="M74" s="131"/>
      <c r="N74" s="171"/>
      <c r="O74" s="92"/>
    </row>
    <row r="75" ht="10.5" customHeight="1">
      <c r="L75" s="74"/>
    </row>
    <row r="76" spans="2:10" ht="15">
      <c r="B76" s="14" t="s">
        <v>49</v>
      </c>
      <c r="F76" s="172">
        <v>0.0335</v>
      </c>
      <c r="J76" s="172">
        <v>0.0335</v>
      </c>
    </row>
    <row r="77" ht="10.5" customHeight="1"/>
    <row r="78" ht="15">
      <c r="A78" s="173" t="s">
        <v>50</v>
      </c>
    </row>
    <row r="79" ht="10.5" customHeight="1"/>
    <row r="80" ht="15">
      <c r="A80" s="8" t="s">
        <v>51</v>
      </c>
    </row>
    <row r="81" ht="15">
      <c r="A81" s="8" t="s">
        <v>52</v>
      </c>
    </row>
    <row r="83" ht="15">
      <c r="A83" s="13" t="s">
        <v>53</v>
      </c>
    </row>
    <row r="84" ht="15">
      <c r="A84" s="13" t="s">
        <v>54</v>
      </c>
    </row>
    <row r="86" ht="15">
      <c r="A86" s="8" t="s">
        <v>55</v>
      </c>
    </row>
    <row r="87" ht="15">
      <c r="A87" s="8" t="s">
        <v>56</v>
      </c>
    </row>
    <row r="88" ht="15">
      <c r="A88" s="8" t="s">
        <v>57</v>
      </c>
    </row>
    <row r="89" ht="15">
      <c r="A89" s="8" t="s">
        <v>58</v>
      </c>
    </row>
    <row r="90" ht="15">
      <c r="A90" s="8" t="s">
        <v>59</v>
      </c>
    </row>
    <row r="92" spans="1:2" ht="15">
      <c r="A92" s="174"/>
      <c r="B92" s="8" t="s">
        <v>60</v>
      </c>
    </row>
  </sheetData>
  <sheetProtection/>
  <mergeCells count="20">
    <mergeCell ref="A3:K3"/>
    <mergeCell ref="B10:O10"/>
    <mergeCell ref="B11:O11"/>
    <mergeCell ref="D14:O14"/>
    <mergeCell ref="F20:H20"/>
    <mergeCell ref="J20:L20"/>
    <mergeCell ref="N20:O20"/>
    <mergeCell ref="B73:D73"/>
    <mergeCell ref="D21:D22"/>
    <mergeCell ref="N21:N22"/>
    <mergeCell ref="O21:O22"/>
    <mergeCell ref="B66:D66"/>
    <mergeCell ref="B67:D67"/>
    <mergeCell ref="B72:D72"/>
    <mergeCell ref="N1:O1"/>
    <mergeCell ref="N2:O2"/>
    <mergeCell ref="N3:O3"/>
    <mergeCell ref="N4:O4"/>
    <mergeCell ref="N5:O5"/>
    <mergeCell ref="N7:O7"/>
  </mergeCells>
  <dataValidations count="4">
    <dataValidation type="list" allowBlank="1" showInputMessage="1" showErrorMessage="1" sqref="D16">
      <formula1>"TOU, non-TOU"</formula1>
    </dataValidation>
    <dataValidation type="list" allowBlank="1" showInputMessage="1" showErrorMessage="1" sqref="E74 E68 E60:E61">
      <formula1>'GS 1000-4999 (5,000kW)'!#REF!</formula1>
    </dataValidation>
    <dataValidation type="list" allowBlank="1" showInputMessage="1" showErrorMessage="1" prompt="Select Charge Unit - monthly, per kWh, per kW" sqref="D50:D51 D42:D48 D68 D53:D62 D74 D23:D40">
      <formula1>"Monthly, per kWh, per kW"</formula1>
    </dataValidation>
    <dataValidation type="list" allowBlank="1" showInputMessage="1" showErrorMessage="1" sqref="E50:E51 E42:E48 E62 E53:E59 E23:E40">
      <formula1>'GS 1000-4999 (5,000kW)'!#REF!</formula1>
    </dataValidation>
  </dataValidations>
  <printOptions/>
  <pageMargins left="0.7" right="0.7" top="0.75" bottom="0.75" header="0.3" footer="0.3"/>
  <pageSetup fitToHeight="0" fitToWidth="1" horizontalDpi="600" verticalDpi="600" orientation="portrait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2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1.421875" style="0" customWidth="1"/>
    <col min="2" max="2" width="14.00390625" style="0" customWidth="1"/>
    <col min="4" max="4" width="12.8515625" style="0" bestFit="1" customWidth="1"/>
    <col min="5" max="5" width="12.28125" style="0" bestFit="1" customWidth="1"/>
    <col min="6" max="6" width="9.00390625" style="0" customWidth="1"/>
    <col min="7" max="7" width="13.421875" style="0" bestFit="1" customWidth="1"/>
    <col min="8" max="8" width="9.00390625" style="0" customWidth="1"/>
  </cols>
  <sheetData>
    <row r="1" ht="6.75" customHeight="1" thickBot="1"/>
    <row r="2" spans="2:8" ht="41.25" customHeight="1">
      <c r="B2" s="315" t="s">
        <v>104</v>
      </c>
      <c r="C2" s="316"/>
      <c r="D2" s="320" t="s">
        <v>8</v>
      </c>
      <c r="E2" s="317" t="s">
        <v>130</v>
      </c>
      <c r="F2" s="316"/>
      <c r="G2" s="315" t="s">
        <v>131</v>
      </c>
      <c r="H2" s="316"/>
    </row>
    <row r="3" spans="2:8" ht="15.75" thickBot="1">
      <c r="B3" s="318"/>
      <c r="C3" s="319"/>
      <c r="D3" s="321"/>
      <c r="E3" s="201" t="s">
        <v>105</v>
      </c>
      <c r="F3" s="202" t="s">
        <v>106</v>
      </c>
      <c r="G3" s="203" t="s">
        <v>105</v>
      </c>
      <c r="H3" s="204" t="s">
        <v>106</v>
      </c>
    </row>
    <row r="4" spans="2:8" ht="15">
      <c r="B4" s="322" t="s">
        <v>61</v>
      </c>
      <c r="C4" s="323"/>
      <c r="D4" s="205" t="s">
        <v>107</v>
      </c>
      <c r="E4" s="206">
        <f>'Res (800kWh)'!N41</f>
        <v>0.05000000000000071</v>
      </c>
      <c r="F4" s="207">
        <f>'Res (800kWh)'!O41</f>
        <v>0.001896094046264722</v>
      </c>
      <c r="G4" s="206">
        <f>'Res (800kWh)'!N74</f>
        <v>0.6283851999999825</v>
      </c>
      <c r="H4" s="208">
        <f>'Res (800kWh)'!O74</f>
        <v>0.005613978214718386</v>
      </c>
    </row>
    <row r="5" spans="2:8" ht="15">
      <c r="B5" s="311" t="s">
        <v>68</v>
      </c>
      <c r="C5" s="312"/>
      <c r="D5" s="209" t="s">
        <v>108</v>
      </c>
      <c r="E5" s="210">
        <f>'GS&lt;50 (2,000kWh)'!N41</f>
        <v>-3.789999999999992</v>
      </c>
      <c r="F5" s="211">
        <f>'GS&lt;50 (2,000kWh)'!O41</f>
        <v>-0.08210571923743484</v>
      </c>
      <c r="G5" s="212">
        <f>'GS&lt;50 (2,000kWh)'!N74</f>
        <v>-2.8099869999999214</v>
      </c>
      <c r="H5" s="213">
        <f>'GS&lt;50 (2,000kWh)'!O74</f>
        <v>-0.01049569737689975</v>
      </c>
    </row>
    <row r="6" spans="2:8" ht="15">
      <c r="B6" s="311" t="s">
        <v>109</v>
      </c>
      <c r="C6" s="312"/>
      <c r="D6" s="209" t="s">
        <v>110</v>
      </c>
      <c r="E6" s="210">
        <f>'GS 50-999 (60kW)'!N41</f>
        <v>86.24199999999996</v>
      </c>
      <c r="F6" s="211">
        <f>'GS 50-999 (60kW)'!O41</f>
        <v>0.31351378861575807</v>
      </c>
      <c r="G6" s="212">
        <f>'GS 50-999 (60kW)'!N73</f>
        <v>252.8017970599999</v>
      </c>
      <c r="H6" s="213">
        <f>'GS 50-999 (60kW)'!O73</f>
        <v>0.1015565247806568</v>
      </c>
    </row>
    <row r="7" spans="2:8" ht="15">
      <c r="B7" s="311" t="s">
        <v>111</v>
      </c>
      <c r="C7" s="312"/>
      <c r="D7" s="209" t="s">
        <v>112</v>
      </c>
      <c r="E7" s="210">
        <f>'GS 1000-4999 (1,000kW)'!N41</f>
        <v>1774.3699999999994</v>
      </c>
      <c r="F7" s="211">
        <f>'GS 1000-4999 (1,000kW)'!O41</f>
        <v>0.6365863984042016</v>
      </c>
      <c r="G7" s="212">
        <f>'GS 1000-4999 (1,000kW)'!N73</f>
        <v>5507.435558000005</v>
      </c>
      <c r="H7" s="213">
        <f>'GS 1000-4999 (1,000kW)'!O73</f>
        <v>0.13214846214680948</v>
      </c>
    </row>
    <row r="8" spans="2:8" ht="15">
      <c r="B8" s="311" t="s">
        <v>113</v>
      </c>
      <c r="C8" s="312"/>
      <c r="D8" s="209" t="s">
        <v>142</v>
      </c>
      <c r="E8" s="210">
        <f>'LU (25,000kW) '!N41</f>
        <v>49887.159999999996</v>
      </c>
      <c r="F8" s="211">
        <f>'LU (25,000kW) '!O41</f>
        <v>2.697593332904347</v>
      </c>
      <c r="G8" s="212">
        <f>'LU (25,000kW) '!N74</f>
        <v>145362.7833125</v>
      </c>
      <c r="H8" s="213">
        <f>'LU (25,000kW) '!O74</f>
        <v>0.1018285640344223</v>
      </c>
    </row>
    <row r="9" spans="2:8" ht="15">
      <c r="B9" s="311" t="s">
        <v>114</v>
      </c>
      <c r="C9" s="312"/>
      <c r="D9" s="209" t="s">
        <v>115</v>
      </c>
      <c r="E9" s="210">
        <f>'USL (150kWh)'!N41</f>
        <v>1.5</v>
      </c>
      <c r="F9" s="211">
        <f>'USL (150kWh)'!O41</f>
        <v>0.22172949002217293</v>
      </c>
      <c r="G9" s="212">
        <f>'USL (150kWh)'!N73</f>
        <v>2.6779534749999954</v>
      </c>
      <c r="H9" s="213">
        <f>'USL (150kWh)'!O73</f>
        <v>0.11968606751042526</v>
      </c>
    </row>
    <row r="10" spans="2:8" ht="15.75" thickBot="1">
      <c r="B10" s="313" t="s">
        <v>128</v>
      </c>
      <c r="C10" s="314"/>
      <c r="D10" s="214" t="s">
        <v>116</v>
      </c>
      <c r="E10" s="215">
        <f>'ST (1kW)'!N41</f>
        <v>2.5023000000000017</v>
      </c>
      <c r="F10" s="216">
        <f>'ST (1kW)'!O41</f>
        <v>0.15216082602112493</v>
      </c>
      <c r="G10" s="217">
        <f>'ST (1kW)'!N73</f>
        <v>5.833916617499995</v>
      </c>
      <c r="H10" s="218">
        <f>'ST (1kW)'!O73</f>
        <v>0.18077094893362175</v>
      </c>
    </row>
    <row r="11" ht="15">
      <c r="B11" t="s">
        <v>141</v>
      </c>
    </row>
    <row r="12" ht="15">
      <c r="B12" t="s">
        <v>140</v>
      </c>
    </row>
  </sheetData>
  <sheetProtection/>
  <mergeCells count="11">
    <mergeCell ref="G2:H2"/>
    <mergeCell ref="E2:F2"/>
    <mergeCell ref="B2:C3"/>
    <mergeCell ref="D2:D3"/>
    <mergeCell ref="B4:C4"/>
    <mergeCell ref="B5:C5"/>
    <mergeCell ref="B6:C6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93"/>
  <sheetViews>
    <sheetView showGridLines="0" zoomScalePageLayoutView="0" workbookViewId="0" topLeftCell="A1">
      <selection activeCell="H73" sqref="H73"/>
    </sheetView>
  </sheetViews>
  <sheetFormatPr defaultColWidth="9.140625" defaultRowHeight="15"/>
  <cols>
    <col min="1" max="1" width="2.140625" style="8" customWidth="1"/>
    <col min="2" max="2" width="44.5742187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9.00390625" style="8" bestFit="1" customWidth="1"/>
    <col min="8" max="8" width="14.28125" style="8" bestFit="1" customWidth="1"/>
    <col min="9" max="9" width="2.8515625" style="8" customWidth="1"/>
    <col min="10" max="10" width="12.140625" style="8" customWidth="1"/>
    <col min="11" max="11" width="9.00390625" style="8" bestFit="1" customWidth="1"/>
    <col min="12" max="12" width="14.28125" style="8" bestFit="1" customWidth="1"/>
    <col min="13" max="13" width="2.8515625" style="8" customWidth="1"/>
    <col min="14" max="14" width="14.00390625" style="8" bestFit="1" customWidth="1"/>
    <col min="15" max="15" width="9.8515625" style="8" customWidth="1"/>
    <col min="16" max="16" width="3.851562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42" t="str">
        <f>EBNUMBER</f>
        <v>EB-2013-0116</v>
      </c>
      <c r="O1" s="342"/>
      <c r="P1"/>
      <c r="T1" s="2">
        <v>1</v>
      </c>
    </row>
    <row r="2" spans="1:16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343">
        <v>8</v>
      </c>
      <c r="O2" s="343"/>
      <c r="P2"/>
    </row>
    <row r="3" spans="1:16" s="2" customFormat="1" ht="15" customHeight="1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" t="s">
        <v>79</v>
      </c>
      <c r="N3" s="344" t="s">
        <v>80</v>
      </c>
      <c r="O3" s="344"/>
      <c r="P3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343">
        <v>17</v>
      </c>
      <c r="O4" s="343"/>
      <c r="P4"/>
    </row>
    <row r="5" spans="3:16" s="2" customFormat="1" ht="15" customHeight="1">
      <c r="C5" s="7"/>
      <c r="D5" s="7"/>
      <c r="E5" s="7"/>
      <c r="L5" s="3" t="s">
        <v>81</v>
      </c>
      <c r="N5" s="345" t="s">
        <v>99</v>
      </c>
      <c r="O5" s="345"/>
      <c r="P5"/>
    </row>
    <row r="6" spans="12:16" s="2" customFormat="1" ht="9" customHeight="1">
      <c r="L6" s="3"/>
      <c r="N6" s="4"/>
      <c r="O6" s="193"/>
      <c r="P6"/>
    </row>
    <row r="7" spans="12:16" s="2" customFormat="1" ht="15">
      <c r="L7" s="3" t="s">
        <v>83</v>
      </c>
      <c r="N7" s="346">
        <v>41575</v>
      </c>
      <c r="O7" s="346"/>
      <c r="P7"/>
    </row>
    <row r="8" spans="14:16" s="2" customFormat="1" ht="15" customHeight="1">
      <c r="N8" s="8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337" t="s">
        <v>3</v>
      </c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/>
    </row>
    <row r="11" spans="2:16" ht="18.75" customHeight="1">
      <c r="B11" s="337" t="s">
        <v>4</v>
      </c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338" t="s">
        <v>74</v>
      </c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69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9" ht="15">
      <c r="B18" s="13"/>
      <c r="D18" s="14" t="s">
        <v>8</v>
      </c>
      <c r="E18" s="14"/>
      <c r="F18" s="15">
        <v>13000000</v>
      </c>
      <c r="G18" s="14" t="s">
        <v>9</v>
      </c>
      <c r="H18" s="15">
        <v>25000</v>
      </c>
      <c r="I18" s="14" t="s">
        <v>71</v>
      </c>
    </row>
    <row r="19" ht="15">
      <c r="B19" s="13"/>
    </row>
    <row r="20" spans="2:15" ht="15">
      <c r="B20" s="13"/>
      <c r="D20" s="16"/>
      <c r="E20" s="16"/>
      <c r="F20" s="339" t="s">
        <v>129</v>
      </c>
      <c r="G20" s="340"/>
      <c r="H20" s="341"/>
      <c r="J20" s="339" t="s">
        <v>11</v>
      </c>
      <c r="K20" s="340"/>
      <c r="L20" s="341"/>
      <c r="N20" s="339" t="s">
        <v>12</v>
      </c>
      <c r="O20" s="341"/>
    </row>
    <row r="21" spans="2:15" ht="15">
      <c r="B21" s="13"/>
      <c r="D21" s="327" t="s">
        <v>13</v>
      </c>
      <c r="E21" s="17"/>
      <c r="F21" s="18" t="s">
        <v>14</v>
      </c>
      <c r="G21" s="18" t="s">
        <v>15</v>
      </c>
      <c r="H21" s="19" t="s">
        <v>16</v>
      </c>
      <c r="J21" s="18" t="s">
        <v>14</v>
      </c>
      <c r="K21" s="20" t="s">
        <v>15</v>
      </c>
      <c r="L21" s="19" t="s">
        <v>16</v>
      </c>
      <c r="N21" s="329" t="s">
        <v>17</v>
      </c>
      <c r="O21" s="331" t="s">
        <v>18</v>
      </c>
    </row>
    <row r="22" spans="2:15" ht="15">
      <c r="B22" s="13"/>
      <c r="D22" s="328"/>
      <c r="E22" s="17"/>
      <c r="F22" s="21" t="s">
        <v>19</v>
      </c>
      <c r="G22" s="21"/>
      <c r="H22" s="22" t="s">
        <v>19</v>
      </c>
      <c r="J22" s="21" t="s">
        <v>19</v>
      </c>
      <c r="K22" s="22"/>
      <c r="L22" s="22" t="s">
        <v>19</v>
      </c>
      <c r="N22" s="330"/>
      <c r="O22" s="332"/>
    </row>
    <row r="23" spans="2:15" ht="22.5" customHeight="1">
      <c r="B23" s="23" t="s">
        <v>20</v>
      </c>
      <c r="C23" s="23"/>
      <c r="D23" s="24" t="s">
        <v>62</v>
      </c>
      <c r="E23" s="25"/>
      <c r="F23" s="176">
        <v>8490.71</v>
      </c>
      <c r="G23" s="27">
        <v>1</v>
      </c>
      <c r="H23" s="28">
        <f>G23*F23</f>
        <v>8490.71</v>
      </c>
      <c r="I23" s="29"/>
      <c r="J23" s="175">
        <v>8609.58</v>
      </c>
      <c r="K23" s="31">
        <v>1</v>
      </c>
      <c r="L23" s="28">
        <f>K23*J23</f>
        <v>8609.58</v>
      </c>
      <c r="M23" s="29"/>
      <c r="N23" s="32">
        <f>L23-H23</f>
        <v>118.8700000000008</v>
      </c>
      <c r="O23" s="33">
        <f>IF((H23)=0,"",(N23/H23))</f>
        <v>0.014000007066546945</v>
      </c>
    </row>
    <row r="24" spans="2:15" ht="22.5" customHeight="1">
      <c r="B24" s="23" t="s">
        <v>102</v>
      </c>
      <c r="C24" s="23"/>
      <c r="D24" s="24" t="s">
        <v>62</v>
      </c>
      <c r="E24" s="25"/>
      <c r="F24" s="176">
        <v>0</v>
      </c>
      <c r="G24" s="27">
        <v>1</v>
      </c>
      <c r="H24" s="249">
        <f>G24*F24</f>
        <v>0</v>
      </c>
      <c r="I24" s="29"/>
      <c r="J24" s="175">
        <v>0</v>
      </c>
      <c r="K24" s="31">
        <v>1</v>
      </c>
      <c r="L24" s="28">
        <f>K24*J24</f>
        <v>0</v>
      </c>
      <c r="M24" s="29"/>
      <c r="N24" s="259">
        <f>L24-H24</f>
        <v>0</v>
      </c>
      <c r="O24" s="33">
        <f>IF((H24)=0,"",(N24/H24))</f>
      </c>
    </row>
    <row r="25" spans="2:15" ht="36.75" customHeight="1">
      <c r="B25" s="66" t="s">
        <v>125</v>
      </c>
      <c r="C25" s="23"/>
      <c r="D25" s="57" t="s">
        <v>62</v>
      </c>
      <c r="E25" s="25"/>
      <c r="F25" s="272">
        <v>0</v>
      </c>
      <c r="G25" s="27">
        <v>1</v>
      </c>
      <c r="H25" s="249">
        <f>G25*F25</f>
        <v>0</v>
      </c>
      <c r="I25" s="29"/>
      <c r="J25" s="30">
        <f>'GS 1000-4999 (1,000kW)'!J25</f>
        <v>0.79</v>
      </c>
      <c r="K25" s="31">
        <v>1</v>
      </c>
      <c r="L25" s="249">
        <f>K25*J25</f>
        <v>0.79</v>
      </c>
      <c r="M25" s="29"/>
      <c r="N25" s="32">
        <f>L25-H25</f>
        <v>0.79</v>
      </c>
      <c r="O25" s="250">
        <f>IF((H25)=0,"",(N25/H25))</f>
      </c>
    </row>
    <row r="26" spans="2:15" ht="15" hidden="1">
      <c r="B26" s="177"/>
      <c r="C26" s="23"/>
      <c r="D26" s="57" t="s">
        <v>62</v>
      </c>
      <c r="E26" s="58"/>
      <c r="F26" s="175"/>
      <c r="G26" s="27">
        <v>1</v>
      </c>
      <c r="H26" s="28">
        <f aca="true" t="shared" si="0" ref="H26:H40">G26*F26</f>
        <v>0</v>
      </c>
      <c r="I26" s="29"/>
      <c r="J26" s="30"/>
      <c r="K26" s="31">
        <v>1</v>
      </c>
      <c r="L26" s="28">
        <f aca="true" t="shared" si="1" ref="L26:L40">K26*J26</f>
        <v>0</v>
      </c>
      <c r="M26" s="29"/>
      <c r="N26" s="32">
        <f aca="true" t="shared" si="2" ref="N26:N41">L26-H26</f>
        <v>0</v>
      </c>
      <c r="O26" s="33">
        <f aca="true" t="shared" si="3" ref="O26:O41">IF((H26)=0,"",(N26/H26))</f>
      </c>
    </row>
    <row r="27" spans="2:15" ht="15" hidden="1">
      <c r="B27" s="177"/>
      <c r="C27" s="23"/>
      <c r="D27" s="57" t="s">
        <v>62</v>
      </c>
      <c r="E27" s="25"/>
      <c r="F27" s="26"/>
      <c r="G27" s="27">
        <v>1</v>
      </c>
      <c r="H27" s="28">
        <f t="shared" si="0"/>
        <v>0</v>
      </c>
      <c r="I27" s="29"/>
      <c r="J27" s="175"/>
      <c r="K27" s="31">
        <v>1</v>
      </c>
      <c r="L27" s="28">
        <f t="shared" si="1"/>
        <v>0</v>
      </c>
      <c r="M27" s="29"/>
      <c r="N27" s="32">
        <f t="shared" si="2"/>
        <v>0</v>
      </c>
      <c r="O27" s="33">
        <f t="shared" si="3"/>
      </c>
    </row>
    <row r="28" spans="2:15" ht="15">
      <c r="B28" s="47" t="s">
        <v>66</v>
      </c>
      <c r="C28" s="23"/>
      <c r="D28" s="24" t="s">
        <v>72</v>
      </c>
      <c r="E28" s="25"/>
      <c r="F28" s="261">
        <v>0</v>
      </c>
      <c r="G28" s="181">
        <f>$H$18</f>
        <v>25000</v>
      </c>
      <c r="H28" s="28">
        <f t="shared" si="0"/>
        <v>0</v>
      </c>
      <c r="I28" s="29"/>
      <c r="J28" s="30"/>
      <c r="K28" s="181">
        <f>$H$18</f>
        <v>25000</v>
      </c>
      <c r="L28" s="28">
        <f t="shared" si="1"/>
        <v>0</v>
      </c>
      <c r="M28" s="29"/>
      <c r="N28" s="32">
        <f t="shared" si="2"/>
        <v>0</v>
      </c>
      <c r="O28" s="33">
        <f t="shared" si="3"/>
      </c>
    </row>
    <row r="29" spans="2:15" ht="15">
      <c r="B29" s="47" t="s">
        <v>67</v>
      </c>
      <c r="C29" s="23"/>
      <c r="D29" s="24" t="s">
        <v>72</v>
      </c>
      <c r="E29" s="25"/>
      <c r="F29" s="253">
        <v>-1.9577</v>
      </c>
      <c r="G29" s="181">
        <f>$H$18</f>
        <v>25000</v>
      </c>
      <c r="H29" s="28">
        <f t="shared" si="0"/>
        <v>-48942.5</v>
      </c>
      <c r="I29" s="29"/>
      <c r="J29" s="30">
        <v>0</v>
      </c>
      <c r="K29" s="181">
        <f>$H$18</f>
        <v>25000</v>
      </c>
      <c r="L29" s="28">
        <f t="shared" si="1"/>
        <v>0</v>
      </c>
      <c r="M29" s="29"/>
      <c r="N29" s="32">
        <f t="shared" si="2"/>
        <v>48942.5</v>
      </c>
      <c r="O29" s="33">
        <f t="shared" si="3"/>
        <v>-1</v>
      </c>
    </row>
    <row r="30" spans="2:15" ht="15">
      <c r="B30" s="47" t="s">
        <v>103</v>
      </c>
      <c r="C30" s="23"/>
      <c r="D30" s="24" t="s">
        <v>63</v>
      </c>
      <c r="E30" s="25"/>
      <c r="F30" s="26">
        <v>0</v>
      </c>
      <c r="G30" s="181">
        <f>$H$18</f>
        <v>25000</v>
      </c>
      <c r="H30" s="249">
        <f t="shared" si="0"/>
        <v>0</v>
      </c>
      <c r="I30" s="29"/>
      <c r="J30" s="30">
        <v>0</v>
      </c>
      <c r="K30" s="181">
        <f>$H$18</f>
        <v>25000</v>
      </c>
      <c r="L30" s="28">
        <f t="shared" si="1"/>
        <v>0</v>
      </c>
      <c r="M30" s="29"/>
      <c r="N30" s="259">
        <f t="shared" si="2"/>
        <v>0</v>
      </c>
      <c r="O30" s="33"/>
    </row>
    <row r="31" spans="2:15" ht="18.75" customHeight="1">
      <c r="B31" s="23" t="s">
        <v>21</v>
      </c>
      <c r="C31" s="23"/>
      <c r="D31" s="24" t="s">
        <v>72</v>
      </c>
      <c r="E31" s="25"/>
      <c r="F31" s="26">
        <v>2.3578</v>
      </c>
      <c r="G31" s="181">
        <f>$H$18</f>
        <v>25000</v>
      </c>
      <c r="H31" s="28">
        <f t="shared" si="0"/>
        <v>58945</v>
      </c>
      <c r="I31" s="29"/>
      <c r="J31" s="30">
        <v>2.3908</v>
      </c>
      <c r="K31" s="181">
        <f>$H$18</f>
        <v>25000</v>
      </c>
      <c r="L31" s="28">
        <f t="shared" si="1"/>
        <v>59770</v>
      </c>
      <c r="M31" s="29"/>
      <c r="N31" s="32">
        <f t="shared" si="2"/>
        <v>825</v>
      </c>
      <c r="O31" s="33">
        <f t="shared" si="3"/>
        <v>0.013996098057511239</v>
      </c>
    </row>
    <row r="32" spans="2:15" ht="15">
      <c r="B32" s="23" t="s">
        <v>22</v>
      </c>
      <c r="C32" s="23"/>
      <c r="D32" s="24"/>
      <c r="E32" s="25"/>
      <c r="F32" s="26"/>
      <c r="G32" s="27">
        <f>$F$18</f>
        <v>13000000</v>
      </c>
      <c r="H32" s="28">
        <f t="shared" si="0"/>
        <v>0</v>
      </c>
      <c r="I32" s="29"/>
      <c r="J32" s="30"/>
      <c r="K32" s="27">
        <f aca="true" t="shared" si="4" ref="K32:K40">$F$18</f>
        <v>13000000</v>
      </c>
      <c r="L32" s="28">
        <f t="shared" si="1"/>
        <v>0</v>
      </c>
      <c r="M32" s="29"/>
      <c r="N32" s="32">
        <f t="shared" si="2"/>
        <v>0</v>
      </c>
      <c r="O32" s="33">
        <f t="shared" si="3"/>
      </c>
    </row>
    <row r="33" spans="2:15" ht="15">
      <c r="B33" s="23" t="s">
        <v>23</v>
      </c>
      <c r="C33" s="23"/>
      <c r="D33" s="24" t="s">
        <v>72</v>
      </c>
      <c r="E33" s="25"/>
      <c r="F33" s="26"/>
      <c r="G33" s="181">
        <f>$H$18</f>
        <v>25000</v>
      </c>
      <c r="H33" s="249">
        <f t="shared" si="0"/>
        <v>0</v>
      </c>
      <c r="I33" s="29"/>
      <c r="J33" s="30">
        <v>0.016</v>
      </c>
      <c r="K33" s="181">
        <f>$H$18</f>
        <v>25000</v>
      </c>
      <c r="L33" s="249">
        <f t="shared" si="1"/>
        <v>400</v>
      </c>
      <c r="M33" s="29"/>
      <c r="N33" s="32">
        <f t="shared" si="2"/>
        <v>400</v>
      </c>
      <c r="O33" s="250">
        <f t="shared" si="3"/>
      </c>
    </row>
    <row r="34" spans="2:15" ht="15" hidden="1">
      <c r="B34" s="34"/>
      <c r="C34" s="23"/>
      <c r="D34" s="24"/>
      <c r="E34" s="25"/>
      <c r="F34" s="26"/>
      <c r="G34" s="27">
        <f aca="true" t="shared" si="5" ref="G34:G40">$F$18</f>
        <v>13000000</v>
      </c>
      <c r="H34" s="28">
        <f t="shared" si="0"/>
        <v>0</v>
      </c>
      <c r="I34" s="29"/>
      <c r="J34" s="30"/>
      <c r="K34" s="27">
        <f t="shared" si="4"/>
        <v>13000000</v>
      </c>
      <c r="L34" s="28">
        <f t="shared" si="1"/>
        <v>0</v>
      </c>
      <c r="M34" s="29"/>
      <c r="N34" s="32">
        <f t="shared" si="2"/>
        <v>0</v>
      </c>
      <c r="O34" s="33">
        <f t="shared" si="3"/>
      </c>
    </row>
    <row r="35" spans="2:15" ht="15" hidden="1">
      <c r="B35" s="34"/>
      <c r="C35" s="23"/>
      <c r="D35" s="24"/>
      <c r="E35" s="25"/>
      <c r="F35" s="26"/>
      <c r="G35" s="27">
        <f t="shared" si="5"/>
        <v>13000000</v>
      </c>
      <c r="H35" s="28">
        <f t="shared" si="0"/>
        <v>0</v>
      </c>
      <c r="I35" s="29"/>
      <c r="J35" s="30"/>
      <c r="K35" s="27">
        <f t="shared" si="4"/>
        <v>13000000</v>
      </c>
      <c r="L35" s="28">
        <f t="shared" si="1"/>
        <v>0</v>
      </c>
      <c r="M35" s="29"/>
      <c r="N35" s="32">
        <f t="shared" si="2"/>
        <v>0</v>
      </c>
      <c r="O35" s="33">
        <f t="shared" si="3"/>
      </c>
    </row>
    <row r="36" spans="2:15" ht="15" hidden="1">
      <c r="B36" s="34"/>
      <c r="C36" s="23"/>
      <c r="D36" s="24"/>
      <c r="E36" s="25"/>
      <c r="F36" s="26"/>
      <c r="G36" s="27">
        <f t="shared" si="5"/>
        <v>13000000</v>
      </c>
      <c r="H36" s="28">
        <f t="shared" si="0"/>
        <v>0</v>
      </c>
      <c r="I36" s="29"/>
      <c r="J36" s="30"/>
      <c r="K36" s="27">
        <f t="shared" si="4"/>
        <v>13000000</v>
      </c>
      <c r="L36" s="28">
        <f t="shared" si="1"/>
        <v>0</v>
      </c>
      <c r="M36" s="29"/>
      <c r="N36" s="32">
        <f t="shared" si="2"/>
        <v>0</v>
      </c>
      <c r="O36" s="33">
        <f t="shared" si="3"/>
      </c>
    </row>
    <row r="37" spans="2:15" ht="15" hidden="1">
      <c r="B37" s="34"/>
      <c r="C37" s="23"/>
      <c r="D37" s="24"/>
      <c r="E37" s="25"/>
      <c r="F37" s="26"/>
      <c r="G37" s="27">
        <f t="shared" si="5"/>
        <v>13000000</v>
      </c>
      <c r="H37" s="28">
        <f t="shared" si="0"/>
        <v>0</v>
      </c>
      <c r="I37" s="29"/>
      <c r="J37" s="30"/>
      <c r="K37" s="27">
        <f t="shared" si="4"/>
        <v>13000000</v>
      </c>
      <c r="L37" s="28">
        <f t="shared" si="1"/>
        <v>0</v>
      </c>
      <c r="M37" s="29"/>
      <c r="N37" s="32">
        <f t="shared" si="2"/>
        <v>0</v>
      </c>
      <c r="O37" s="33">
        <f t="shared" si="3"/>
      </c>
    </row>
    <row r="38" spans="2:15" ht="15" hidden="1">
      <c r="B38" s="34"/>
      <c r="C38" s="23"/>
      <c r="D38" s="24"/>
      <c r="E38" s="25"/>
      <c r="F38" s="26"/>
      <c r="G38" s="27">
        <f t="shared" si="5"/>
        <v>13000000</v>
      </c>
      <c r="H38" s="28">
        <f t="shared" si="0"/>
        <v>0</v>
      </c>
      <c r="I38" s="29"/>
      <c r="J38" s="30"/>
      <c r="K38" s="27">
        <f t="shared" si="4"/>
        <v>13000000</v>
      </c>
      <c r="L38" s="28">
        <f t="shared" si="1"/>
        <v>0</v>
      </c>
      <c r="M38" s="29"/>
      <c r="N38" s="32">
        <f t="shared" si="2"/>
        <v>0</v>
      </c>
      <c r="O38" s="33">
        <f t="shared" si="3"/>
      </c>
    </row>
    <row r="39" spans="2:15" ht="15" hidden="1">
      <c r="B39" s="34"/>
      <c r="C39" s="23"/>
      <c r="D39" s="24"/>
      <c r="E39" s="25"/>
      <c r="F39" s="26"/>
      <c r="G39" s="27">
        <f t="shared" si="5"/>
        <v>13000000</v>
      </c>
      <c r="H39" s="28">
        <f t="shared" si="0"/>
        <v>0</v>
      </c>
      <c r="I39" s="29"/>
      <c r="J39" s="30"/>
      <c r="K39" s="27">
        <f t="shared" si="4"/>
        <v>13000000</v>
      </c>
      <c r="L39" s="28">
        <f t="shared" si="1"/>
        <v>0</v>
      </c>
      <c r="M39" s="29"/>
      <c r="N39" s="32">
        <f t="shared" si="2"/>
        <v>0</v>
      </c>
      <c r="O39" s="33">
        <f t="shared" si="3"/>
      </c>
    </row>
    <row r="40" spans="2:15" ht="15" hidden="1">
      <c r="B40" s="34"/>
      <c r="C40" s="23"/>
      <c r="D40" s="24"/>
      <c r="E40" s="25"/>
      <c r="F40" s="26"/>
      <c r="G40" s="27">
        <f t="shared" si="5"/>
        <v>13000000</v>
      </c>
      <c r="H40" s="28">
        <f t="shared" si="0"/>
        <v>0</v>
      </c>
      <c r="I40" s="29"/>
      <c r="J40" s="30"/>
      <c r="K40" s="27">
        <f t="shared" si="4"/>
        <v>13000000</v>
      </c>
      <c r="L40" s="28">
        <f t="shared" si="1"/>
        <v>0</v>
      </c>
      <c r="M40" s="29"/>
      <c r="N40" s="32">
        <f t="shared" si="2"/>
        <v>0</v>
      </c>
      <c r="O40" s="33">
        <f t="shared" si="3"/>
      </c>
    </row>
    <row r="41" spans="2:15" s="35" customFormat="1" ht="15">
      <c r="B41" s="36" t="s">
        <v>24</v>
      </c>
      <c r="C41" s="37"/>
      <c r="D41" s="38"/>
      <c r="E41" s="37"/>
      <c r="F41" s="39"/>
      <c r="G41" s="40"/>
      <c r="H41" s="41">
        <f>SUM(H23:H40)</f>
        <v>18493.21</v>
      </c>
      <c r="I41" s="42"/>
      <c r="J41" s="43"/>
      <c r="K41" s="44"/>
      <c r="L41" s="41">
        <f>SUM(L23:L31)</f>
        <v>68380.37</v>
      </c>
      <c r="M41" s="42"/>
      <c r="N41" s="45">
        <f t="shared" si="2"/>
        <v>49887.159999999996</v>
      </c>
      <c r="O41" s="46">
        <f t="shared" si="3"/>
        <v>2.697593332904347</v>
      </c>
    </row>
    <row r="42" spans="2:15" ht="25.5">
      <c r="B42" s="47" t="s">
        <v>25</v>
      </c>
      <c r="C42" s="23"/>
      <c r="D42" s="57" t="s">
        <v>72</v>
      </c>
      <c r="E42" s="58"/>
      <c r="F42" s="254">
        <v>-0.8884</v>
      </c>
      <c r="G42" s="181">
        <f>G31</f>
        <v>25000</v>
      </c>
      <c r="H42" s="28">
        <f aca="true" t="shared" si="6" ref="H42:H49">G42*F42</f>
        <v>-22210</v>
      </c>
      <c r="I42" s="29"/>
      <c r="J42" s="254">
        <v>-0.035</v>
      </c>
      <c r="K42" s="181">
        <f>H18</f>
        <v>25000</v>
      </c>
      <c r="L42" s="28">
        <f aca="true" t="shared" si="7" ref="L42:L49">K42*J42</f>
        <v>-875.0000000000001</v>
      </c>
      <c r="M42" s="29"/>
      <c r="N42" s="32">
        <f aca="true" t="shared" si="8" ref="N42:N49">L42-H42</f>
        <v>21335</v>
      </c>
      <c r="O42" s="33">
        <f aca="true" t="shared" si="9" ref="O42:O48">IF((H42)=0,"",(N42/H42))</f>
        <v>-0.9606033318325079</v>
      </c>
    </row>
    <row r="43" spans="2:15" ht="15" hidden="1">
      <c r="B43" s="47"/>
      <c r="C43" s="23"/>
      <c r="D43" s="24" t="s">
        <v>72</v>
      </c>
      <c r="E43" s="25"/>
      <c r="F43" s="26"/>
      <c r="G43" s="181">
        <f>H18</f>
        <v>25000</v>
      </c>
      <c r="H43" s="28">
        <f t="shared" si="6"/>
        <v>0</v>
      </c>
      <c r="I43" s="48"/>
      <c r="J43" s="30"/>
      <c r="K43" s="181">
        <f>H18</f>
        <v>25000</v>
      </c>
      <c r="L43" s="28">
        <f t="shared" si="7"/>
        <v>0</v>
      </c>
      <c r="M43" s="49"/>
      <c r="N43" s="32">
        <f t="shared" si="8"/>
        <v>0</v>
      </c>
      <c r="O43" s="33">
        <f t="shared" si="9"/>
      </c>
    </row>
    <row r="44" spans="2:15" ht="15" hidden="1">
      <c r="B44" s="47"/>
      <c r="C44" s="23"/>
      <c r="D44" s="24" t="s">
        <v>72</v>
      </c>
      <c r="E44" s="25"/>
      <c r="F44" s="26"/>
      <c r="G44" s="181">
        <f>H18</f>
        <v>25000</v>
      </c>
      <c r="H44" s="28">
        <f t="shared" si="6"/>
        <v>0</v>
      </c>
      <c r="I44" s="48"/>
      <c r="J44" s="30"/>
      <c r="K44" s="181">
        <f>H18</f>
        <v>25000</v>
      </c>
      <c r="L44" s="28">
        <f t="shared" si="7"/>
        <v>0</v>
      </c>
      <c r="M44" s="49"/>
      <c r="N44" s="32">
        <f t="shared" si="8"/>
        <v>0</v>
      </c>
      <c r="O44" s="33">
        <f t="shared" si="9"/>
      </c>
    </row>
    <row r="45" spans="2:15" ht="25.5">
      <c r="B45" s="47" t="s">
        <v>25</v>
      </c>
      <c r="C45" s="23"/>
      <c r="D45" s="57" t="s">
        <v>72</v>
      </c>
      <c r="E45" s="58"/>
      <c r="F45" s="254">
        <v>0</v>
      </c>
      <c r="G45" s="181">
        <f>G31</f>
        <v>25000</v>
      </c>
      <c r="H45" s="249">
        <f>G45*F45</f>
        <v>0</v>
      </c>
      <c r="I45" s="29"/>
      <c r="J45" s="254">
        <v>-0.8044</v>
      </c>
      <c r="K45" s="181">
        <f>H18</f>
        <v>25000</v>
      </c>
      <c r="L45" s="249">
        <f>K45*J45</f>
        <v>-20110</v>
      </c>
      <c r="M45" s="29"/>
      <c r="N45" s="32">
        <f>L45-H45</f>
        <v>-20110</v>
      </c>
      <c r="O45" s="250">
        <f>IF((H45)=0,"",(N45/H45))</f>
      </c>
    </row>
    <row r="46" spans="2:15" ht="29.25" customHeight="1">
      <c r="B46" s="47" t="s">
        <v>78</v>
      </c>
      <c r="C46" s="23"/>
      <c r="D46" s="24" t="s">
        <v>72</v>
      </c>
      <c r="E46" s="25"/>
      <c r="F46" s="254">
        <v>-2.3868</v>
      </c>
      <c r="G46" s="181">
        <f>H18</f>
        <v>25000</v>
      </c>
      <c r="H46" s="28">
        <f>G46*F46</f>
        <v>-59670</v>
      </c>
      <c r="I46" s="48"/>
      <c r="J46" s="30">
        <v>0</v>
      </c>
      <c r="K46" s="181">
        <f>H18</f>
        <v>25000</v>
      </c>
      <c r="L46" s="28">
        <f t="shared" si="7"/>
        <v>0</v>
      </c>
      <c r="M46" s="49"/>
      <c r="N46" s="32">
        <f t="shared" si="8"/>
        <v>59670</v>
      </c>
      <c r="O46" s="33">
        <f t="shared" si="9"/>
        <v>-1</v>
      </c>
    </row>
    <row r="47" spans="2:15" ht="15">
      <c r="B47" s="50" t="s">
        <v>26</v>
      </c>
      <c r="C47" s="23"/>
      <c r="D47" s="24" t="s">
        <v>72</v>
      </c>
      <c r="E47" s="25"/>
      <c r="F47" s="26">
        <v>0.0421</v>
      </c>
      <c r="G47" s="181">
        <f>H18</f>
        <v>25000</v>
      </c>
      <c r="H47" s="28">
        <f t="shared" si="6"/>
        <v>1052.5</v>
      </c>
      <c r="I47" s="29"/>
      <c r="J47" s="30">
        <v>0.0421</v>
      </c>
      <c r="K47" s="181">
        <f>H18</f>
        <v>25000</v>
      </c>
      <c r="L47" s="28">
        <f t="shared" si="7"/>
        <v>1052.5</v>
      </c>
      <c r="M47" s="29"/>
      <c r="N47" s="32">
        <f t="shared" si="8"/>
        <v>0</v>
      </c>
      <c r="O47" s="33">
        <f t="shared" si="9"/>
        <v>0</v>
      </c>
    </row>
    <row r="48" spans="2:15" s="35" customFormat="1" ht="15">
      <c r="B48" s="183" t="s">
        <v>27</v>
      </c>
      <c r="C48" s="25"/>
      <c r="D48" s="184" t="s">
        <v>63</v>
      </c>
      <c r="E48" s="25"/>
      <c r="F48" s="185">
        <v>0.088</v>
      </c>
      <c r="G48" s="27">
        <v>58500</v>
      </c>
      <c r="H48" s="186">
        <f t="shared" si="6"/>
        <v>5148</v>
      </c>
      <c r="I48" s="58"/>
      <c r="J48" s="187">
        <f>F48</f>
        <v>0.088</v>
      </c>
      <c r="K48" s="27">
        <v>58500</v>
      </c>
      <c r="L48" s="186">
        <f t="shared" si="7"/>
        <v>5148</v>
      </c>
      <c r="M48" s="58"/>
      <c r="N48" s="188">
        <f t="shared" si="8"/>
        <v>0</v>
      </c>
      <c r="O48" s="189">
        <f t="shared" si="9"/>
        <v>0</v>
      </c>
    </row>
    <row r="49" spans="2:15" ht="15">
      <c r="B49" s="50" t="s">
        <v>28</v>
      </c>
      <c r="C49" s="23"/>
      <c r="D49" s="24" t="s">
        <v>62</v>
      </c>
      <c r="E49" s="25"/>
      <c r="F49" s="180">
        <v>0.79</v>
      </c>
      <c r="G49" s="27">
        <v>0</v>
      </c>
      <c r="H49" s="28">
        <f t="shared" si="6"/>
        <v>0</v>
      </c>
      <c r="I49" s="29"/>
      <c r="J49" s="180">
        <v>0.79</v>
      </c>
      <c r="K49" s="27">
        <v>0</v>
      </c>
      <c r="L49" s="28">
        <f t="shared" si="7"/>
        <v>0</v>
      </c>
      <c r="M49" s="29"/>
      <c r="N49" s="32">
        <f t="shared" si="8"/>
        <v>0</v>
      </c>
      <c r="O49" s="33"/>
    </row>
    <row r="50" spans="2:15" ht="25.5">
      <c r="B50" s="51" t="s">
        <v>29</v>
      </c>
      <c r="C50" s="52"/>
      <c r="D50" s="52"/>
      <c r="E50" s="52"/>
      <c r="F50" s="53"/>
      <c r="G50" s="54"/>
      <c r="H50" s="262">
        <f>SUM(H42:H49)+H41</f>
        <v>-57186.29</v>
      </c>
      <c r="I50" s="42"/>
      <c r="J50" s="54"/>
      <c r="K50" s="56"/>
      <c r="L50" s="55">
        <f>L42+L46+L47</f>
        <v>177.4999999999999</v>
      </c>
      <c r="M50" s="42"/>
      <c r="N50" s="45">
        <f aca="true" t="shared" si="10" ref="N50:N68">L50-H50</f>
        <v>57363.79</v>
      </c>
      <c r="O50" s="46">
        <f aca="true" t="shared" si="11" ref="O50:O68">IF((H50)=0,"",(N50/H50))</f>
        <v>-1.0031038908101924</v>
      </c>
    </row>
    <row r="51" spans="2:15" ht="15">
      <c r="B51" s="29" t="s">
        <v>30</v>
      </c>
      <c r="C51" s="29"/>
      <c r="D51" s="57" t="s">
        <v>72</v>
      </c>
      <c r="E51" s="58"/>
      <c r="F51" s="30">
        <v>2.7207</v>
      </c>
      <c r="G51" s="59">
        <f>H18*(1+F77)</f>
        <v>25112.5</v>
      </c>
      <c r="H51" s="28">
        <f>G51*F51</f>
        <v>68323.57875</v>
      </c>
      <c r="I51" s="29"/>
      <c r="J51" s="30">
        <v>2.8068</v>
      </c>
      <c r="K51" s="60">
        <f>H18*(1+J77)</f>
        <v>25112.5</v>
      </c>
      <c r="L51" s="28">
        <f>K51*J51</f>
        <v>70485.765</v>
      </c>
      <c r="M51" s="29"/>
      <c r="N51" s="32">
        <f t="shared" si="10"/>
        <v>2162.186249999999</v>
      </c>
      <c r="O51" s="33">
        <f t="shared" si="11"/>
        <v>0.03164626750468628</v>
      </c>
    </row>
    <row r="52" spans="2:15" ht="30">
      <c r="B52" s="61" t="s">
        <v>31</v>
      </c>
      <c r="C52" s="29"/>
      <c r="D52" s="57" t="s">
        <v>72</v>
      </c>
      <c r="E52" s="58"/>
      <c r="F52" s="30">
        <v>1.9124</v>
      </c>
      <c r="G52" s="59">
        <f>H18*(1+F77)</f>
        <v>25112.5</v>
      </c>
      <c r="H52" s="28">
        <f>G52*F52</f>
        <v>48025.145000000004</v>
      </c>
      <c r="I52" s="29"/>
      <c r="J52" s="30">
        <v>1.9416</v>
      </c>
      <c r="K52" s="60">
        <f>H18*(1+J77)</f>
        <v>25112.5</v>
      </c>
      <c r="L52" s="28">
        <f>K52*J52</f>
        <v>48758.43</v>
      </c>
      <c r="M52" s="29"/>
      <c r="N52" s="32">
        <f t="shared" si="10"/>
        <v>733.2849999999962</v>
      </c>
      <c r="O52" s="33">
        <f t="shared" si="11"/>
        <v>0.01526877222338415</v>
      </c>
    </row>
    <row r="53" spans="2:15" ht="15">
      <c r="B53" s="51" t="s">
        <v>32</v>
      </c>
      <c r="C53" s="37"/>
      <c r="D53" s="37"/>
      <c r="E53" s="37"/>
      <c r="F53" s="62"/>
      <c r="G53" s="54"/>
      <c r="H53" s="55">
        <f>SUM(H50:H52)</f>
        <v>59162.433750000004</v>
      </c>
      <c r="I53" s="63"/>
      <c r="J53" s="64"/>
      <c r="K53" s="65"/>
      <c r="L53" s="55">
        <f>L51+L52</f>
        <v>119244.195</v>
      </c>
      <c r="M53" s="63"/>
      <c r="N53" s="45">
        <f t="shared" si="10"/>
        <v>60081.76125</v>
      </c>
      <c r="O53" s="46">
        <f t="shared" si="11"/>
        <v>1.0155390412754952</v>
      </c>
    </row>
    <row r="54" spans="2:15" ht="15">
      <c r="B54" s="66" t="s">
        <v>33</v>
      </c>
      <c r="C54" s="23"/>
      <c r="D54" s="24" t="s">
        <v>63</v>
      </c>
      <c r="E54" s="25"/>
      <c r="F54" s="67">
        <v>0.0044</v>
      </c>
      <c r="G54" s="59">
        <f>F18*(1+F77)</f>
        <v>13058500</v>
      </c>
      <c r="H54" s="68">
        <f aca="true" t="shared" si="12" ref="H54:H60">G54*F54</f>
        <v>57457.4</v>
      </c>
      <c r="I54" s="29"/>
      <c r="J54" s="69">
        <v>0.0044</v>
      </c>
      <c r="K54" s="60">
        <f>F18*(1+J77)</f>
        <v>13058500</v>
      </c>
      <c r="L54" s="68">
        <f aca="true" t="shared" si="13" ref="L54:L60">K54*J54</f>
        <v>57457.4</v>
      </c>
      <c r="M54" s="29"/>
      <c r="N54" s="32">
        <f t="shared" si="10"/>
        <v>0</v>
      </c>
      <c r="O54" s="70">
        <f t="shared" si="11"/>
        <v>0</v>
      </c>
    </row>
    <row r="55" spans="2:15" ht="15">
      <c r="B55" s="66" t="s">
        <v>34</v>
      </c>
      <c r="C55" s="23"/>
      <c r="D55" s="24" t="s">
        <v>63</v>
      </c>
      <c r="E55" s="25"/>
      <c r="F55" s="67">
        <v>0.0013</v>
      </c>
      <c r="G55" s="59">
        <f>G54</f>
        <v>13058500</v>
      </c>
      <c r="H55" s="68">
        <f t="shared" si="12"/>
        <v>16976.05</v>
      </c>
      <c r="I55" s="29"/>
      <c r="J55" s="69">
        <v>0.0013</v>
      </c>
      <c r="K55" s="60">
        <f>K54</f>
        <v>13058500</v>
      </c>
      <c r="L55" s="68">
        <f t="shared" si="13"/>
        <v>16976.05</v>
      </c>
      <c r="M55" s="29"/>
      <c r="N55" s="32">
        <f t="shared" si="10"/>
        <v>0</v>
      </c>
      <c r="O55" s="70">
        <f t="shared" si="11"/>
        <v>0</v>
      </c>
    </row>
    <row r="56" spans="2:15" ht="15">
      <c r="B56" s="23" t="s">
        <v>35</v>
      </c>
      <c r="C56" s="23"/>
      <c r="D56" s="24" t="s">
        <v>62</v>
      </c>
      <c r="E56" s="25"/>
      <c r="F56" s="178">
        <v>0.25</v>
      </c>
      <c r="G56" s="27">
        <v>1</v>
      </c>
      <c r="H56" s="68">
        <f t="shared" si="12"/>
        <v>0.25</v>
      </c>
      <c r="I56" s="29"/>
      <c r="J56" s="179">
        <v>0.25</v>
      </c>
      <c r="K56" s="31">
        <v>1</v>
      </c>
      <c r="L56" s="68">
        <f t="shared" si="13"/>
        <v>0.25</v>
      </c>
      <c r="M56" s="29"/>
      <c r="N56" s="32">
        <f t="shared" si="10"/>
        <v>0</v>
      </c>
      <c r="O56" s="70">
        <f t="shared" si="11"/>
        <v>0</v>
      </c>
    </row>
    <row r="57" spans="2:15" ht="15">
      <c r="B57" s="23" t="s">
        <v>36</v>
      </c>
      <c r="C57" s="23"/>
      <c r="D57" s="24" t="s">
        <v>63</v>
      </c>
      <c r="E57" s="25"/>
      <c r="F57" s="67">
        <v>0.007</v>
      </c>
      <c r="G57" s="71">
        <f>F18</f>
        <v>13000000</v>
      </c>
      <c r="H57" s="68">
        <f t="shared" si="12"/>
        <v>91000</v>
      </c>
      <c r="I57" s="29"/>
      <c r="J57" s="69">
        <f>0.007</f>
        <v>0.007</v>
      </c>
      <c r="K57" s="72">
        <f>F18</f>
        <v>13000000</v>
      </c>
      <c r="L57" s="68">
        <f t="shared" si="13"/>
        <v>91000</v>
      </c>
      <c r="M57" s="29"/>
      <c r="N57" s="32">
        <f t="shared" si="10"/>
        <v>0</v>
      </c>
      <c r="O57" s="70">
        <f t="shared" si="11"/>
        <v>0</v>
      </c>
    </row>
    <row r="58" spans="2:19" ht="15.75" thickBot="1">
      <c r="B58" s="50" t="s">
        <v>77</v>
      </c>
      <c r="C58" s="23"/>
      <c r="D58" s="24" t="s">
        <v>63</v>
      </c>
      <c r="E58" s="25"/>
      <c r="F58" s="67">
        <v>0.0799</v>
      </c>
      <c r="G58" s="71">
        <f>F18</f>
        <v>13000000</v>
      </c>
      <c r="H58" s="68">
        <f>F58*G58</f>
        <v>1038700</v>
      </c>
      <c r="I58" s="29"/>
      <c r="J58" s="67">
        <f>F58</f>
        <v>0.0799</v>
      </c>
      <c r="K58" s="71">
        <f>G58</f>
        <v>13000000</v>
      </c>
      <c r="L58" s="68">
        <f>J58*K58</f>
        <v>1038700</v>
      </c>
      <c r="M58" s="29"/>
      <c r="N58" s="32">
        <f t="shared" si="10"/>
        <v>0</v>
      </c>
      <c r="O58" s="70">
        <f t="shared" si="11"/>
        <v>0</v>
      </c>
      <c r="S58" s="74"/>
    </row>
    <row r="59" spans="2:19" ht="15" hidden="1">
      <c r="B59" s="50" t="s">
        <v>38</v>
      </c>
      <c r="C59" s="23"/>
      <c r="D59" s="24"/>
      <c r="E59" s="25"/>
      <c r="F59" s="73">
        <v>0.104</v>
      </c>
      <c r="G59" s="59">
        <v>0</v>
      </c>
      <c r="H59" s="68">
        <f t="shared" si="12"/>
        <v>0</v>
      </c>
      <c r="I59" s="29"/>
      <c r="J59" s="67">
        <v>0.104</v>
      </c>
      <c r="K59" s="59">
        <v>0</v>
      </c>
      <c r="L59" s="68">
        <f t="shared" si="13"/>
        <v>0</v>
      </c>
      <c r="M59" s="29"/>
      <c r="N59" s="32">
        <f t="shared" si="10"/>
        <v>0</v>
      </c>
      <c r="O59" s="70">
        <f t="shared" si="11"/>
      </c>
      <c r="S59" s="74"/>
    </row>
    <row r="60" spans="2:19" ht="15" hidden="1">
      <c r="B60" s="13" t="s">
        <v>39</v>
      </c>
      <c r="C60" s="23"/>
      <c r="D60" s="24"/>
      <c r="E60" s="25"/>
      <c r="F60" s="73">
        <v>0.124</v>
      </c>
      <c r="G60" s="59">
        <v>0</v>
      </c>
      <c r="H60" s="68">
        <f t="shared" si="12"/>
        <v>0</v>
      </c>
      <c r="I60" s="29"/>
      <c r="J60" s="67">
        <v>0.124</v>
      </c>
      <c r="K60" s="59">
        <v>0</v>
      </c>
      <c r="L60" s="68">
        <f t="shared" si="13"/>
        <v>0</v>
      </c>
      <c r="M60" s="29"/>
      <c r="N60" s="32">
        <f t="shared" si="10"/>
        <v>0</v>
      </c>
      <c r="O60" s="70">
        <f t="shared" si="11"/>
      </c>
      <c r="S60" s="74"/>
    </row>
    <row r="61" spans="2:15" s="75" customFormat="1" ht="15" hidden="1">
      <c r="B61" s="182" t="s">
        <v>40</v>
      </c>
      <c r="C61" s="77"/>
      <c r="D61" s="78"/>
      <c r="E61" s="79"/>
      <c r="F61" s="73">
        <v>0.075</v>
      </c>
      <c r="G61" s="80">
        <f>IF(AND($T$1=1,F18&gt;=600),600,IF(AND($T$1=1,AND(F18&lt;600,F18&gt;=0)),F18,IF(AND($T$1=2,F18&gt;=1000),1000,IF(AND($T$1=2,AND(F18&lt;1000,F18&gt;=0)),F18))))</f>
        <v>600</v>
      </c>
      <c r="H61" s="68">
        <f>G61*F61</f>
        <v>45</v>
      </c>
      <c r="I61" s="81"/>
      <c r="J61" s="67">
        <v>0.075</v>
      </c>
      <c r="K61" s="80">
        <f>G61</f>
        <v>600</v>
      </c>
      <c r="L61" s="68">
        <f>K61*J61</f>
        <v>45</v>
      </c>
      <c r="M61" s="81"/>
      <c r="N61" s="82">
        <f t="shared" si="10"/>
        <v>0</v>
      </c>
      <c r="O61" s="70">
        <f t="shared" si="11"/>
        <v>0</v>
      </c>
    </row>
    <row r="62" spans="2:15" s="75" customFormat="1" ht="15.75" hidden="1" thickBot="1">
      <c r="B62" s="182" t="s">
        <v>41</v>
      </c>
      <c r="C62" s="77"/>
      <c r="D62" s="78"/>
      <c r="E62" s="79"/>
      <c r="F62" s="73">
        <v>0.088</v>
      </c>
      <c r="G62" s="80">
        <f>IF(AND($T$1=1,F18&gt;=600),F18-600,IF(AND($T$1=1,AND(F18&lt;600,F18&gt;=0)),0,IF(AND($T$1=2,F18&gt;=1000),F18-1000,IF(AND($T$1=2,AND(F18&lt;1000,F18&gt;=0)),0))))</f>
        <v>12999400</v>
      </c>
      <c r="H62" s="68">
        <f>G62*F62</f>
        <v>1143947.2</v>
      </c>
      <c r="I62" s="81"/>
      <c r="J62" s="67">
        <v>0.088</v>
      </c>
      <c r="K62" s="80">
        <f>G62</f>
        <v>12999400</v>
      </c>
      <c r="L62" s="68">
        <f>K62*J62</f>
        <v>1143947.2</v>
      </c>
      <c r="M62" s="81"/>
      <c r="N62" s="82">
        <f t="shared" si="10"/>
        <v>0</v>
      </c>
      <c r="O62" s="70">
        <f t="shared" si="11"/>
        <v>0</v>
      </c>
    </row>
    <row r="63" spans="2:15" ht="8.25" customHeight="1" thickBot="1">
      <c r="B63" s="83"/>
      <c r="C63" s="84"/>
      <c r="D63" s="85"/>
      <c r="E63" s="84"/>
      <c r="F63" s="86"/>
      <c r="G63" s="87"/>
      <c r="H63" s="88"/>
      <c r="I63" s="89"/>
      <c r="J63" s="86"/>
      <c r="K63" s="90"/>
      <c r="L63" s="88"/>
      <c r="M63" s="89"/>
      <c r="N63" s="91"/>
      <c r="O63" s="92"/>
    </row>
    <row r="64" spans="2:19" ht="15" hidden="1">
      <c r="B64" s="93" t="s">
        <v>42</v>
      </c>
      <c r="C64" s="23"/>
      <c r="D64" s="23"/>
      <c r="E64" s="23"/>
      <c r="F64" s="94"/>
      <c r="G64" s="95"/>
      <c r="H64" s="96">
        <f>SUM(H54:H60,H53)</f>
        <v>1263296.13375</v>
      </c>
      <c r="I64" s="97"/>
      <c r="J64" s="98"/>
      <c r="K64" s="98"/>
      <c r="L64" s="96">
        <f>SUM(L54:L60,L53)</f>
        <v>1323377.895</v>
      </c>
      <c r="M64" s="99"/>
      <c r="N64" s="100">
        <f>L64-H64</f>
        <v>60081.76124999998</v>
      </c>
      <c r="O64" s="101">
        <f>IF((H64)=0,"",(N64/H64))</f>
        <v>0.0475595227792329</v>
      </c>
      <c r="S64" s="74"/>
    </row>
    <row r="65" spans="2:19" ht="15" hidden="1">
      <c r="B65" s="102" t="s">
        <v>43</v>
      </c>
      <c r="C65" s="23"/>
      <c r="D65" s="23"/>
      <c r="E65" s="23"/>
      <c r="F65" s="103">
        <v>0.13</v>
      </c>
      <c r="G65" s="104"/>
      <c r="H65" s="105">
        <f>H64*F65</f>
        <v>164228.4973875</v>
      </c>
      <c r="I65" s="106"/>
      <c r="J65" s="107">
        <v>0.13</v>
      </c>
      <c r="K65" s="106"/>
      <c r="L65" s="108">
        <f>L64*J65</f>
        <v>172039.12635</v>
      </c>
      <c r="M65" s="109"/>
      <c r="N65" s="110">
        <f t="shared" si="10"/>
        <v>7810.628962499992</v>
      </c>
      <c r="O65" s="111">
        <f t="shared" si="11"/>
        <v>0.047559522779232866</v>
      </c>
      <c r="S65" s="74"/>
    </row>
    <row r="66" spans="2:19" ht="15" hidden="1">
      <c r="B66" s="112" t="s">
        <v>44</v>
      </c>
      <c r="C66" s="23"/>
      <c r="D66" s="23"/>
      <c r="E66" s="23"/>
      <c r="F66" s="113"/>
      <c r="G66" s="104"/>
      <c r="H66" s="105">
        <f>H64+H65</f>
        <v>1427524.6311375</v>
      </c>
      <c r="I66" s="106"/>
      <c r="J66" s="106"/>
      <c r="K66" s="106"/>
      <c r="L66" s="108">
        <f>L64+L65</f>
        <v>1495417.02135</v>
      </c>
      <c r="M66" s="109"/>
      <c r="N66" s="110">
        <f t="shared" si="10"/>
        <v>67892.3902125</v>
      </c>
      <c r="O66" s="111">
        <f t="shared" si="11"/>
        <v>0.04755952277923292</v>
      </c>
      <c r="S66" s="74"/>
    </row>
    <row r="67" spans="2:15" ht="15.75" customHeight="1" hidden="1">
      <c r="B67" s="333" t="s">
        <v>45</v>
      </c>
      <c r="C67" s="333"/>
      <c r="D67" s="333"/>
      <c r="E67" s="23"/>
      <c r="F67" s="113"/>
      <c r="G67" s="104"/>
      <c r="H67" s="114">
        <f>ROUND(-H66*10%,2)</f>
        <v>-142752.46</v>
      </c>
      <c r="I67" s="106"/>
      <c r="J67" s="106"/>
      <c r="K67" s="106"/>
      <c r="L67" s="115">
        <f>ROUND(-L66*10%,2)</f>
        <v>-149541.7</v>
      </c>
      <c r="M67" s="109"/>
      <c r="N67" s="116">
        <f t="shared" si="10"/>
        <v>-6789.24000000002</v>
      </c>
      <c r="O67" s="117">
        <f t="shared" si="11"/>
        <v>0.04755953067288662</v>
      </c>
    </row>
    <row r="68" spans="2:15" ht="15" hidden="1">
      <c r="B68" s="334" t="s">
        <v>46</v>
      </c>
      <c r="C68" s="334"/>
      <c r="D68" s="334"/>
      <c r="E68" s="118"/>
      <c r="F68" s="119"/>
      <c r="G68" s="120"/>
      <c r="H68" s="121">
        <f>H66+H67</f>
        <v>1284772.1711375</v>
      </c>
      <c r="I68" s="122"/>
      <c r="J68" s="122"/>
      <c r="K68" s="122"/>
      <c r="L68" s="123">
        <f>L66+L67</f>
        <v>1345875.32135</v>
      </c>
      <c r="M68" s="124"/>
      <c r="N68" s="125">
        <f t="shared" si="10"/>
        <v>61103.15021250001</v>
      </c>
      <c r="O68" s="126">
        <f t="shared" si="11"/>
        <v>0.047559521902160326</v>
      </c>
    </row>
    <row r="69" spans="2:15" s="75" customFormat="1" ht="8.25" customHeight="1" hidden="1">
      <c r="B69" s="127"/>
      <c r="C69" s="128"/>
      <c r="D69" s="129"/>
      <c r="E69" s="128"/>
      <c r="F69" s="86"/>
      <c r="G69" s="130"/>
      <c r="H69" s="88"/>
      <c r="I69" s="131"/>
      <c r="J69" s="86"/>
      <c r="K69" s="132"/>
      <c r="L69" s="88"/>
      <c r="M69" s="131"/>
      <c r="N69" s="133"/>
      <c r="O69" s="92"/>
    </row>
    <row r="70" spans="2:15" s="75" customFormat="1" ht="12.75">
      <c r="B70" s="134" t="s">
        <v>47</v>
      </c>
      <c r="C70" s="77"/>
      <c r="D70" s="77"/>
      <c r="E70" s="77"/>
      <c r="F70" s="135"/>
      <c r="G70" s="136"/>
      <c r="H70" s="137">
        <f>SUM(H58,H53,H54:H57)</f>
        <v>1263296.13375</v>
      </c>
      <c r="I70" s="138"/>
      <c r="J70" s="139"/>
      <c r="K70" s="139"/>
      <c r="L70" s="191">
        <f>L41+L50+L53+L54+L55+L56+L57+L58</f>
        <v>1391935.7650000001</v>
      </c>
      <c r="M70" s="140"/>
      <c r="N70" s="141">
        <f>L70-H70</f>
        <v>128639.6312500001</v>
      </c>
      <c r="O70" s="101">
        <f>IF((H70)=0,"",(N70/H70))</f>
        <v>0.10182856403442238</v>
      </c>
    </row>
    <row r="71" spans="2:15" s="75" customFormat="1" ht="12.75">
      <c r="B71" s="142" t="s">
        <v>43</v>
      </c>
      <c r="C71" s="77"/>
      <c r="D71" s="77"/>
      <c r="E71" s="77"/>
      <c r="F71" s="143">
        <v>0.13</v>
      </c>
      <c r="G71" s="136"/>
      <c r="H71" s="144">
        <f>H70*F71</f>
        <v>164228.4973875</v>
      </c>
      <c r="I71" s="145"/>
      <c r="J71" s="146">
        <v>0.13</v>
      </c>
      <c r="K71" s="147"/>
      <c r="L71" s="148">
        <f>L70*J71</f>
        <v>180951.64945000003</v>
      </c>
      <c r="M71" s="149"/>
      <c r="N71" s="150">
        <f>L71-H71</f>
        <v>16723.152062500012</v>
      </c>
      <c r="O71" s="111">
        <f>IF((H71)=0,"",(N71/H71))</f>
        <v>0.10182856403442236</v>
      </c>
    </row>
    <row r="72" spans="2:15" s="75" customFormat="1" ht="12.75">
      <c r="B72" s="151" t="s">
        <v>44</v>
      </c>
      <c r="C72" s="77"/>
      <c r="D72" s="77"/>
      <c r="E72" s="77"/>
      <c r="F72" s="152"/>
      <c r="G72" s="153"/>
      <c r="H72" s="144">
        <f>H70+H71</f>
        <v>1427524.6311375</v>
      </c>
      <c r="I72" s="145"/>
      <c r="J72" s="145"/>
      <c r="K72" s="145"/>
      <c r="L72" s="148">
        <f>L70+L71</f>
        <v>1572887.41445</v>
      </c>
      <c r="M72" s="149"/>
      <c r="N72" s="150">
        <f>L72-H72</f>
        <v>145362.7833125</v>
      </c>
      <c r="O72" s="111">
        <f>IF((H72)=0,"",(N72/H72))</f>
        <v>0.1018285640344223</v>
      </c>
    </row>
    <row r="73" spans="2:15" s="75" customFormat="1" ht="15.75" customHeight="1">
      <c r="B73" s="335" t="s">
        <v>45</v>
      </c>
      <c r="C73" s="335"/>
      <c r="D73" s="335"/>
      <c r="E73" s="77"/>
      <c r="F73" s="152"/>
      <c r="G73" s="153"/>
      <c r="H73" s="154">
        <v>0</v>
      </c>
      <c r="I73" s="145"/>
      <c r="J73" s="145"/>
      <c r="K73" s="145"/>
      <c r="L73" s="155">
        <v>0</v>
      </c>
      <c r="M73" s="149"/>
      <c r="N73" s="156">
        <f>L73-H73</f>
        <v>0</v>
      </c>
      <c r="O73" s="117">
        <f>IF((H73)=0,"",(N73/H73))</f>
      </c>
    </row>
    <row r="74" spans="2:15" s="75" customFormat="1" ht="13.5" thickBot="1">
      <c r="B74" s="326" t="s">
        <v>48</v>
      </c>
      <c r="C74" s="326"/>
      <c r="D74" s="326"/>
      <c r="E74" s="157"/>
      <c r="F74" s="158"/>
      <c r="G74" s="159"/>
      <c r="H74" s="160">
        <f>SUM(H72:H73)</f>
        <v>1427524.6311375</v>
      </c>
      <c r="I74" s="161"/>
      <c r="J74" s="161"/>
      <c r="K74" s="161"/>
      <c r="L74" s="162">
        <f>SUM(L72:L73)</f>
        <v>1572887.41445</v>
      </c>
      <c r="M74" s="163"/>
      <c r="N74" s="164">
        <f>L74-H74</f>
        <v>145362.7833125</v>
      </c>
      <c r="O74" s="165">
        <f>IF((H74)=0,"",(N74/H74))</f>
        <v>0.1018285640344223</v>
      </c>
    </row>
    <row r="75" spans="2:15" s="75" customFormat="1" ht="8.25" customHeight="1" thickBot="1">
      <c r="B75" s="127"/>
      <c r="C75" s="128"/>
      <c r="D75" s="129"/>
      <c r="E75" s="128"/>
      <c r="F75" s="166"/>
      <c r="G75" s="167"/>
      <c r="H75" s="168"/>
      <c r="I75" s="169"/>
      <c r="J75" s="166"/>
      <c r="K75" s="130"/>
      <c r="L75" s="170"/>
      <c r="M75" s="131"/>
      <c r="N75" s="171"/>
      <c r="O75" s="92"/>
    </row>
    <row r="76" ht="10.5" customHeight="1">
      <c r="L76" s="74"/>
    </row>
    <row r="77" spans="2:10" ht="15">
      <c r="B77" s="14" t="s">
        <v>49</v>
      </c>
      <c r="F77" s="172">
        <v>0.0045</v>
      </c>
      <c r="J77" s="172">
        <v>0.0045</v>
      </c>
    </row>
    <row r="78" ht="10.5" customHeight="1"/>
    <row r="79" ht="15">
      <c r="A79" s="173" t="s">
        <v>50</v>
      </c>
    </row>
    <row r="80" ht="10.5" customHeight="1"/>
    <row r="81" ht="15">
      <c r="A81" s="8" t="s">
        <v>51</v>
      </c>
    </row>
    <row r="82" ht="15">
      <c r="A82" s="8" t="s">
        <v>52</v>
      </c>
    </row>
    <row r="84" ht="15">
      <c r="A84" s="13" t="s">
        <v>53</v>
      </c>
    </row>
    <row r="85" ht="15">
      <c r="A85" s="13" t="s">
        <v>54</v>
      </c>
    </row>
    <row r="87" ht="15">
      <c r="A87" s="8" t="s">
        <v>55</v>
      </c>
    </row>
    <row r="88" ht="15">
      <c r="A88" s="8" t="s">
        <v>56</v>
      </c>
    </row>
    <row r="89" ht="15">
      <c r="A89" s="8" t="s">
        <v>57</v>
      </c>
    </row>
    <row r="90" ht="15">
      <c r="A90" s="8" t="s">
        <v>58</v>
      </c>
    </row>
    <row r="91" ht="15">
      <c r="A91" s="8" t="s">
        <v>59</v>
      </c>
    </row>
    <row r="93" spans="1:2" ht="15">
      <c r="A93" s="174"/>
      <c r="B93" s="8" t="s">
        <v>60</v>
      </c>
    </row>
  </sheetData>
  <sheetProtection/>
  <mergeCells count="20">
    <mergeCell ref="A3:K3"/>
    <mergeCell ref="B10:O10"/>
    <mergeCell ref="B11:O11"/>
    <mergeCell ref="D14:O14"/>
    <mergeCell ref="F20:H20"/>
    <mergeCell ref="J20:L20"/>
    <mergeCell ref="N20:O20"/>
    <mergeCell ref="B74:D74"/>
    <mergeCell ref="D21:D22"/>
    <mergeCell ref="N21:N22"/>
    <mergeCell ref="O21:O22"/>
    <mergeCell ref="B67:D67"/>
    <mergeCell ref="B68:D68"/>
    <mergeCell ref="B73:D73"/>
    <mergeCell ref="N1:O1"/>
    <mergeCell ref="N2:O2"/>
    <mergeCell ref="N3:O3"/>
    <mergeCell ref="N4:O4"/>
    <mergeCell ref="N5:O5"/>
    <mergeCell ref="N7:O7"/>
  </mergeCells>
  <dataValidations count="4">
    <dataValidation type="list" allowBlank="1" showInputMessage="1" showErrorMessage="1" sqref="E51:E52 E23:E40 E63 E54:E60 E42:E49">
      <formula1>'LU (25,000kW) '!#REF!</formula1>
    </dataValidation>
    <dataValidation type="list" allowBlank="1" showInputMessage="1" showErrorMessage="1" prompt="Select Charge Unit - monthly, per kWh, per kW" sqref="D51:D52 D23:D40 D69 D54:D63 D75 D42:D49">
      <formula1>"Monthly, per kWh, per kW"</formula1>
    </dataValidation>
    <dataValidation type="list" allowBlank="1" showInputMessage="1" showErrorMessage="1" sqref="E75 E69 E61:E62">
      <formula1>'LU (25,000kW) '!#REF!</formula1>
    </dataValidation>
    <dataValidation type="list" allowBlank="1" showInputMessage="1" showErrorMessage="1" sqref="D16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6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92"/>
  <sheetViews>
    <sheetView showGridLines="0" zoomScalePageLayoutView="0" workbookViewId="0" topLeftCell="A13">
      <selection activeCell="J52" sqref="J52"/>
    </sheetView>
  </sheetViews>
  <sheetFormatPr defaultColWidth="9.140625" defaultRowHeight="15"/>
  <cols>
    <col min="1" max="1" width="2.140625" style="8" customWidth="1"/>
    <col min="2" max="2" width="44.5742187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9.00390625" style="8" bestFit="1" customWidth="1"/>
    <col min="8" max="8" width="14.28125" style="8" bestFit="1" customWidth="1"/>
    <col min="9" max="9" width="2.8515625" style="8" customWidth="1"/>
    <col min="10" max="10" width="12.140625" style="8" customWidth="1"/>
    <col min="11" max="11" width="9.00390625" style="8" bestFit="1" customWidth="1"/>
    <col min="12" max="12" width="14.28125" style="8" bestFit="1" customWidth="1"/>
    <col min="13" max="13" width="2.8515625" style="8" customWidth="1"/>
    <col min="14" max="14" width="12.7109375" style="8" bestFit="1" customWidth="1"/>
    <col min="15" max="15" width="10.8515625" style="8" bestFit="1" customWidth="1"/>
    <col min="16" max="16" width="3.851562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42" t="str">
        <f>EBNUMBER</f>
        <v>EB-2013-0116</v>
      </c>
      <c r="O1" s="342"/>
      <c r="P1"/>
      <c r="T1" s="2">
        <v>1</v>
      </c>
    </row>
    <row r="2" spans="1:16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343">
        <v>8</v>
      </c>
      <c r="O2" s="343"/>
      <c r="P2"/>
    </row>
    <row r="3" spans="1:16" s="2" customFormat="1" ht="15" customHeight="1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" t="s">
        <v>79</v>
      </c>
      <c r="N3" s="344" t="s">
        <v>80</v>
      </c>
      <c r="O3" s="344"/>
      <c r="P3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343">
        <v>18</v>
      </c>
      <c r="O4" s="343"/>
      <c r="P4"/>
    </row>
    <row r="5" spans="3:16" s="2" customFormat="1" ht="15" customHeight="1">
      <c r="C5" s="7"/>
      <c r="D5" s="7"/>
      <c r="E5" s="7"/>
      <c r="L5" s="3" t="s">
        <v>81</v>
      </c>
      <c r="N5" s="345" t="s">
        <v>100</v>
      </c>
      <c r="O5" s="345"/>
      <c r="P5"/>
    </row>
    <row r="6" spans="12:16" s="2" customFormat="1" ht="9" customHeight="1">
      <c r="L6" s="3"/>
      <c r="N6" s="4"/>
      <c r="O6" s="193"/>
      <c r="P6"/>
    </row>
    <row r="7" spans="12:16" s="2" customFormat="1" ht="15">
      <c r="L7" s="3" t="s">
        <v>83</v>
      </c>
      <c r="N7" s="346">
        <v>41575</v>
      </c>
      <c r="O7" s="346"/>
      <c r="P7"/>
    </row>
    <row r="8" spans="14:16" s="2" customFormat="1" ht="15" customHeight="1">
      <c r="N8" s="8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337" t="s">
        <v>3</v>
      </c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/>
    </row>
    <row r="11" spans="2:16" ht="18.75" customHeight="1">
      <c r="B11" s="337" t="s">
        <v>4</v>
      </c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338" t="s">
        <v>75</v>
      </c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69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9" ht="15">
      <c r="B18" s="13"/>
      <c r="D18" s="14" t="s">
        <v>8</v>
      </c>
      <c r="E18" s="14"/>
      <c r="F18" s="15">
        <v>150</v>
      </c>
      <c r="G18" s="14" t="s">
        <v>9</v>
      </c>
      <c r="H18" s="15">
        <v>1</v>
      </c>
      <c r="I18" s="14" t="s">
        <v>71</v>
      </c>
    </row>
    <row r="19" ht="15">
      <c r="B19" s="13"/>
    </row>
    <row r="20" spans="2:15" ht="15">
      <c r="B20" s="13"/>
      <c r="D20" s="16"/>
      <c r="E20" s="16"/>
      <c r="F20" s="339" t="s">
        <v>10</v>
      </c>
      <c r="G20" s="340"/>
      <c r="H20" s="341"/>
      <c r="J20" s="339" t="s">
        <v>11</v>
      </c>
      <c r="K20" s="340"/>
      <c r="L20" s="341"/>
      <c r="N20" s="339" t="s">
        <v>12</v>
      </c>
      <c r="O20" s="341"/>
    </row>
    <row r="21" spans="2:15" ht="15">
      <c r="B21" s="13"/>
      <c r="D21" s="327" t="s">
        <v>13</v>
      </c>
      <c r="E21" s="17"/>
      <c r="F21" s="18" t="s">
        <v>14</v>
      </c>
      <c r="G21" s="18" t="s">
        <v>15</v>
      </c>
      <c r="H21" s="19" t="s">
        <v>16</v>
      </c>
      <c r="J21" s="18" t="s">
        <v>14</v>
      </c>
      <c r="K21" s="20" t="s">
        <v>15</v>
      </c>
      <c r="L21" s="19" t="s">
        <v>16</v>
      </c>
      <c r="N21" s="329" t="s">
        <v>17</v>
      </c>
      <c r="O21" s="331" t="s">
        <v>18</v>
      </c>
    </row>
    <row r="22" spans="2:15" ht="15">
      <c r="B22" s="13"/>
      <c r="D22" s="328"/>
      <c r="E22" s="17"/>
      <c r="F22" s="21" t="s">
        <v>19</v>
      </c>
      <c r="G22" s="21"/>
      <c r="H22" s="22" t="s">
        <v>19</v>
      </c>
      <c r="J22" s="21" t="s">
        <v>19</v>
      </c>
      <c r="K22" s="22"/>
      <c r="L22" s="22" t="s">
        <v>19</v>
      </c>
      <c r="N22" s="330"/>
      <c r="O22" s="332"/>
    </row>
    <row r="23" spans="2:15" ht="22.5" customHeight="1">
      <c r="B23" s="23" t="s">
        <v>20</v>
      </c>
      <c r="C23" s="23"/>
      <c r="D23" s="24" t="s">
        <v>62</v>
      </c>
      <c r="E23" s="25"/>
      <c r="F23" s="176">
        <f>2.43</f>
        <v>2.43</v>
      </c>
      <c r="G23" s="27">
        <v>1</v>
      </c>
      <c r="H23" s="28">
        <f>G23*F23</f>
        <v>2.43</v>
      </c>
      <c r="I23" s="29"/>
      <c r="J23" s="175">
        <v>2.46</v>
      </c>
      <c r="K23" s="31">
        <v>1</v>
      </c>
      <c r="L23" s="28">
        <f>K23*J23</f>
        <v>2.46</v>
      </c>
      <c r="M23" s="29"/>
      <c r="N23" s="32">
        <f>L23-H23</f>
        <v>0.029999999999999805</v>
      </c>
      <c r="O23" s="33">
        <f>IF((H23)=0,"",(N23/H23))</f>
        <v>0.012345679012345599</v>
      </c>
    </row>
    <row r="24" spans="2:15" ht="22.5" customHeight="1">
      <c r="B24" s="23" t="s">
        <v>102</v>
      </c>
      <c r="C24" s="23"/>
      <c r="D24" s="24" t="s">
        <v>62</v>
      </c>
      <c r="E24" s="25"/>
      <c r="F24" s="176">
        <v>0</v>
      </c>
      <c r="G24" s="27">
        <v>1</v>
      </c>
      <c r="H24" s="249">
        <f>G24*F24</f>
        <v>0</v>
      </c>
      <c r="I24" s="29"/>
      <c r="J24" s="175">
        <v>0</v>
      </c>
      <c r="K24" s="31">
        <v>1</v>
      </c>
      <c r="L24" s="28">
        <f>K24*J24</f>
        <v>0</v>
      </c>
      <c r="M24" s="29"/>
      <c r="N24" s="259">
        <f>L24-H24</f>
        <v>0</v>
      </c>
      <c r="O24" s="33">
        <f>IF((H24)=0,"",(N24/H24))</f>
      </c>
    </row>
    <row r="25" spans="2:15" ht="36.75" customHeight="1">
      <c r="B25" s="66" t="s">
        <v>125</v>
      </c>
      <c r="C25" s="23"/>
      <c r="D25" s="57" t="s">
        <v>62</v>
      </c>
      <c r="E25" s="25"/>
      <c r="F25" s="272">
        <v>0</v>
      </c>
      <c r="G25" s="27">
        <v>1</v>
      </c>
      <c r="H25" s="249">
        <f>G25*F25</f>
        <v>0</v>
      </c>
      <c r="I25" s="29"/>
      <c r="J25" s="30">
        <f>'GS 1000-4999 (1,000kW)'!J25</f>
        <v>0.79</v>
      </c>
      <c r="K25" s="31">
        <v>1</v>
      </c>
      <c r="L25" s="249">
        <f>K25*J25</f>
        <v>0.79</v>
      </c>
      <c r="M25" s="29"/>
      <c r="N25" s="32">
        <f>L25-H25</f>
        <v>0.79</v>
      </c>
      <c r="O25" s="250">
        <f>IF((H25)=0,"",(N25/H25))</f>
      </c>
    </row>
    <row r="26" spans="2:15" ht="15" hidden="1">
      <c r="B26" s="177"/>
      <c r="C26" s="23"/>
      <c r="D26" s="57" t="s">
        <v>62</v>
      </c>
      <c r="E26" s="58"/>
      <c r="F26" s="175"/>
      <c r="G26" s="27">
        <v>1</v>
      </c>
      <c r="H26" s="28">
        <f aca="true" t="shared" si="0" ref="H26:H40">G26*F26</f>
        <v>0</v>
      </c>
      <c r="I26" s="29"/>
      <c r="J26" s="30"/>
      <c r="K26" s="31">
        <v>1</v>
      </c>
      <c r="L26" s="28">
        <f aca="true" t="shared" si="1" ref="L26:L40">K26*J26</f>
        <v>0</v>
      </c>
      <c r="M26" s="29"/>
      <c r="N26" s="32">
        <f aca="true" t="shared" si="2" ref="N26:N41">L26-H26</f>
        <v>0</v>
      </c>
      <c r="O26" s="33">
        <f aca="true" t="shared" si="3" ref="O26:O41">IF((H26)=0,"",(N26/H26))</f>
      </c>
    </row>
    <row r="27" spans="2:15" ht="15" hidden="1">
      <c r="B27" s="177"/>
      <c r="C27" s="23"/>
      <c r="D27" s="57" t="s">
        <v>62</v>
      </c>
      <c r="E27" s="25"/>
      <c r="F27" s="26"/>
      <c r="G27" s="27">
        <v>1</v>
      </c>
      <c r="H27" s="28">
        <f t="shared" si="0"/>
        <v>0</v>
      </c>
      <c r="I27" s="29"/>
      <c r="J27" s="175"/>
      <c r="K27" s="31">
        <v>1</v>
      </c>
      <c r="L27" s="28">
        <f t="shared" si="1"/>
        <v>0</v>
      </c>
      <c r="M27" s="29"/>
      <c r="N27" s="32">
        <f t="shared" si="2"/>
        <v>0</v>
      </c>
      <c r="O27" s="33">
        <f t="shared" si="3"/>
      </c>
    </row>
    <row r="28" spans="2:15" ht="15">
      <c r="B28" s="47" t="s">
        <v>66</v>
      </c>
      <c r="C28" s="23"/>
      <c r="D28" s="24" t="s">
        <v>72</v>
      </c>
      <c r="E28" s="25"/>
      <c r="F28" s="26">
        <v>0</v>
      </c>
      <c r="G28" s="181">
        <f>$H$18</f>
        <v>1</v>
      </c>
      <c r="H28" s="28">
        <f t="shared" si="0"/>
        <v>0</v>
      </c>
      <c r="I28" s="29"/>
      <c r="J28" s="30"/>
      <c r="K28" s="181">
        <f>$H$18</f>
        <v>1</v>
      </c>
      <c r="L28" s="28">
        <f t="shared" si="1"/>
        <v>0</v>
      </c>
      <c r="M28" s="29"/>
      <c r="N28" s="32">
        <f t="shared" si="2"/>
        <v>0</v>
      </c>
      <c r="O28" s="33">
        <f t="shared" si="3"/>
      </c>
    </row>
    <row r="29" spans="2:15" ht="15">
      <c r="B29" s="47" t="s">
        <v>67</v>
      </c>
      <c r="C29" s="23"/>
      <c r="D29" s="24" t="s">
        <v>72</v>
      </c>
      <c r="E29" s="25"/>
      <c r="F29" s="253">
        <v>-1.4656</v>
      </c>
      <c r="G29" s="181">
        <f>$H$18</f>
        <v>1</v>
      </c>
      <c r="H29" s="28">
        <f t="shared" si="0"/>
        <v>-1.4656</v>
      </c>
      <c r="I29" s="29"/>
      <c r="J29" s="30">
        <v>0</v>
      </c>
      <c r="K29" s="181">
        <f>$H$18</f>
        <v>1</v>
      </c>
      <c r="L29" s="28">
        <f t="shared" si="1"/>
        <v>0</v>
      </c>
      <c r="M29" s="29"/>
      <c r="N29" s="32">
        <f t="shared" si="2"/>
        <v>1.4656</v>
      </c>
      <c r="O29" s="33">
        <f t="shared" si="3"/>
        <v>-1</v>
      </c>
    </row>
    <row r="30" spans="2:15" ht="15">
      <c r="B30" s="47" t="s">
        <v>103</v>
      </c>
      <c r="C30" s="23"/>
      <c r="D30" s="24" t="s">
        <v>63</v>
      </c>
      <c r="E30" s="25"/>
      <c r="F30" s="26">
        <v>0</v>
      </c>
      <c r="G30" s="181">
        <f>$H$18</f>
        <v>1</v>
      </c>
      <c r="H30" s="249">
        <f t="shared" si="0"/>
        <v>0</v>
      </c>
      <c r="I30" s="29"/>
      <c r="J30" s="30">
        <v>0</v>
      </c>
      <c r="K30" s="181">
        <f>H18</f>
        <v>1</v>
      </c>
      <c r="L30" s="28">
        <f t="shared" si="1"/>
        <v>0</v>
      </c>
      <c r="M30" s="29"/>
      <c r="N30" s="259">
        <f t="shared" si="2"/>
        <v>0</v>
      </c>
      <c r="O30" s="33"/>
    </row>
    <row r="31" spans="2:15" ht="15">
      <c r="B31" s="23" t="s">
        <v>21</v>
      </c>
      <c r="C31" s="23"/>
      <c r="D31" s="24" t="s">
        <v>72</v>
      </c>
      <c r="E31" s="25"/>
      <c r="F31" s="26">
        <v>15.4807</v>
      </c>
      <c r="G31" s="181">
        <f>$H$18</f>
        <v>1</v>
      </c>
      <c r="H31" s="28">
        <f t="shared" si="0"/>
        <v>15.4807</v>
      </c>
      <c r="I31" s="29"/>
      <c r="J31" s="30">
        <v>15.6974</v>
      </c>
      <c r="K31" s="181">
        <f>$H$18</f>
        <v>1</v>
      </c>
      <c r="L31" s="28">
        <f t="shared" si="1"/>
        <v>15.6974</v>
      </c>
      <c r="M31" s="29"/>
      <c r="N31" s="32">
        <f t="shared" si="2"/>
        <v>0.21669999999999945</v>
      </c>
      <c r="O31" s="33">
        <f t="shared" si="3"/>
        <v>0.013998075022447268</v>
      </c>
    </row>
    <row r="32" spans="2:15" ht="15">
      <c r="B32" s="23" t="s">
        <v>22</v>
      </c>
      <c r="C32" s="23"/>
      <c r="D32" s="24"/>
      <c r="E32" s="25"/>
      <c r="F32" s="26"/>
      <c r="G32" s="27">
        <f>$F$18</f>
        <v>150</v>
      </c>
      <c r="H32" s="28">
        <f t="shared" si="0"/>
        <v>0</v>
      </c>
      <c r="I32" s="29"/>
      <c r="J32" s="30"/>
      <c r="K32" s="27">
        <f aca="true" t="shared" si="4" ref="K32:K40">$F$18</f>
        <v>150</v>
      </c>
      <c r="L32" s="28">
        <f t="shared" si="1"/>
        <v>0</v>
      </c>
      <c r="M32" s="29"/>
      <c r="N32" s="32">
        <f t="shared" si="2"/>
        <v>0</v>
      </c>
      <c r="O32" s="33">
        <f t="shared" si="3"/>
      </c>
    </row>
    <row r="33" spans="2:15" ht="15">
      <c r="B33" s="23" t="s">
        <v>23</v>
      </c>
      <c r="C33" s="23"/>
      <c r="D33" s="24"/>
      <c r="E33" s="25"/>
      <c r="F33" s="26"/>
      <c r="G33" s="27">
        <f>$F$18</f>
        <v>150</v>
      </c>
      <c r="H33" s="28">
        <f t="shared" si="0"/>
        <v>0</v>
      </c>
      <c r="I33" s="29"/>
      <c r="J33" s="30"/>
      <c r="K33" s="27">
        <f t="shared" si="4"/>
        <v>150</v>
      </c>
      <c r="L33" s="28">
        <f t="shared" si="1"/>
        <v>0</v>
      </c>
      <c r="M33" s="29"/>
      <c r="N33" s="32">
        <f t="shared" si="2"/>
        <v>0</v>
      </c>
      <c r="O33" s="33">
        <f t="shared" si="3"/>
      </c>
    </row>
    <row r="34" spans="2:15" ht="15" hidden="1">
      <c r="B34" s="34"/>
      <c r="C34" s="23"/>
      <c r="D34" s="24"/>
      <c r="E34" s="25"/>
      <c r="F34" s="26"/>
      <c r="G34" s="27">
        <f aca="true" t="shared" si="5" ref="G34:G40">$F$18</f>
        <v>150</v>
      </c>
      <c r="H34" s="28">
        <f t="shared" si="0"/>
        <v>0</v>
      </c>
      <c r="I34" s="29"/>
      <c r="J34" s="30"/>
      <c r="K34" s="27">
        <f t="shared" si="4"/>
        <v>150</v>
      </c>
      <c r="L34" s="28">
        <f t="shared" si="1"/>
        <v>0</v>
      </c>
      <c r="M34" s="29"/>
      <c r="N34" s="32">
        <f t="shared" si="2"/>
        <v>0</v>
      </c>
      <c r="O34" s="33">
        <f t="shared" si="3"/>
      </c>
    </row>
    <row r="35" spans="2:15" ht="15" hidden="1">
      <c r="B35" s="34"/>
      <c r="C35" s="23"/>
      <c r="D35" s="24"/>
      <c r="E35" s="25"/>
      <c r="F35" s="26"/>
      <c r="G35" s="27">
        <f t="shared" si="5"/>
        <v>150</v>
      </c>
      <c r="H35" s="28">
        <f t="shared" si="0"/>
        <v>0</v>
      </c>
      <c r="I35" s="29"/>
      <c r="J35" s="30"/>
      <c r="K35" s="27">
        <f t="shared" si="4"/>
        <v>150</v>
      </c>
      <c r="L35" s="28">
        <f t="shared" si="1"/>
        <v>0</v>
      </c>
      <c r="M35" s="29"/>
      <c r="N35" s="32">
        <f t="shared" si="2"/>
        <v>0</v>
      </c>
      <c r="O35" s="33">
        <f t="shared" si="3"/>
      </c>
    </row>
    <row r="36" spans="2:15" ht="15" hidden="1">
      <c r="B36" s="34"/>
      <c r="C36" s="23"/>
      <c r="D36" s="24"/>
      <c r="E36" s="25"/>
      <c r="F36" s="26"/>
      <c r="G36" s="27">
        <f t="shared" si="5"/>
        <v>150</v>
      </c>
      <c r="H36" s="28">
        <f t="shared" si="0"/>
        <v>0</v>
      </c>
      <c r="I36" s="29"/>
      <c r="J36" s="30"/>
      <c r="K36" s="27">
        <f t="shared" si="4"/>
        <v>150</v>
      </c>
      <c r="L36" s="28">
        <f t="shared" si="1"/>
        <v>0</v>
      </c>
      <c r="M36" s="29"/>
      <c r="N36" s="32">
        <f t="shared" si="2"/>
        <v>0</v>
      </c>
      <c r="O36" s="33">
        <f t="shared" si="3"/>
      </c>
    </row>
    <row r="37" spans="2:15" ht="15" hidden="1">
      <c r="B37" s="34"/>
      <c r="C37" s="23"/>
      <c r="D37" s="24"/>
      <c r="E37" s="25"/>
      <c r="F37" s="26"/>
      <c r="G37" s="27">
        <f t="shared" si="5"/>
        <v>150</v>
      </c>
      <c r="H37" s="28">
        <f t="shared" si="0"/>
        <v>0</v>
      </c>
      <c r="I37" s="29"/>
      <c r="J37" s="30"/>
      <c r="K37" s="27">
        <f t="shared" si="4"/>
        <v>150</v>
      </c>
      <c r="L37" s="28">
        <f t="shared" si="1"/>
        <v>0</v>
      </c>
      <c r="M37" s="29"/>
      <c r="N37" s="32">
        <f t="shared" si="2"/>
        <v>0</v>
      </c>
      <c r="O37" s="33">
        <f t="shared" si="3"/>
      </c>
    </row>
    <row r="38" spans="2:15" ht="15" hidden="1">
      <c r="B38" s="34"/>
      <c r="C38" s="23"/>
      <c r="D38" s="24"/>
      <c r="E38" s="25"/>
      <c r="F38" s="26"/>
      <c r="G38" s="27">
        <f t="shared" si="5"/>
        <v>150</v>
      </c>
      <c r="H38" s="28">
        <f t="shared" si="0"/>
        <v>0</v>
      </c>
      <c r="I38" s="29"/>
      <c r="J38" s="30"/>
      <c r="K38" s="27">
        <f t="shared" si="4"/>
        <v>150</v>
      </c>
      <c r="L38" s="28">
        <f t="shared" si="1"/>
        <v>0</v>
      </c>
      <c r="M38" s="29"/>
      <c r="N38" s="32">
        <f t="shared" si="2"/>
        <v>0</v>
      </c>
      <c r="O38" s="33">
        <f t="shared" si="3"/>
      </c>
    </row>
    <row r="39" spans="2:15" ht="15" hidden="1">
      <c r="B39" s="34"/>
      <c r="C39" s="23"/>
      <c r="D39" s="24"/>
      <c r="E39" s="25"/>
      <c r="F39" s="26"/>
      <c r="G39" s="27">
        <f t="shared" si="5"/>
        <v>150</v>
      </c>
      <c r="H39" s="28">
        <f t="shared" si="0"/>
        <v>0</v>
      </c>
      <c r="I39" s="29"/>
      <c r="J39" s="30"/>
      <c r="K39" s="27">
        <f t="shared" si="4"/>
        <v>150</v>
      </c>
      <c r="L39" s="28">
        <f t="shared" si="1"/>
        <v>0</v>
      </c>
      <c r="M39" s="29"/>
      <c r="N39" s="32">
        <f t="shared" si="2"/>
        <v>0</v>
      </c>
      <c r="O39" s="33">
        <f t="shared" si="3"/>
      </c>
    </row>
    <row r="40" spans="2:15" ht="15" hidden="1">
      <c r="B40" s="34"/>
      <c r="C40" s="23"/>
      <c r="D40" s="24"/>
      <c r="E40" s="25"/>
      <c r="F40" s="26"/>
      <c r="G40" s="27">
        <f t="shared" si="5"/>
        <v>150</v>
      </c>
      <c r="H40" s="28">
        <f t="shared" si="0"/>
        <v>0</v>
      </c>
      <c r="I40" s="29"/>
      <c r="J40" s="30"/>
      <c r="K40" s="27">
        <f t="shared" si="4"/>
        <v>150</v>
      </c>
      <c r="L40" s="28">
        <f t="shared" si="1"/>
        <v>0</v>
      </c>
      <c r="M40" s="29"/>
      <c r="N40" s="32">
        <f t="shared" si="2"/>
        <v>0</v>
      </c>
      <c r="O40" s="33">
        <f t="shared" si="3"/>
      </c>
    </row>
    <row r="41" spans="2:15" s="35" customFormat="1" ht="15">
      <c r="B41" s="36" t="s">
        <v>24</v>
      </c>
      <c r="C41" s="37"/>
      <c r="D41" s="38"/>
      <c r="E41" s="37"/>
      <c r="F41" s="39"/>
      <c r="G41" s="40"/>
      <c r="H41" s="41">
        <f>SUM(H23:H40)</f>
        <v>16.4451</v>
      </c>
      <c r="I41" s="42"/>
      <c r="J41" s="43"/>
      <c r="K41" s="44"/>
      <c r="L41" s="41">
        <f>SUM(L23:L40)</f>
        <v>18.947400000000002</v>
      </c>
      <c r="M41" s="42"/>
      <c r="N41" s="260">
        <f t="shared" si="2"/>
        <v>2.5023000000000017</v>
      </c>
      <c r="O41" s="46">
        <f t="shared" si="3"/>
        <v>0.15216082602112493</v>
      </c>
    </row>
    <row r="42" spans="2:15" ht="25.5">
      <c r="B42" s="47" t="s">
        <v>25</v>
      </c>
      <c r="C42" s="23"/>
      <c r="D42" s="57" t="s">
        <v>72</v>
      </c>
      <c r="E42" s="58"/>
      <c r="F42" s="254">
        <v>-0.7008</v>
      </c>
      <c r="G42" s="181">
        <f>G31</f>
        <v>1</v>
      </c>
      <c r="H42" s="28">
        <f aca="true" t="shared" si="6" ref="H42:H48">G42*F42</f>
        <v>-0.7008</v>
      </c>
      <c r="I42" s="29"/>
      <c r="J42" s="254">
        <v>-0.6472</v>
      </c>
      <c r="K42" s="181">
        <f>H18</f>
        <v>1</v>
      </c>
      <c r="L42" s="28">
        <f aca="true" t="shared" si="7" ref="L42:L48">K42*J42</f>
        <v>-0.6472</v>
      </c>
      <c r="M42" s="29"/>
      <c r="N42" s="32">
        <f aca="true" t="shared" si="8" ref="N42:N48">L42-H42</f>
        <v>0.05359999999999998</v>
      </c>
      <c r="O42" s="33">
        <f aca="true" t="shared" si="9" ref="O42:O47">IF((H42)=0,"",(N42/H42))</f>
        <v>-0.07648401826484016</v>
      </c>
    </row>
    <row r="43" spans="2:15" ht="15" hidden="1">
      <c r="B43" s="47"/>
      <c r="C43" s="23"/>
      <c r="D43" s="24" t="s">
        <v>72</v>
      </c>
      <c r="E43" s="25"/>
      <c r="F43" s="26"/>
      <c r="G43" s="181">
        <f>H18</f>
        <v>1</v>
      </c>
      <c r="H43" s="28">
        <f t="shared" si="6"/>
        <v>0</v>
      </c>
      <c r="I43" s="48"/>
      <c r="J43" s="30"/>
      <c r="K43" s="181">
        <f>H18</f>
        <v>1</v>
      </c>
      <c r="L43" s="28">
        <f t="shared" si="7"/>
        <v>0</v>
      </c>
      <c r="M43" s="49"/>
      <c r="N43" s="32">
        <f t="shared" si="8"/>
        <v>0</v>
      </c>
      <c r="O43" s="33">
        <f t="shared" si="9"/>
      </c>
    </row>
    <row r="44" spans="2:15" ht="15" hidden="1">
      <c r="B44" s="47"/>
      <c r="C44" s="23"/>
      <c r="D44" s="24" t="s">
        <v>72</v>
      </c>
      <c r="E44" s="25"/>
      <c r="F44" s="26"/>
      <c r="G44" s="181">
        <f>H18</f>
        <v>1</v>
      </c>
      <c r="H44" s="28">
        <f t="shared" si="6"/>
        <v>0</v>
      </c>
      <c r="I44" s="48"/>
      <c r="J44" s="30"/>
      <c r="K44" s="181">
        <f>H18</f>
        <v>1</v>
      </c>
      <c r="L44" s="28">
        <f t="shared" si="7"/>
        <v>0</v>
      </c>
      <c r="M44" s="49"/>
      <c r="N44" s="32">
        <f t="shared" si="8"/>
        <v>0</v>
      </c>
      <c r="O44" s="33">
        <f t="shared" si="9"/>
      </c>
    </row>
    <row r="45" spans="2:15" ht="30" customHeight="1">
      <c r="B45" s="47" t="s">
        <v>78</v>
      </c>
      <c r="C45" s="23"/>
      <c r="D45" s="24" t="s">
        <v>72</v>
      </c>
      <c r="E45" s="25"/>
      <c r="F45" s="254">
        <v>-1.7868</v>
      </c>
      <c r="G45" s="181">
        <f>H18</f>
        <v>1</v>
      </c>
      <c r="H45" s="28">
        <f t="shared" si="6"/>
        <v>-1.7868</v>
      </c>
      <c r="I45" s="48"/>
      <c r="J45" s="254">
        <v>1.3053</v>
      </c>
      <c r="K45" s="181">
        <f>H18</f>
        <v>1</v>
      </c>
      <c r="L45" s="28">
        <f t="shared" si="7"/>
        <v>1.3053</v>
      </c>
      <c r="M45" s="49"/>
      <c r="N45" s="32">
        <f t="shared" si="8"/>
        <v>3.0921</v>
      </c>
      <c r="O45" s="33">
        <f t="shared" si="9"/>
        <v>-1.7305238415043653</v>
      </c>
    </row>
    <row r="46" spans="2:15" ht="15">
      <c r="B46" s="50" t="s">
        <v>26</v>
      </c>
      <c r="C46" s="23"/>
      <c r="D46" s="24" t="s">
        <v>72</v>
      </c>
      <c r="E46" s="25"/>
      <c r="F46" s="26">
        <v>0.027</v>
      </c>
      <c r="G46" s="181">
        <f>H18</f>
        <v>1</v>
      </c>
      <c r="H46" s="28">
        <f t="shared" si="6"/>
        <v>0.027</v>
      </c>
      <c r="I46" s="29"/>
      <c r="J46" s="30">
        <v>0.027</v>
      </c>
      <c r="K46" s="181">
        <f>H18</f>
        <v>1</v>
      </c>
      <c r="L46" s="28">
        <f t="shared" si="7"/>
        <v>0.027</v>
      </c>
      <c r="M46" s="29"/>
      <c r="N46" s="32">
        <f t="shared" si="8"/>
        <v>0</v>
      </c>
      <c r="O46" s="33">
        <f t="shared" si="9"/>
        <v>0</v>
      </c>
    </row>
    <row r="47" spans="2:15" s="35" customFormat="1" ht="15">
      <c r="B47" s="183" t="s">
        <v>27</v>
      </c>
      <c r="C47" s="25"/>
      <c r="D47" s="184" t="s">
        <v>63</v>
      </c>
      <c r="E47" s="25"/>
      <c r="F47" s="185">
        <f>IF(ISBLANK(D16)=TRUE,0,IF(D16="TOU",0.64*$F$57+0.18*$F$58+0.18*$F$59,IF(AND(D16="non-TOU",G61&gt;0),F61,F60)))</f>
        <v>0.075</v>
      </c>
      <c r="G47" s="27">
        <f>$F$18*(1+$F$76)-$F$18</f>
        <v>5.025000000000006</v>
      </c>
      <c r="H47" s="186">
        <f t="shared" si="6"/>
        <v>0.3768750000000004</v>
      </c>
      <c r="I47" s="58"/>
      <c r="J47" s="187">
        <f>IF(ISBLANK(D16)=TRUE,0,IF(D16="TOU",0.64*$F$57+0.18*$F$58+0.18*$F$59,IF(AND(D16="non-TOU",K61&gt;0),J61,J60)))</f>
        <v>0.075</v>
      </c>
      <c r="K47" s="27">
        <f>$F$18*(1+$J$76)-$F$18</f>
        <v>5.025000000000006</v>
      </c>
      <c r="L47" s="186">
        <f t="shared" si="7"/>
        <v>0.3768750000000004</v>
      </c>
      <c r="M47" s="58"/>
      <c r="N47" s="188">
        <f t="shared" si="8"/>
        <v>0</v>
      </c>
      <c r="O47" s="189">
        <f t="shared" si="9"/>
        <v>0</v>
      </c>
    </row>
    <row r="48" spans="2:15" ht="15">
      <c r="B48" s="50" t="s">
        <v>28</v>
      </c>
      <c r="C48" s="23"/>
      <c r="D48" s="24" t="s">
        <v>62</v>
      </c>
      <c r="E48" s="25"/>
      <c r="F48" s="180">
        <v>0</v>
      </c>
      <c r="G48" s="27">
        <v>0</v>
      </c>
      <c r="H48" s="28">
        <f t="shared" si="6"/>
        <v>0</v>
      </c>
      <c r="I48" s="29"/>
      <c r="J48" s="180">
        <v>0</v>
      </c>
      <c r="K48" s="27">
        <v>0</v>
      </c>
      <c r="L48" s="28">
        <f t="shared" si="7"/>
        <v>0</v>
      </c>
      <c r="M48" s="29"/>
      <c r="N48" s="32">
        <f t="shared" si="8"/>
        <v>0</v>
      </c>
      <c r="O48" s="33"/>
    </row>
    <row r="49" spans="2:15" ht="25.5">
      <c r="B49" s="51" t="s">
        <v>29</v>
      </c>
      <c r="C49" s="52"/>
      <c r="D49" s="52"/>
      <c r="E49" s="52"/>
      <c r="F49" s="53"/>
      <c r="G49" s="54"/>
      <c r="H49" s="55">
        <f>SUM(H42:H48)+H41</f>
        <v>14.361375</v>
      </c>
      <c r="I49" s="42"/>
      <c r="J49" s="54"/>
      <c r="K49" s="56"/>
      <c r="L49" s="55">
        <f>SUM(L42:L48)+L41</f>
        <v>20.009375000000002</v>
      </c>
      <c r="M49" s="42"/>
      <c r="N49" s="45">
        <f aca="true" t="shared" si="10" ref="N49:N67">L49-H49</f>
        <v>5.6480000000000015</v>
      </c>
      <c r="O49" s="46">
        <f aca="true" t="shared" si="11" ref="O49:O67">IF((H49)=0,"",(N49/H49))</f>
        <v>0.39327710612667666</v>
      </c>
    </row>
    <row r="50" spans="2:15" ht="15">
      <c r="B50" s="29" t="s">
        <v>30</v>
      </c>
      <c r="C50" s="29"/>
      <c r="D50" s="57" t="s">
        <v>72</v>
      </c>
      <c r="E50" s="58"/>
      <c r="F50" s="30">
        <v>1.8997</v>
      </c>
      <c r="G50" s="59">
        <f>H18*(1+F76)</f>
        <v>1.0335</v>
      </c>
      <c r="H50" s="28">
        <f>G50*F50</f>
        <v>1.9633399500000002</v>
      </c>
      <c r="I50" s="29"/>
      <c r="J50" s="30">
        <v>1.9598</v>
      </c>
      <c r="K50" s="60">
        <f>H18*(1+J76)</f>
        <v>1.0335</v>
      </c>
      <c r="L50" s="28">
        <f>K50*J50</f>
        <v>2.0254533</v>
      </c>
      <c r="M50" s="29"/>
      <c r="N50" s="259">
        <f t="shared" si="10"/>
        <v>0.062113349999999956</v>
      </c>
      <c r="O50" s="33">
        <f t="shared" si="11"/>
        <v>0.031636574195925644</v>
      </c>
    </row>
    <row r="51" spans="2:15" ht="30">
      <c r="B51" s="61" t="s">
        <v>31</v>
      </c>
      <c r="C51" s="29"/>
      <c r="D51" s="57" t="s">
        <v>72</v>
      </c>
      <c r="E51" s="58"/>
      <c r="F51" s="30">
        <v>1.203</v>
      </c>
      <c r="G51" s="59">
        <f>G50</f>
        <v>1.0335</v>
      </c>
      <c r="H51" s="28">
        <f>G51*F51</f>
        <v>1.2433005000000001</v>
      </c>
      <c r="I51" s="29"/>
      <c r="J51" s="30">
        <v>1.2214</v>
      </c>
      <c r="K51" s="60">
        <f>K50</f>
        <v>1.0335</v>
      </c>
      <c r="L51" s="28">
        <f>K51*J51</f>
        <v>1.2623169</v>
      </c>
      <c r="M51" s="29"/>
      <c r="N51" s="259">
        <f t="shared" si="10"/>
        <v>0.019016399999999933</v>
      </c>
      <c r="O51" s="33">
        <f t="shared" si="11"/>
        <v>0.01529509559434741</v>
      </c>
    </row>
    <row r="52" spans="2:15" ht="25.5">
      <c r="B52" s="51" t="s">
        <v>32</v>
      </c>
      <c r="C52" s="37"/>
      <c r="D52" s="37"/>
      <c r="E52" s="37"/>
      <c r="F52" s="62"/>
      <c r="G52" s="54"/>
      <c r="H52" s="55">
        <f>SUM(H49:H51)</f>
        <v>17.56801545</v>
      </c>
      <c r="I52" s="63"/>
      <c r="J52" s="64"/>
      <c r="K52" s="65"/>
      <c r="L52" s="55">
        <f>SUM(L49:L51)</f>
        <v>23.297145200000003</v>
      </c>
      <c r="M52" s="63"/>
      <c r="N52" s="45">
        <f t="shared" si="10"/>
        <v>5.729129750000002</v>
      </c>
      <c r="O52" s="46">
        <f t="shared" si="11"/>
        <v>0.3261113793020942</v>
      </c>
    </row>
    <row r="53" spans="2:15" ht="30">
      <c r="B53" s="66" t="s">
        <v>33</v>
      </c>
      <c r="C53" s="23"/>
      <c r="D53" s="24" t="s">
        <v>63</v>
      </c>
      <c r="E53" s="25"/>
      <c r="F53" s="67">
        <v>0.0044</v>
      </c>
      <c r="G53" s="59">
        <f>F18*(1+F76)</f>
        <v>155.025</v>
      </c>
      <c r="H53" s="68">
        <f aca="true" t="shared" si="12" ref="H53:H59">G53*F53</f>
        <v>0.6821100000000001</v>
      </c>
      <c r="I53" s="29"/>
      <c r="J53" s="69">
        <v>0.0044</v>
      </c>
      <c r="K53" s="60">
        <f>F18*(1+J76)</f>
        <v>155.025</v>
      </c>
      <c r="L53" s="68">
        <f aca="true" t="shared" si="13" ref="L53:L59">K53*J53</f>
        <v>0.6821100000000001</v>
      </c>
      <c r="M53" s="29"/>
      <c r="N53" s="32">
        <f t="shared" si="10"/>
        <v>0</v>
      </c>
      <c r="O53" s="70">
        <f t="shared" si="11"/>
        <v>0</v>
      </c>
    </row>
    <row r="54" spans="2:15" ht="30">
      <c r="B54" s="66" t="s">
        <v>34</v>
      </c>
      <c r="C54" s="23"/>
      <c r="D54" s="24" t="s">
        <v>63</v>
      </c>
      <c r="E54" s="25"/>
      <c r="F54" s="67">
        <v>0.0013</v>
      </c>
      <c r="G54" s="59">
        <f>G53</f>
        <v>155.025</v>
      </c>
      <c r="H54" s="68">
        <f t="shared" si="12"/>
        <v>0.2015325</v>
      </c>
      <c r="I54" s="29"/>
      <c r="J54" s="69">
        <v>0.0013</v>
      </c>
      <c r="K54" s="60">
        <f>K53</f>
        <v>155.025</v>
      </c>
      <c r="L54" s="68">
        <f t="shared" si="13"/>
        <v>0.2015325</v>
      </c>
      <c r="M54" s="29"/>
      <c r="N54" s="32">
        <f t="shared" si="10"/>
        <v>0</v>
      </c>
      <c r="O54" s="70">
        <f t="shared" si="11"/>
        <v>0</v>
      </c>
    </row>
    <row r="55" spans="2:15" ht="15">
      <c r="B55" s="23" t="s">
        <v>35</v>
      </c>
      <c r="C55" s="23"/>
      <c r="D55" s="24" t="s">
        <v>62</v>
      </c>
      <c r="E55" s="25"/>
      <c r="F55" s="178">
        <v>0.25</v>
      </c>
      <c r="G55" s="27">
        <v>1</v>
      </c>
      <c r="H55" s="68">
        <f t="shared" si="12"/>
        <v>0.25</v>
      </c>
      <c r="I55" s="29"/>
      <c r="J55" s="179">
        <v>0.25</v>
      </c>
      <c r="K55" s="31">
        <v>1</v>
      </c>
      <c r="L55" s="68">
        <f t="shared" si="13"/>
        <v>0.25</v>
      </c>
      <c r="M55" s="29"/>
      <c r="N55" s="32">
        <f t="shared" si="10"/>
        <v>0</v>
      </c>
      <c r="O55" s="70">
        <f t="shared" si="11"/>
        <v>0</v>
      </c>
    </row>
    <row r="56" spans="2:15" ht="15">
      <c r="B56" s="23" t="s">
        <v>36</v>
      </c>
      <c r="C56" s="23"/>
      <c r="D56" s="24" t="s">
        <v>63</v>
      </c>
      <c r="E56" s="25"/>
      <c r="F56" s="67">
        <v>0.007</v>
      </c>
      <c r="G56" s="71">
        <f>F18</f>
        <v>150</v>
      </c>
      <c r="H56" s="68">
        <f t="shared" si="12"/>
        <v>1.05</v>
      </c>
      <c r="I56" s="29"/>
      <c r="J56" s="69">
        <f>0.007</f>
        <v>0.007</v>
      </c>
      <c r="K56" s="72">
        <f>F18</f>
        <v>150</v>
      </c>
      <c r="L56" s="68">
        <f t="shared" si="13"/>
        <v>1.05</v>
      </c>
      <c r="M56" s="29"/>
      <c r="N56" s="32">
        <f t="shared" si="10"/>
        <v>0</v>
      </c>
      <c r="O56" s="70">
        <f t="shared" si="11"/>
        <v>0</v>
      </c>
    </row>
    <row r="57" spans="2:19" ht="15.75" thickBot="1">
      <c r="B57" s="50" t="s">
        <v>77</v>
      </c>
      <c r="C57" s="23"/>
      <c r="D57" s="24" t="s">
        <v>63</v>
      </c>
      <c r="E57" s="25"/>
      <c r="F57" s="67">
        <v>0.0799</v>
      </c>
      <c r="G57" s="71">
        <f>F18</f>
        <v>150</v>
      </c>
      <c r="H57" s="68">
        <f t="shared" si="12"/>
        <v>11.985</v>
      </c>
      <c r="I57" s="29"/>
      <c r="J57" s="67">
        <v>0.0799</v>
      </c>
      <c r="K57" s="71">
        <f>F18</f>
        <v>150</v>
      </c>
      <c r="L57" s="68">
        <f t="shared" si="13"/>
        <v>11.985</v>
      </c>
      <c r="M57" s="29"/>
      <c r="N57" s="32">
        <f t="shared" si="10"/>
        <v>0</v>
      </c>
      <c r="O57" s="70">
        <f t="shared" si="11"/>
        <v>0</v>
      </c>
      <c r="S57" s="74"/>
    </row>
    <row r="58" spans="2:19" ht="15" hidden="1">
      <c r="B58" s="50" t="s">
        <v>38</v>
      </c>
      <c r="C58" s="23"/>
      <c r="D58" s="24"/>
      <c r="E58" s="25"/>
      <c r="F58" s="73">
        <v>0.104</v>
      </c>
      <c r="G58" s="71">
        <v>0</v>
      </c>
      <c r="H58" s="68">
        <f t="shared" si="12"/>
        <v>0</v>
      </c>
      <c r="I58" s="29"/>
      <c r="J58" s="67">
        <v>0.104</v>
      </c>
      <c r="K58" s="71">
        <v>0</v>
      </c>
      <c r="L58" s="68">
        <f t="shared" si="13"/>
        <v>0</v>
      </c>
      <c r="M58" s="29"/>
      <c r="N58" s="32">
        <f t="shared" si="10"/>
        <v>0</v>
      </c>
      <c r="O58" s="70">
        <f t="shared" si="11"/>
      </c>
      <c r="S58" s="74"/>
    </row>
    <row r="59" spans="2:19" ht="15" hidden="1">
      <c r="B59" s="13" t="s">
        <v>39</v>
      </c>
      <c r="C59" s="23"/>
      <c r="D59" s="24"/>
      <c r="E59" s="25"/>
      <c r="F59" s="73">
        <v>0.124</v>
      </c>
      <c r="G59" s="71">
        <v>0</v>
      </c>
      <c r="H59" s="68">
        <f t="shared" si="12"/>
        <v>0</v>
      </c>
      <c r="I59" s="29"/>
      <c r="J59" s="67">
        <v>0.124</v>
      </c>
      <c r="K59" s="71">
        <v>0</v>
      </c>
      <c r="L59" s="68">
        <f t="shared" si="13"/>
        <v>0</v>
      </c>
      <c r="M59" s="29"/>
      <c r="N59" s="32">
        <f t="shared" si="10"/>
        <v>0</v>
      </c>
      <c r="O59" s="70">
        <f t="shared" si="11"/>
      </c>
      <c r="S59" s="74"/>
    </row>
    <row r="60" spans="2:15" s="75" customFormat="1" ht="15" hidden="1">
      <c r="B60" s="182" t="s">
        <v>40</v>
      </c>
      <c r="C60" s="77"/>
      <c r="D60" s="78"/>
      <c r="E60" s="79"/>
      <c r="F60" s="73">
        <v>0.075</v>
      </c>
      <c r="G60" s="80">
        <f>IF(AND($T$1=1,F18&gt;=600),600,IF(AND($T$1=1,AND(F18&lt;600,F18&gt;=0)),F18,IF(AND($T$1=2,F18&gt;=1000),1000,IF(AND($T$1=2,AND(F18&lt;1000,F18&gt;=0)),F18))))</f>
        <v>150</v>
      </c>
      <c r="H60" s="68">
        <f>G60*F60</f>
        <v>11.25</v>
      </c>
      <c r="I60" s="81"/>
      <c r="J60" s="67">
        <v>0.075</v>
      </c>
      <c r="K60" s="80">
        <f>G60</f>
        <v>150</v>
      </c>
      <c r="L60" s="68">
        <f>K60*J60</f>
        <v>11.25</v>
      </c>
      <c r="M60" s="81"/>
      <c r="N60" s="82">
        <f t="shared" si="10"/>
        <v>0</v>
      </c>
      <c r="O60" s="70">
        <f t="shared" si="11"/>
        <v>0</v>
      </c>
    </row>
    <row r="61" spans="2:15" s="75" customFormat="1" ht="15.75" hidden="1" thickBot="1">
      <c r="B61" s="182" t="s">
        <v>41</v>
      </c>
      <c r="C61" s="77"/>
      <c r="D61" s="78"/>
      <c r="E61" s="79"/>
      <c r="F61" s="73">
        <v>0.088</v>
      </c>
      <c r="G61" s="80">
        <f>IF(AND($T$1=1,F18&gt;=600),F18-600,IF(AND($T$1=1,AND(F18&lt;600,F18&gt;=0)),0,IF(AND($T$1=2,F18&gt;=1000),F18-1000,IF(AND($T$1=2,AND(F18&lt;1000,F18&gt;=0)),0))))</f>
        <v>0</v>
      </c>
      <c r="H61" s="68">
        <f>G61*F61</f>
        <v>0</v>
      </c>
      <c r="I61" s="81"/>
      <c r="J61" s="67">
        <v>0.088</v>
      </c>
      <c r="K61" s="80">
        <f>G61</f>
        <v>0</v>
      </c>
      <c r="L61" s="68">
        <f>K61*J61</f>
        <v>0</v>
      </c>
      <c r="M61" s="81"/>
      <c r="N61" s="82">
        <f t="shared" si="10"/>
        <v>0</v>
      </c>
      <c r="O61" s="70">
        <f t="shared" si="11"/>
      </c>
    </row>
    <row r="62" spans="2:15" ht="8.25" customHeight="1" thickBot="1">
      <c r="B62" s="83"/>
      <c r="C62" s="84"/>
      <c r="D62" s="85"/>
      <c r="E62" s="84"/>
      <c r="F62" s="86"/>
      <c r="G62" s="87"/>
      <c r="H62" s="88"/>
      <c r="I62" s="89"/>
      <c r="J62" s="86"/>
      <c r="K62" s="90"/>
      <c r="L62" s="88"/>
      <c r="M62" s="89"/>
      <c r="N62" s="91"/>
      <c r="O62" s="92"/>
    </row>
    <row r="63" spans="2:19" ht="15" hidden="1">
      <c r="B63" s="93" t="s">
        <v>42</v>
      </c>
      <c r="C63" s="23"/>
      <c r="D63" s="23"/>
      <c r="E63" s="23"/>
      <c r="F63" s="94"/>
      <c r="G63" s="95"/>
      <c r="H63" s="96">
        <f>SUM(H53:H59,H52)</f>
        <v>31.73665795</v>
      </c>
      <c r="I63" s="97"/>
      <c r="J63" s="98"/>
      <c r="K63" s="98"/>
      <c r="L63" s="96">
        <f>SUM(L53:L59,L52)</f>
        <v>37.46578770000001</v>
      </c>
      <c r="M63" s="99"/>
      <c r="N63" s="100">
        <f>L63-H63</f>
        <v>5.729129750000006</v>
      </c>
      <c r="O63" s="101">
        <f>IF((H63)=0,"",(N63/H63))</f>
        <v>0.18052089035417812</v>
      </c>
      <c r="S63" s="74"/>
    </row>
    <row r="64" spans="2:19" ht="15" hidden="1">
      <c r="B64" s="102" t="s">
        <v>43</v>
      </c>
      <c r="C64" s="23"/>
      <c r="D64" s="23"/>
      <c r="E64" s="23"/>
      <c r="F64" s="103">
        <v>0.13</v>
      </c>
      <c r="G64" s="104"/>
      <c r="H64" s="105">
        <f>H63*F64</f>
        <v>4.1257655335</v>
      </c>
      <c r="I64" s="106"/>
      <c r="J64" s="107">
        <v>0.13</v>
      </c>
      <c r="K64" s="106"/>
      <c r="L64" s="108">
        <f>L63*J64</f>
        <v>4.870552401000001</v>
      </c>
      <c r="M64" s="109"/>
      <c r="N64" s="110">
        <f t="shared" si="10"/>
        <v>0.7447868675000011</v>
      </c>
      <c r="O64" s="111">
        <f t="shared" si="11"/>
        <v>0.18052089035417823</v>
      </c>
      <c r="S64" s="74"/>
    </row>
    <row r="65" spans="2:19" ht="15" hidden="1">
      <c r="B65" s="112" t="s">
        <v>44</v>
      </c>
      <c r="C65" s="23"/>
      <c r="D65" s="23"/>
      <c r="E65" s="23"/>
      <c r="F65" s="113"/>
      <c r="G65" s="104"/>
      <c r="H65" s="105">
        <f>H63+H64</f>
        <v>35.8624234835</v>
      </c>
      <c r="I65" s="106"/>
      <c r="J65" s="106"/>
      <c r="K65" s="106"/>
      <c r="L65" s="108">
        <f>L63+L64</f>
        <v>42.336340101000005</v>
      </c>
      <c r="M65" s="109"/>
      <c r="N65" s="110">
        <f t="shared" si="10"/>
        <v>6.473916617500002</v>
      </c>
      <c r="O65" s="111">
        <f t="shared" si="11"/>
        <v>0.180520890354178</v>
      </c>
      <c r="S65" s="74"/>
    </row>
    <row r="66" spans="2:15" ht="15.75" customHeight="1" hidden="1">
      <c r="B66" s="333" t="s">
        <v>45</v>
      </c>
      <c r="C66" s="333"/>
      <c r="D66" s="333"/>
      <c r="E66" s="23"/>
      <c r="F66" s="113"/>
      <c r="G66" s="104"/>
      <c r="H66" s="114">
        <f>ROUND(-H65*10%,2)</f>
        <v>-3.59</v>
      </c>
      <c r="I66" s="106"/>
      <c r="J66" s="106"/>
      <c r="K66" s="106"/>
      <c r="L66" s="115">
        <f>ROUND(-L65*10%,2)</f>
        <v>-4.23</v>
      </c>
      <c r="M66" s="109"/>
      <c r="N66" s="116">
        <f t="shared" si="10"/>
        <v>-0.6400000000000006</v>
      </c>
      <c r="O66" s="117">
        <f t="shared" si="11"/>
        <v>0.17827298050139292</v>
      </c>
    </row>
    <row r="67" spans="2:15" ht="15" hidden="1">
      <c r="B67" s="334" t="s">
        <v>46</v>
      </c>
      <c r="C67" s="334"/>
      <c r="D67" s="334"/>
      <c r="E67" s="118"/>
      <c r="F67" s="119"/>
      <c r="G67" s="120"/>
      <c r="H67" s="121">
        <f>H65+H66</f>
        <v>32.272423483500006</v>
      </c>
      <c r="I67" s="122"/>
      <c r="J67" s="122"/>
      <c r="K67" s="122"/>
      <c r="L67" s="123">
        <f>L65+L66</f>
        <v>38.106340101</v>
      </c>
      <c r="M67" s="124"/>
      <c r="N67" s="125">
        <f t="shared" si="10"/>
        <v>5.833916617499995</v>
      </c>
      <c r="O67" s="126">
        <f t="shared" si="11"/>
        <v>0.18077094893362175</v>
      </c>
    </row>
    <row r="68" spans="2:15" s="75" customFormat="1" ht="8.25" customHeight="1" hidden="1">
      <c r="B68" s="127"/>
      <c r="C68" s="128"/>
      <c r="D68" s="129"/>
      <c r="E68" s="128"/>
      <c r="F68" s="86"/>
      <c r="G68" s="130"/>
      <c r="H68" s="88"/>
      <c r="I68" s="131"/>
      <c r="J68" s="86"/>
      <c r="K68" s="132"/>
      <c r="L68" s="88"/>
      <c r="M68" s="131"/>
      <c r="N68" s="133"/>
      <c r="O68" s="92"/>
    </row>
    <row r="69" spans="2:15" s="75" customFormat="1" ht="12.75">
      <c r="B69" s="134" t="s">
        <v>47</v>
      </c>
      <c r="C69" s="77"/>
      <c r="D69" s="77"/>
      <c r="E69" s="77"/>
      <c r="F69" s="135"/>
      <c r="G69" s="136"/>
      <c r="H69" s="137">
        <f>SUM(H57,H52,H53:H56)</f>
        <v>31.73665795</v>
      </c>
      <c r="I69" s="138"/>
      <c r="J69" s="139"/>
      <c r="K69" s="139"/>
      <c r="L69" s="191">
        <f>SUM(L57,L52,L53:L56)</f>
        <v>37.4657877</v>
      </c>
      <c r="M69" s="140"/>
      <c r="N69" s="141">
        <f>L69-H69</f>
        <v>5.7291297499999985</v>
      </c>
      <c r="O69" s="101">
        <f>IF((H69)=0,"",(N69/H69))</f>
        <v>0.1805208903541779</v>
      </c>
    </row>
    <row r="70" spans="2:15" s="75" customFormat="1" ht="12.75">
      <c r="B70" s="142" t="s">
        <v>43</v>
      </c>
      <c r="C70" s="77"/>
      <c r="D70" s="77"/>
      <c r="E70" s="77"/>
      <c r="F70" s="143">
        <v>0.13</v>
      </c>
      <c r="G70" s="136"/>
      <c r="H70" s="144">
        <f>H69*F70</f>
        <v>4.1257655335</v>
      </c>
      <c r="I70" s="145"/>
      <c r="J70" s="146">
        <v>0.13</v>
      </c>
      <c r="K70" s="147"/>
      <c r="L70" s="148">
        <f>L69*J70</f>
        <v>4.870552401</v>
      </c>
      <c r="M70" s="149"/>
      <c r="N70" s="150">
        <f>L70-H70</f>
        <v>0.7447868675000002</v>
      </c>
      <c r="O70" s="111">
        <f>IF((H70)=0,"",(N70/H70))</f>
        <v>0.180520890354178</v>
      </c>
    </row>
    <row r="71" spans="2:15" s="75" customFormat="1" ht="12.75">
      <c r="B71" s="151" t="s">
        <v>44</v>
      </c>
      <c r="C71" s="77"/>
      <c r="D71" s="77"/>
      <c r="E71" s="77"/>
      <c r="F71" s="152"/>
      <c r="G71" s="153"/>
      <c r="H71" s="144">
        <f>H69+H70</f>
        <v>35.8624234835</v>
      </c>
      <c r="I71" s="145"/>
      <c r="J71" s="145"/>
      <c r="K71" s="145"/>
      <c r="L71" s="148">
        <f>L69+L70</f>
        <v>42.336340101</v>
      </c>
      <c r="M71" s="149"/>
      <c r="N71" s="150">
        <f>L71-H71</f>
        <v>6.473916617499995</v>
      </c>
      <c r="O71" s="111">
        <f>IF((H71)=0,"",(N71/H71))</f>
        <v>0.18052089035417782</v>
      </c>
    </row>
    <row r="72" spans="2:15" s="75" customFormat="1" ht="15.75" customHeight="1">
      <c r="B72" s="335" t="s">
        <v>45</v>
      </c>
      <c r="C72" s="335"/>
      <c r="D72" s="335"/>
      <c r="E72" s="77"/>
      <c r="F72" s="152"/>
      <c r="G72" s="153"/>
      <c r="H72" s="256">
        <f>ROUND(-H71*10%,2)</f>
        <v>-3.59</v>
      </c>
      <c r="I72" s="145"/>
      <c r="J72" s="145"/>
      <c r="K72" s="145"/>
      <c r="L72" s="257">
        <f>ROUND(-L71*10%,2)</f>
        <v>-4.23</v>
      </c>
      <c r="M72" s="149"/>
      <c r="N72" s="258">
        <f>L72-H72</f>
        <v>-0.6400000000000006</v>
      </c>
      <c r="O72" s="117">
        <f>IF((H72)=0,"",(N72/H72))</f>
        <v>0.17827298050139292</v>
      </c>
    </row>
    <row r="73" spans="2:15" s="75" customFormat="1" ht="13.5" thickBot="1">
      <c r="B73" s="326" t="s">
        <v>48</v>
      </c>
      <c r="C73" s="326"/>
      <c r="D73" s="326"/>
      <c r="E73" s="157"/>
      <c r="F73" s="158"/>
      <c r="G73" s="159"/>
      <c r="H73" s="160">
        <f>SUM(H71:H72)</f>
        <v>32.272423483500006</v>
      </c>
      <c r="I73" s="161"/>
      <c r="J73" s="161"/>
      <c r="K73" s="161"/>
      <c r="L73" s="162">
        <f>SUM(L71:L72)</f>
        <v>38.106340101</v>
      </c>
      <c r="M73" s="163"/>
      <c r="N73" s="164">
        <f>L73-H73</f>
        <v>5.833916617499995</v>
      </c>
      <c r="O73" s="165">
        <f>IF((H73)=0,"",(N73/H73))</f>
        <v>0.18077094893362175</v>
      </c>
    </row>
    <row r="74" spans="2:15" s="75" customFormat="1" ht="8.25" customHeight="1" thickBot="1">
      <c r="B74" s="127"/>
      <c r="C74" s="128"/>
      <c r="D74" s="129"/>
      <c r="E74" s="128"/>
      <c r="F74" s="166"/>
      <c r="G74" s="167"/>
      <c r="H74" s="168"/>
      <c r="I74" s="169"/>
      <c r="J74" s="166"/>
      <c r="K74" s="130"/>
      <c r="L74" s="170"/>
      <c r="M74" s="131"/>
      <c r="N74" s="171"/>
      <c r="O74" s="92"/>
    </row>
    <row r="75" ht="10.5" customHeight="1">
      <c r="L75" s="74"/>
    </row>
    <row r="76" spans="2:10" ht="15">
      <c r="B76" s="14" t="s">
        <v>49</v>
      </c>
      <c r="F76" s="172">
        <v>0.0335</v>
      </c>
      <c r="J76" s="172">
        <v>0.0335</v>
      </c>
    </row>
    <row r="77" ht="10.5" customHeight="1"/>
    <row r="78" ht="15">
      <c r="A78" s="173" t="s">
        <v>50</v>
      </c>
    </row>
    <row r="79" ht="10.5" customHeight="1"/>
    <row r="80" ht="15">
      <c r="A80" s="8" t="s">
        <v>51</v>
      </c>
    </row>
    <row r="81" ht="15">
      <c r="A81" s="8" t="s">
        <v>52</v>
      </c>
    </row>
    <row r="83" ht="15">
      <c r="A83" s="13" t="s">
        <v>53</v>
      </c>
    </row>
    <row r="84" ht="15">
      <c r="A84" s="13" t="s">
        <v>54</v>
      </c>
    </row>
    <row r="86" ht="15">
      <c r="A86" s="8" t="s">
        <v>55</v>
      </c>
    </row>
    <row r="87" ht="15">
      <c r="A87" s="8" t="s">
        <v>56</v>
      </c>
    </row>
    <row r="88" ht="15">
      <c r="A88" s="8" t="s">
        <v>57</v>
      </c>
    </row>
    <row r="89" ht="15">
      <c r="A89" s="8" t="s">
        <v>58</v>
      </c>
    </row>
    <row r="90" ht="15">
      <c r="A90" s="8" t="s">
        <v>59</v>
      </c>
    </row>
    <row r="92" spans="1:2" ht="15">
      <c r="A92" s="174"/>
      <c r="B92" s="8" t="s">
        <v>60</v>
      </c>
    </row>
  </sheetData>
  <sheetProtection/>
  <mergeCells count="20">
    <mergeCell ref="A3:K3"/>
    <mergeCell ref="B10:O10"/>
    <mergeCell ref="B11:O11"/>
    <mergeCell ref="D14:O14"/>
    <mergeCell ref="F20:H20"/>
    <mergeCell ref="J20:L20"/>
    <mergeCell ref="N20:O20"/>
    <mergeCell ref="B73:D73"/>
    <mergeCell ref="D21:D22"/>
    <mergeCell ref="N21:N22"/>
    <mergeCell ref="O21:O22"/>
    <mergeCell ref="B66:D66"/>
    <mergeCell ref="B67:D67"/>
    <mergeCell ref="B72:D72"/>
    <mergeCell ref="N1:O1"/>
    <mergeCell ref="N2:O2"/>
    <mergeCell ref="N3:O3"/>
    <mergeCell ref="N4:O4"/>
    <mergeCell ref="N5:O5"/>
    <mergeCell ref="N7:O7"/>
  </mergeCells>
  <dataValidations count="4">
    <dataValidation type="list" allowBlank="1" showInputMessage="1" showErrorMessage="1" sqref="D16">
      <formula1>"TOU, non-TOU"</formula1>
    </dataValidation>
    <dataValidation type="list" allowBlank="1" showInputMessage="1" showErrorMessage="1" sqref="E74 E68 E60:E61">
      <formula1>'ST (1kW)'!#REF!</formula1>
    </dataValidation>
    <dataValidation type="list" allowBlank="1" showInputMessage="1" showErrorMessage="1" prompt="Select Charge Unit - monthly, per kWh, per kW" sqref="D50:D51 D42:D48 D68 D53:D62 D74 D23:D40">
      <formula1>"Monthly, per kWh, per kW"</formula1>
    </dataValidation>
    <dataValidation type="list" allowBlank="1" showInputMessage="1" showErrorMessage="1" sqref="E50:E51 E42:E48 E62 E53:E59 E23:E40">
      <formula1>'ST (1kW)'!#REF!</formula1>
    </dataValidation>
  </dataValidations>
  <printOptions/>
  <pageMargins left="0.7" right="0.7" top="0.75" bottom="0.75" header="0.3" footer="0.3"/>
  <pageSetup fitToHeight="0" fitToWidth="1" horizontalDpi="600" verticalDpi="600" orientation="portrait" scale="56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92"/>
  <sheetViews>
    <sheetView showGridLines="0" zoomScalePageLayoutView="0" workbookViewId="0" topLeftCell="A7">
      <selection activeCell="F31" sqref="F31"/>
    </sheetView>
  </sheetViews>
  <sheetFormatPr defaultColWidth="9.140625" defaultRowHeight="15"/>
  <cols>
    <col min="1" max="1" width="2.140625" style="8" customWidth="1"/>
    <col min="2" max="2" width="44.5742187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9.00390625" style="8" bestFit="1" customWidth="1"/>
    <col min="8" max="8" width="14.28125" style="8" bestFit="1" customWidth="1"/>
    <col min="9" max="9" width="2.8515625" style="8" customWidth="1"/>
    <col min="10" max="10" width="12.140625" style="8" customWidth="1"/>
    <col min="11" max="11" width="9.00390625" style="8" bestFit="1" customWidth="1"/>
    <col min="12" max="12" width="14.28125" style="8" bestFit="1" customWidth="1"/>
    <col min="13" max="13" width="2.8515625" style="8" customWidth="1"/>
    <col min="14" max="14" width="12.7109375" style="8" bestFit="1" customWidth="1"/>
    <col min="15" max="15" width="10.8515625" style="8" bestFit="1" customWidth="1"/>
    <col min="16" max="16" width="3.851562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42" t="str">
        <f>EBNUMBER</f>
        <v>EB-2013-0116</v>
      </c>
      <c r="O1" s="342"/>
      <c r="P1"/>
      <c r="T1" s="2">
        <v>1</v>
      </c>
    </row>
    <row r="2" spans="1:16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343">
        <v>8</v>
      </c>
      <c r="O2" s="343"/>
      <c r="P2"/>
    </row>
    <row r="3" spans="1:16" s="2" customFormat="1" ht="15" customHeight="1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" t="s">
        <v>79</v>
      </c>
      <c r="N3" s="344" t="s">
        <v>80</v>
      </c>
      <c r="O3" s="344"/>
      <c r="P3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343">
        <v>19</v>
      </c>
      <c r="O4" s="343"/>
      <c r="P4"/>
    </row>
    <row r="5" spans="3:16" s="2" customFormat="1" ht="15" customHeight="1">
      <c r="C5" s="7"/>
      <c r="D5" s="7"/>
      <c r="E5" s="7"/>
      <c r="L5" s="3" t="s">
        <v>81</v>
      </c>
      <c r="N5" s="345" t="s">
        <v>101</v>
      </c>
      <c r="O5" s="345"/>
      <c r="P5"/>
    </row>
    <row r="6" spans="12:16" s="2" customFormat="1" ht="9" customHeight="1">
      <c r="L6" s="3"/>
      <c r="N6" s="4"/>
      <c r="O6" s="193"/>
      <c r="P6"/>
    </row>
    <row r="7" spans="12:16" s="2" customFormat="1" ht="15">
      <c r="L7" s="3" t="s">
        <v>83</v>
      </c>
      <c r="N7" s="346">
        <v>41575</v>
      </c>
      <c r="O7" s="346"/>
      <c r="P7"/>
    </row>
    <row r="8" spans="14:16" s="2" customFormat="1" ht="15" customHeight="1">
      <c r="N8" s="8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337" t="s">
        <v>3</v>
      </c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/>
    </row>
    <row r="11" spans="2:16" ht="18.75" customHeight="1">
      <c r="B11" s="337" t="s">
        <v>4</v>
      </c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338" t="s">
        <v>76</v>
      </c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69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9" ht="15">
      <c r="B18" s="13"/>
      <c r="D18" s="14" t="s">
        <v>8</v>
      </c>
      <c r="E18" s="14"/>
      <c r="F18" s="15">
        <v>150</v>
      </c>
      <c r="G18" s="14" t="s">
        <v>9</v>
      </c>
      <c r="H18" s="15"/>
      <c r="I18" s="14"/>
    </row>
    <row r="19" ht="15">
      <c r="B19" s="13"/>
    </row>
    <row r="20" spans="2:15" ht="15">
      <c r="B20" s="13"/>
      <c r="D20" s="16"/>
      <c r="E20" s="16"/>
      <c r="F20" s="339" t="s">
        <v>10</v>
      </c>
      <c r="G20" s="340"/>
      <c r="H20" s="341"/>
      <c r="J20" s="339" t="s">
        <v>11</v>
      </c>
      <c r="K20" s="340"/>
      <c r="L20" s="341"/>
      <c r="N20" s="339" t="s">
        <v>12</v>
      </c>
      <c r="O20" s="341"/>
    </row>
    <row r="21" spans="2:15" ht="15">
      <c r="B21" s="13"/>
      <c r="D21" s="327" t="s">
        <v>13</v>
      </c>
      <c r="E21" s="17"/>
      <c r="F21" s="18" t="s">
        <v>14</v>
      </c>
      <c r="G21" s="18" t="s">
        <v>15</v>
      </c>
      <c r="H21" s="19" t="s">
        <v>16</v>
      </c>
      <c r="J21" s="18" t="s">
        <v>14</v>
      </c>
      <c r="K21" s="20" t="s">
        <v>15</v>
      </c>
      <c r="L21" s="19" t="s">
        <v>16</v>
      </c>
      <c r="N21" s="329" t="s">
        <v>17</v>
      </c>
      <c r="O21" s="331" t="s">
        <v>18</v>
      </c>
    </row>
    <row r="22" spans="2:15" ht="15">
      <c r="B22" s="13"/>
      <c r="D22" s="328"/>
      <c r="E22" s="17"/>
      <c r="F22" s="21" t="s">
        <v>19</v>
      </c>
      <c r="G22" s="21"/>
      <c r="H22" s="22" t="s">
        <v>19</v>
      </c>
      <c r="J22" s="21" t="s">
        <v>19</v>
      </c>
      <c r="K22" s="22"/>
      <c r="L22" s="22" t="s">
        <v>19</v>
      </c>
      <c r="N22" s="330"/>
      <c r="O22" s="332"/>
    </row>
    <row r="23" spans="2:15" ht="22.5" customHeight="1">
      <c r="B23" s="23" t="s">
        <v>20</v>
      </c>
      <c r="C23" s="23"/>
      <c r="D23" s="24" t="s">
        <v>62</v>
      </c>
      <c r="E23" s="25"/>
      <c r="F23" s="176">
        <v>5.58</v>
      </c>
      <c r="G23" s="27">
        <v>1</v>
      </c>
      <c r="H23" s="28">
        <f>G23*F23</f>
        <v>5.58</v>
      </c>
      <c r="I23" s="29"/>
      <c r="J23" s="175">
        <v>5.66</v>
      </c>
      <c r="K23" s="31">
        <v>1</v>
      </c>
      <c r="L23" s="28">
        <f>K23*J23</f>
        <v>5.66</v>
      </c>
      <c r="M23" s="29"/>
      <c r="N23" s="32">
        <f>L23-H23</f>
        <v>0.08000000000000007</v>
      </c>
      <c r="O23" s="33">
        <f>IF((H23)=0,"",(N23/H23))</f>
        <v>0.014336917562724026</v>
      </c>
    </row>
    <row r="24" spans="2:15" ht="22.5" customHeight="1">
      <c r="B24" s="23" t="s">
        <v>102</v>
      </c>
      <c r="C24" s="23"/>
      <c r="D24" s="24" t="s">
        <v>62</v>
      </c>
      <c r="E24" s="25"/>
      <c r="F24" s="255">
        <v>0</v>
      </c>
      <c r="G24" s="27">
        <v>1</v>
      </c>
      <c r="H24" s="249">
        <f>G24*F24</f>
        <v>0</v>
      </c>
      <c r="I24" s="29"/>
      <c r="J24" s="175">
        <v>0</v>
      </c>
      <c r="K24" s="31">
        <v>1</v>
      </c>
      <c r="L24" s="28">
        <f>K24*J24</f>
        <v>0</v>
      </c>
      <c r="M24" s="29"/>
      <c r="N24" s="32">
        <f>L24-H24</f>
        <v>0</v>
      </c>
      <c r="O24" s="33">
        <f>IF((H24)=0,"",(N24/H24))</f>
      </c>
    </row>
    <row r="25" spans="2:15" ht="36.75" customHeight="1">
      <c r="B25" s="66" t="s">
        <v>125</v>
      </c>
      <c r="C25" s="23"/>
      <c r="D25" s="57" t="s">
        <v>62</v>
      </c>
      <c r="E25" s="25"/>
      <c r="F25" s="272">
        <v>0</v>
      </c>
      <c r="G25" s="27">
        <v>1</v>
      </c>
      <c r="H25" s="249">
        <f>G25*F25</f>
        <v>0</v>
      </c>
      <c r="I25" s="29"/>
      <c r="J25" s="30">
        <f>'GS 1000-4999 (1,000kW)'!J25</f>
        <v>0.79</v>
      </c>
      <c r="K25" s="31">
        <v>1</v>
      </c>
      <c r="L25" s="249">
        <f>K25*J25</f>
        <v>0.79</v>
      </c>
      <c r="M25" s="29"/>
      <c r="N25" s="32">
        <f>L25-H25</f>
        <v>0.79</v>
      </c>
      <c r="O25" s="250">
        <f>IF((H25)=0,"",(N25/H25))</f>
      </c>
    </row>
    <row r="26" spans="2:15" ht="15" hidden="1">
      <c r="B26" s="177"/>
      <c r="C26" s="23"/>
      <c r="D26" s="57" t="s">
        <v>62</v>
      </c>
      <c r="E26" s="58"/>
      <c r="F26" s="175"/>
      <c r="G26" s="27">
        <v>1</v>
      </c>
      <c r="H26" s="28">
        <f aca="true" t="shared" si="0" ref="H26:H40">G26*F26</f>
        <v>0</v>
      </c>
      <c r="I26" s="29"/>
      <c r="J26" s="30"/>
      <c r="K26" s="31">
        <v>1</v>
      </c>
      <c r="L26" s="28">
        <f aca="true" t="shared" si="1" ref="L26:L40">K26*J26</f>
        <v>0</v>
      </c>
      <c r="M26" s="29"/>
      <c r="N26" s="32">
        <f aca="true" t="shared" si="2" ref="N26:N41">L26-H26</f>
        <v>0</v>
      </c>
      <c r="O26" s="33">
        <f aca="true" t="shared" si="3" ref="O26:O41">IF((H26)=0,"",(N26/H26))</f>
      </c>
    </row>
    <row r="27" spans="2:15" ht="15" hidden="1">
      <c r="B27" s="177"/>
      <c r="C27" s="23"/>
      <c r="D27" s="57" t="s">
        <v>62</v>
      </c>
      <c r="E27" s="25"/>
      <c r="F27" s="26"/>
      <c r="G27" s="27">
        <v>1</v>
      </c>
      <c r="H27" s="28">
        <f t="shared" si="0"/>
        <v>0</v>
      </c>
      <c r="I27" s="29"/>
      <c r="J27" s="175"/>
      <c r="K27" s="31">
        <v>1</v>
      </c>
      <c r="L27" s="28">
        <f t="shared" si="1"/>
        <v>0</v>
      </c>
      <c r="M27" s="29"/>
      <c r="N27" s="32">
        <f t="shared" si="2"/>
        <v>0</v>
      </c>
      <c r="O27" s="33">
        <f t="shared" si="3"/>
      </c>
    </row>
    <row r="28" spans="2:15" ht="15">
      <c r="B28" s="47" t="s">
        <v>66</v>
      </c>
      <c r="C28" s="23"/>
      <c r="D28" s="24" t="s">
        <v>63</v>
      </c>
      <c r="E28" s="25"/>
      <c r="F28" s="26">
        <v>0</v>
      </c>
      <c r="G28" s="181">
        <f aca="true" t="shared" si="4" ref="G28:G33">$F$18</f>
        <v>150</v>
      </c>
      <c r="H28" s="28">
        <f t="shared" si="0"/>
        <v>0</v>
      </c>
      <c r="I28" s="29"/>
      <c r="J28" s="30"/>
      <c r="K28" s="181">
        <f>$F$18</f>
        <v>150</v>
      </c>
      <c r="L28" s="28">
        <f t="shared" si="1"/>
        <v>0</v>
      </c>
      <c r="M28" s="29"/>
      <c r="N28" s="32">
        <f t="shared" si="2"/>
        <v>0</v>
      </c>
      <c r="O28" s="33">
        <f t="shared" si="3"/>
      </c>
    </row>
    <row r="29" spans="2:15" ht="15">
      <c r="B29" s="47" t="s">
        <v>67</v>
      </c>
      <c r="C29" s="23"/>
      <c r="D29" s="24" t="s">
        <v>63</v>
      </c>
      <c r="E29" s="25"/>
      <c r="F29" s="253">
        <v>-0.004</v>
      </c>
      <c r="G29" s="181">
        <f t="shared" si="4"/>
        <v>150</v>
      </c>
      <c r="H29" s="28">
        <f t="shared" si="0"/>
        <v>-0.6</v>
      </c>
      <c r="I29" s="29"/>
      <c r="J29" s="30">
        <v>0</v>
      </c>
      <c r="K29" s="181">
        <f>$F$18</f>
        <v>150</v>
      </c>
      <c r="L29" s="28">
        <f t="shared" si="1"/>
        <v>0</v>
      </c>
      <c r="M29" s="29"/>
      <c r="N29" s="32">
        <f t="shared" si="2"/>
        <v>0.6</v>
      </c>
      <c r="O29" s="33">
        <f t="shared" si="3"/>
        <v>-1</v>
      </c>
    </row>
    <row r="30" spans="2:15" ht="15">
      <c r="B30" s="47" t="s">
        <v>103</v>
      </c>
      <c r="C30" s="23"/>
      <c r="D30" s="24" t="s">
        <v>63</v>
      </c>
      <c r="E30" s="25"/>
      <c r="F30" s="253">
        <v>0</v>
      </c>
      <c r="G30" s="181">
        <f t="shared" si="4"/>
        <v>150</v>
      </c>
      <c r="H30" s="249">
        <f t="shared" si="0"/>
        <v>0</v>
      </c>
      <c r="I30" s="29"/>
      <c r="J30" s="30">
        <v>0</v>
      </c>
      <c r="K30" s="181">
        <f>F18</f>
        <v>150</v>
      </c>
      <c r="L30" s="28">
        <f t="shared" si="1"/>
        <v>0</v>
      </c>
      <c r="M30" s="29"/>
      <c r="N30" s="32">
        <f t="shared" si="2"/>
        <v>0</v>
      </c>
      <c r="O30" s="33"/>
    </row>
    <row r="31" spans="2:15" ht="15">
      <c r="B31" s="23" t="s">
        <v>21</v>
      </c>
      <c r="C31" s="23"/>
      <c r="D31" s="24" t="s">
        <v>63</v>
      </c>
      <c r="E31" s="25"/>
      <c r="F31" s="26">
        <v>0.0119</v>
      </c>
      <c r="G31" s="181">
        <f t="shared" si="4"/>
        <v>150</v>
      </c>
      <c r="H31" s="28">
        <f t="shared" si="0"/>
        <v>1.7850000000000001</v>
      </c>
      <c r="I31" s="29"/>
      <c r="J31" s="30">
        <v>0.0121</v>
      </c>
      <c r="K31" s="181">
        <f>$F$18</f>
        <v>150</v>
      </c>
      <c r="L31" s="28">
        <f t="shared" si="1"/>
        <v>1.815</v>
      </c>
      <c r="M31" s="29"/>
      <c r="N31" s="32">
        <f t="shared" si="2"/>
        <v>0.029999999999999805</v>
      </c>
      <c r="O31" s="33">
        <f t="shared" si="3"/>
        <v>0.01680672268907552</v>
      </c>
    </row>
    <row r="32" spans="2:15" ht="15">
      <c r="B32" s="23" t="s">
        <v>22</v>
      </c>
      <c r="C32" s="23"/>
      <c r="D32" s="24"/>
      <c r="E32" s="25"/>
      <c r="F32" s="26"/>
      <c r="G32" s="27">
        <f t="shared" si="4"/>
        <v>150</v>
      </c>
      <c r="H32" s="28">
        <f t="shared" si="0"/>
        <v>0</v>
      </c>
      <c r="I32" s="29"/>
      <c r="J32" s="30"/>
      <c r="K32" s="27">
        <f aca="true" t="shared" si="5" ref="K32:K40">$F$18</f>
        <v>150</v>
      </c>
      <c r="L32" s="28">
        <f t="shared" si="1"/>
        <v>0</v>
      </c>
      <c r="M32" s="29"/>
      <c r="N32" s="32">
        <f t="shared" si="2"/>
        <v>0</v>
      </c>
      <c r="O32" s="33">
        <f t="shared" si="3"/>
      </c>
    </row>
    <row r="33" spans="2:15" ht="15">
      <c r="B33" s="23" t="s">
        <v>23</v>
      </c>
      <c r="C33" s="23"/>
      <c r="D33" s="24"/>
      <c r="E33" s="25"/>
      <c r="F33" s="26"/>
      <c r="G33" s="27">
        <f t="shared" si="4"/>
        <v>150</v>
      </c>
      <c r="H33" s="28">
        <f t="shared" si="0"/>
        <v>0</v>
      </c>
      <c r="I33" s="29"/>
      <c r="J33" s="30"/>
      <c r="K33" s="27">
        <f t="shared" si="5"/>
        <v>150</v>
      </c>
      <c r="L33" s="28">
        <f t="shared" si="1"/>
        <v>0</v>
      </c>
      <c r="M33" s="29"/>
      <c r="N33" s="32">
        <f t="shared" si="2"/>
        <v>0</v>
      </c>
      <c r="O33" s="33">
        <f t="shared" si="3"/>
      </c>
    </row>
    <row r="34" spans="2:15" ht="15" hidden="1">
      <c r="B34" s="34"/>
      <c r="C34" s="23"/>
      <c r="D34" s="24"/>
      <c r="E34" s="25"/>
      <c r="F34" s="26"/>
      <c r="G34" s="27">
        <f aca="true" t="shared" si="6" ref="G34:G40">$F$18</f>
        <v>150</v>
      </c>
      <c r="H34" s="28">
        <f t="shared" si="0"/>
        <v>0</v>
      </c>
      <c r="I34" s="29"/>
      <c r="J34" s="30"/>
      <c r="K34" s="27">
        <f t="shared" si="5"/>
        <v>150</v>
      </c>
      <c r="L34" s="28">
        <f t="shared" si="1"/>
        <v>0</v>
      </c>
      <c r="M34" s="29"/>
      <c r="N34" s="32">
        <f t="shared" si="2"/>
        <v>0</v>
      </c>
      <c r="O34" s="33">
        <f t="shared" si="3"/>
      </c>
    </row>
    <row r="35" spans="2:15" ht="15" hidden="1">
      <c r="B35" s="34"/>
      <c r="C35" s="23"/>
      <c r="D35" s="24"/>
      <c r="E35" s="25"/>
      <c r="F35" s="26"/>
      <c r="G35" s="27">
        <f t="shared" si="6"/>
        <v>150</v>
      </c>
      <c r="H35" s="28">
        <f t="shared" si="0"/>
        <v>0</v>
      </c>
      <c r="I35" s="29"/>
      <c r="J35" s="30"/>
      <c r="K35" s="27">
        <f t="shared" si="5"/>
        <v>150</v>
      </c>
      <c r="L35" s="28">
        <f t="shared" si="1"/>
        <v>0</v>
      </c>
      <c r="M35" s="29"/>
      <c r="N35" s="32">
        <f t="shared" si="2"/>
        <v>0</v>
      </c>
      <c r="O35" s="33">
        <f t="shared" si="3"/>
      </c>
    </row>
    <row r="36" spans="2:15" ht="15" hidden="1">
      <c r="B36" s="34"/>
      <c r="C36" s="23"/>
      <c r="D36" s="24"/>
      <c r="E36" s="25"/>
      <c r="F36" s="26"/>
      <c r="G36" s="27">
        <f t="shared" si="6"/>
        <v>150</v>
      </c>
      <c r="H36" s="28">
        <f t="shared" si="0"/>
        <v>0</v>
      </c>
      <c r="I36" s="29"/>
      <c r="J36" s="30"/>
      <c r="K36" s="27">
        <f t="shared" si="5"/>
        <v>150</v>
      </c>
      <c r="L36" s="28">
        <f t="shared" si="1"/>
        <v>0</v>
      </c>
      <c r="M36" s="29"/>
      <c r="N36" s="32">
        <f t="shared" si="2"/>
        <v>0</v>
      </c>
      <c r="O36" s="33">
        <f t="shared" si="3"/>
      </c>
    </row>
    <row r="37" spans="2:15" ht="15" hidden="1">
      <c r="B37" s="34"/>
      <c r="C37" s="23"/>
      <c r="D37" s="24"/>
      <c r="E37" s="25"/>
      <c r="F37" s="26"/>
      <c r="G37" s="27">
        <f t="shared" si="6"/>
        <v>150</v>
      </c>
      <c r="H37" s="28">
        <f t="shared" si="0"/>
        <v>0</v>
      </c>
      <c r="I37" s="29"/>
      <c r="J37" s="30"/>
      <c r="K37" s="27">
        <f t="shared" si="5"/>
        <v>150</v>
      </c>
      <c r="L37" s="28">
        <f t="shared" si="1"/>
        <v>0</v>
      </c>
      <c r="M37" s="29"/>
      <c r="N37" s="32">
        <f t="shared" si="2"/>
        <v>0</v>
      </c>
      <c r="O37" s="33">
        <f t="shared" si="3"/>
      </c>
    </row>
    <row r="38" spans="2:15" ht="15" hidden="1">
      <c r="B38" s="34"/>
      <c r="C38" s="23"/>
      <c r="D38" s="24"/>
      <c r="E38" s="25"/>
      <c r="F38" s="26"/>
      <c r="G38" s="27">
        <f t="shared" si="6"/>
        <v>150</v>
      </c>
      <c r="H38" s="28">
        <f t="shared" si="0"/>
        <v>0</v>
      </c>
      <c r="I38" s="29"/>
      <c r="J38" s="30"/>
      <c r="K38" s="27">
        <f t="shared" si="5"/>
        <v>150</v>
      </c>
      <c r="L38" s="28">
        <f t="shared" si="1"/>
        <v>0</v>
      </c>
      <c r="M38" s="29"/>
      <c r="N38" s="32">
        <f t="shared" si="2"/>
        <v>0</v>
      </c>
      <c r="O38" s="33">
        <f t="shared" si="3"/>
      </c>
    </row>
    <row r="39" spans="2:15" ht="15" hidden="1">
      <c r="B39" s="34"/>
      <c r="C39" s="23"/>
      <c r="D39" s="24"/>
      <c r="E39" s="25"/>
      <c r="F39" s="26"/>
      <c r="G39" s="27">
        <f t="shared" si="6"/>
        <v>150</v>
      </c>
      <c r="H39" s="28">
        <f t="shared" si="0"/>
        <v>0</v>
      </c>
      <c r="I39" s="29"/>
      <c r="J39" s="30"/>
      <c r="K39" s="27">
        <f t="shared" si="5"/>
        <v>150</v>
      </c>
      <c r="L39" s="28">
        <f t="shared" si="1"/>
        <v>0</v>
      </c>
      <c r="M39" s="29"/>
      <c r="N39" s="32">
        <f t="shared" si="2"/>
        <v>0</v>
      </c>
      <c r="O39" s="33">
        <f t="shared" si="3"/>
      </c>
    </row>
    <row r="40" spans="2:15" ht="15" hidden="1">
      <c r="B40" s="34"/>
      <c r="C40" s="23"/>
      <c r="D40" s="24"/>
      <c r="E40" s="25"/>
      <c r="F40" s="26"/>
      <c r="G40" s="27">
        <f t="shared" si="6"/>
        <v>150</v>
      </c>
      <c r="H40" s="28">
        <f t="shared" si="0"/>
        <v>0</v>
      </c>
      <c r="I40" s="29"/>
      <c r="J40" s="30"/>
      <c r="K40" s="27">
        <f t="shared" si="5"/>
        <v>150</v>
      </c>
      <c r="L40" s="28">
        <f t="shared" si="1"/>
        <v>0</v>
      </c>
      <c r="M40" s="29"/>
      <c r="N40" s="32">
        <f t="shared" si="2"/>
        <v>0</v>
      </c>
      <c r="O40" s="33">
        <f t="shared" si="3"/>
      </c>
    </row>
    <row r="41" spans="2:15" s="35" customFormat="1" ht="15">
      <c r="B41" s="36" t="s">
        <v>24</v>
      </c>
      <c r="C41" s="37"/>
      <c r="D41" s="38"/>
      <c r="E41" s="37"/>
      <c r="F41" s="39"/>
      <c r="G41" s="40"/>
      <c r="H41" s="41">
        <f>SUM(H23:H40)</f>
        <v>6.765000000000001</v>
      </c>
      <c r="I41" s="42"/>
      <c r="J41" s="43"/>
      <c r="K41" s="44"/>
      <c r="L41" s="41">
        <f>SUM(L23:L40)</f>
        <v>8.265</v>
      </c>
      <c r="M41" s="42"/>
      <c r="N41" s="45">
        <f t="shared" si="2"/>
        <v>1.5</v>
      </c>
      <c r="O41" s="46">
        <f t="shared" si="3"/>
        <v>0.22172949002217293</v>
      </c>
    </row>
    <row r="42" spans="2:15" ht="25.5">
      <c r="B42" s="47" t="s">
        <v>25</v>
      </c>
      <c r="C42" s="23"/>
      <c r="D42" s="57" t="s">
        <v>63</v>
      </c>
      <c r="E42" s="58"/>
      <c r="F42" s="254">
        <v>-0.0007</v>
      </c>
      <c r="G42" s="181">
        <f>F18</f>
        <v>150</v>
      </c>
      <c r="H42" s="28">
        <f aca="true" t="shared" si="7" ref="H42:H48">G42*F42</f>
        <v>-0.105</v>
      </c>
      <c r="I42" s="29"/>
      <c r="J42" s="254">
        <v>-0.0017</v>
      </c>
      <c r="K42" s="181">
        <f>F18</f>
        <v>150</v>
      </c>
      <c r="L42" s="28">
        <f aca="true" t="shared" si="8" ref="L42:L48">K42*J42</f>
        <v>-0.255</v>
      </c>
      <c r="M42" s="29"/>
      <c r="N42" s="259">
        <f aca="true" t="shared" si="9" ref="N42:N48">L42-H42</f>
        <v>-0.15000000000000002</v>
      </c>
      <c r="O42" s="33">
        <f aca="true" t="shared" si="10" ref="O42:O47">IF((H42)=0,"",(N42/H42))</f>
        <v>1.4285714285714288</v>
      </c>
    </row>
    <row r="43" spans="2:15" ht="15" hidden="1">
      <c r="B43" s="47"/>
      <c r="C43" s="23"/>
      <c r="D43" s="24" t="s">
        <v>63</v>
      </c>
      <c r="E43" s="25"/>
      <c r="F43" s="26"/>
      <c r="G43" s="181">
        <f>F18</f>
        <v>150</v>
      </c>
      <c r="H43" s="28">
        <f t="shared" si="7"/>
        <v>0</v>
      </c>
      <c r="I43" s="48"/>
      <c r="J43" s="30"/>
      <c r="K43" s="181">
        <f>F18</f>
        <v>150</v>
      </c>
      <c r="L43" s="28">
        <f t="shared" si="8"/>
        <v>0</v>
      </c>
      <c r="M43" s="49"/>
      <c r="N43" s="32">
        <f t="shared" si="9"/>
        <v>0</v>
      </c>
      <c r="O43" s="33">
        <f t="shared" si="10"/>
      </c>
    </row>
    <row r="44" spans="2:15" ht="15" hidden="1">
      <c r="B44" s="47"/>
      <c r="C44" s="23"/>
      <c r="D44" s="24" t="s">
        <v>63</v>
      </c>
      <c r="E44" s="25"/>
      <c r="F44" s="26"/>
      <c r="G44" s="181">
        <f>F18</f>
        <v>150</v>
      </c>
      <c r="H44" s="28">
        <f t="shared" si="7"/>
        <v>0</v>
      </c>
      <c r="I44" s="48"/>
      <c r="J44" s="30"/>
      <c r="K44" s="181">
        <f>F18</f>
        <v>150</v>
      </c>
      <c r="L44" s="28">
        <f t="shared" si="8"/>
        <v>0</v>
      </c>
      <c r="M44" s="49"/>
      <c r="N44" s="32">
        <f t="shared" si="9"/>
        <v>0</v>
      </c>
      <c r="O44" s="33">
        <f t="shared" si="10"/>
      </c>
    </row>
    <row r="45" spans="2:15" ht="27.75" customHeight="1">
      <c r="B45" s="47" t="s">
        <v>78</v>
      </c>
      <c r="C45" s="23"/>
      <c r="D45" s="24" t="s">
        <v>63</v>
      </c>
      <c r="E45" s="25"/>
      <c r="F45" s="254">
        <v>-0.0048</v>
      </c>
      <c r="G45" s="27">
        <f>$F$18</f>
        <v>150</v>
      </c>
      <c r="H45" s="28">
        <f t="shared" si="7"/>
        <v>-0.72</v>
      </c>
      <c r="I45" s="48"/>
      <c r="J45" s="254">
        <v>0.0034</v>
      </c>
      <c r="K45" s="27">
        <f>$F$18</f>
        <v>150</v>
      </c>
      <c r="L45" s="28">
        <f t="shared" si="8"/>
        <v>0.51</v>
      </c>
      <c r="M45" s="49"/>
      <c r="N45" s="32">
        <f t="shared" si="9"/>
        <v>1.23</v>
      </c>
      <c r="O45" s="33">
        <f t="shared" si="10"/>
        <v>-1.7083333333333335</v>
      </c>
    </row>
    <row r="46" spans="2:15" ht="15">
      <c r="B46" s="50" t="s">
        <v>26</v>
      </c>
      <c r="C46" s="23"/>
      <c r="D46" s="24" t="s">
        <v>63</v>
      </c>
      <c r="E46" s="25"/>
      <c r="F46" s="26">
        <v>0.0001</v>
      </c>
      <c r="G46" s="181">
        <f>F18</f>
        <v>150</v>
      </c>
      <c r="H46" s="28">
        <f t="shared" si="7"/>
        <v>0.015000000000000001</v>
      </c>
      <c r="I46" s="29"/>
      <c r="J46" s="30">
        <f>'[2]Rate Schedule '!$E$60</f>
        <v>0.0001</v>
      </c>
      <c r="K46" s="181">
        <f>F18</f>
        <v>150</v>
      </c>
      <c r="L46" s="28">
        <f t="shared" si="8"/>
        <v>0.015000000000000001</v>
      </c>
      <c r="M46" s="29"/>
      <c r="N46" s="32">
        <f t="shared" si="9"/>
        <v>0</v>
      </c>
      <c r="O46" s="33">
        <f t="shared" si="10"/>
        <v>0</v>
      </c>
    </row>
    <row r="47" spans="2:15" s="35" customFormat="1" ht="15">
      <c r="B47" s="183" t="s">
        <v>27</v>
      </c>
      <c r="C47" s="25"/>
      <c r="D47" s="184" t="s">
        <v>63</v>
      </c>
      <c r="E47" s="25"/>
      <c r="F47" s="185">
        <f>IF(ISBLANK(D16)=TRUE,0,IF(D16="TOU",0.64*$F$57+0.18*$F$58+0.18*$F$59,IF(AND(D16="non-TOU",G61&gt;0),F61,F60)))</f>
        <v>0.075</v>
      </c>
      <c r="G47" s="27">
        <f>$F$18*(1+$F$76)-$F$18</f>
        <v>5.025000000000006</v>
      </c>
      <c r="H47" s="186">
        <f t="shared" si="7"/>
        <v>0.3768750000000004</v>
      </c>
      <c r="I47" s="58"/>
      <c r="J47" s="187">
        <f>IF(ISBLANK(D16)=TRUE,0,IF(D16="TOU",0.64*$F$57+0.18*$F$58+0.18*$F$59,IF(AND(D16="non-TOU",K61&gt;0),J61,J60)))</f>
        <v>0.075</v>
      </c>
      <c r="K47" s="27">
        <f>$F$18*(1+$J$76)-$F$18</f>
        <v>5.025000000000006</v>
      </c>
      <c r="L47" s="186">
        <f t="shared" si="8"/>
        <v>0.3768750000000004</v>
      </c>
      <c r="M47" s="58"/>
      <c r="N47" s="188">
        <f t="shared" si="9"/>
        <v>0</v>
      </c>
      <c r="O47" s="189">
        <f t="shared" si="10"/>
        <v>0</v>
      </c>
    </row>
    <row r="48" spans="2:15" ht="15">
      <c r="B48" s="50" t="s">
        <v>28</v>
      </c>
      <c r="C48" s="23"/>
      <c r="D48" s="24" t="s">
        <v>62</v>
      </c>
      <c r="E48" s="25"/>
      <c r="F48" s="180">
        <v>0.79</v>
      </c>
      <c r="G48" s="27">
        <v>0</v>
      </c>
      <c r="H48" s="28">
        <f t="shared" si="7"/>
        <v>0</v>
      </c>
      <c r="I48" s="29"/>
      <c r="J48" s="180">
        <v>0.79</v>
      </c>
      <c r="K48" s="27">
        <v>0</v>
      </c>
      <c r="L48" s="28">
        <f t="shared" si="8"/>
        <v>0</v>
      </c>
      <c r="M48" s="29"/>
      <c r="N48" s="32">
        <f t="shared" si="9"/>
        <v>0</v>
      </c>
      <c r="O48" s="33"/>
    </row>
    <row r="49" spans="2:15" ht="25.5">
      <c r="B49" s="51" t="s">
        <v>29</v>
      </c>
      <c r="C49" s="52"/>
      <c r="D49" s="52"/>
      <c r="E49" s="52"/>
      <c r="F49" s="53"/>
      <c r="G49" s="54"/>
      <c r="H49" s="55">
        <f>SUM(H42:H48)+H41</f>
        <v>6.331875000000001</v>
      </c>
      <c r="I49" s="42"/>
      <c r="J49" s="54"/>
      <c r="K49" s="56"/>
      <c r="L49" s="55">
        <f>SUM(L42:L48)+L41</f>
        <v>8.911875</v>
      </c>
      <c r="M49" s="42"/>
      <c r="N49" s="45">
        <f aca="true" t="shared" si="11" ref="N49:N67">L49-H49</f>
        <v>2.579999999999999</v>
      </c>
      <c r="O49" s="46">
        <f aca="true" t="shared" si="12" ref="O49:O67">IF((H49)=0,"",(N49/H49))</f>
        <v>0.4074622445957949</v>
      </c>
    </row>
    <row r="50" spans="2:15" ht="15">
      <c r="B50" s="29" t="s">
        <v>30</v>
      </c>
      <c r="C50" s="29"/>
      <c r="D50" s="57" t="s">
        <v>63</v>
      </c>
      <c r="E50" s="58"/>
      <c r="F50" s="30">
        <v>0.0058</v>
      </c>
      <c r="G50" s="59">
        <f>F18*(1+F76)</f>
        <v>155.025</v>
      </c>
      <c r="H50" s="28">
        <f>G50*F50</f>
        <v>0.899145</v>
      </c>
      <c r="I50" s="29"/>
      <c r="J50" s="30">
        <v>0.006</v>
      </c>
      <c r="K50" s="60">
        <f>F18*(1+J76)</f>
        <v>155.025</v>
      </c>
      <c r="L50" s="28">
        <f>K50*J50</f>
        <v>0.93015</v>
      </c>
      <c r="M50" s="29"/>
      <c r="N50" s="32">
        <f t="shared" si="11"/>
        <v>0.03100500000000006</v>
      </c>
      <c r="O50" s="33">
        <f t="shared" si="12"/>
        <v>0.034482758620689724</v>
      </c>
    </row>
    <row r="51" spans="2:15" ht="30">
      <c r="B51" s="61" t="s">
        <v>31</v>
      </c>
      <c r="C51" s="29"/>
      <c r="D51" s="57" t="s">
        <v>63</v>
      </c>
      <c r="E51" s="58"/>
      <c r="F51" s="30">
        <v>0.0039</v>
      </c>
      <c r="G51" s="59">
        <f>G50</f>
        <v>155.025</v>
      </c>
      <c r="H51" s="28">
        <f>G51*F51</f>
        <v>0.6045975</v>
      </c>
      <c r="I51" s="29"/>
      <c r="J51" s="30">
        <v>0.004</v>
      </c>
      <c r="K51" s="60">
        <f>K50</f>
        <v>155.025</v>
      </c>
      <c r="L51" s="28">
        <f>K51*J51</f>
        <v>0.6201</v>
      </c>
      <c r="M51" s="29"/>
      <c r="N51" s="32">
        <f t="shared" si="11"/>
        <v>0.015502499999999975</v>
      </c>
      <c r="O51" s="33">
        <f t="shared" si="12"/>
        <v>0.0256410256410256</v>
      </c>
    </row>
    <row r="52" spans="2:15" ht="25.5">
      <c r="B52" s="51" t="s">
        <v>32</v>
      </c>
      <c r="C52" s="37"/>
      <c r="D52" s="37"/>
      <c r="E52" s="37"/>
      <c r="F52" s="62"/>
      <c r="G52" s="54"/>
      <c r="H52" s="55">
        <f>SUM(H49:H51)</f>
        <v>7.835617500000001</v>
      </c>
      <c r="I52" s="63"/>
      <c r="J52" s="64"/>
      <c r="K52" s="65"/>
      <c r="L52" s="55">
        <f>SUM(L49:L51)</f>
        <v>10.462125</v>
      </c>
      <c r="M52" s="63"/>
      <c r="N52" s="45">
        <f t="shared" si="11"/>
        <v>2.6265074999999998</v>
      </c>
      <c r="O52" s="46">
        <f t="shared" si="12"/>
        <v>0.33520108657677583</v>
      </c>
    </row>
    <row r="53" spans="2:15" ht="15">
      <c r="B53" s="66" t="s">
        <v>33</v>
      </c>
      <c r="C53" s="23"/>
      <c r="D53" s="24" t="s">
        <v>63</v>
      </c>
      <c r="E53" s="25"/>
      <c r="F53" s="67">
        <v>0.0044</v>
      </c>
      <c r="G53" s="59">
        <f>F18*(1+F76)</f>
        <v>155.025</v>
      </c>
      <c r="H53" s="68">
        <f aca="true" t="shared" si="13" ref="H53:H59">G53*F53</f>
        <v>0.6821100000000001</v>
      </c>
      <c r="I53" s="29"/>
      <c r="J53" s="69">
        <v>0.0044</v>
      </c>
      <c r="K53" s="60">
        <f>F18*(1+J76)</f>
        <v>155.025</v>
      </c>
      <c r="L53" s="68">
        <f aca="true" t="shared" si="14" ref="L53:L59">K53*J53</f>
        <v>0.6821100000000001</v>
      </c>
      <c r="M53" s="29"/>
      <c r="N53" s="32">
        <f t="shared" si="11"/>
        <v>0</v>
      </c>
      <c r="O53" s="70">
        <f t="shared" si="12"/>
        <v>0</v>
      </c>
    </row>
    <row r="54" spans="2:15" ht="15">
      <c r="B54" s="66" t="s">
        <v>34</v>
      </c>
      <c r="C54" s="23"/>
      <c r="D54" s="24" t="s">
        <v>63</v>
      </c>
      <c r="E54" s="25"/>
      <c r="F54" s="67">
        <v>0.0013</v>
      </c>
      <c r="G54" s="59">
        <f>G53</f>
        <v>155.025</v>
      </c>
      <c r="H54" s="68">
        <f t="shared" si="13"/>
        <v>0.2015325</v>
      </c>
      <c r="I54" s="29"/>
      <c r="J54" s="69">
        <v>0.0013</v>
      </c>
      <c r="K54" s="60">
        <f>K53</f>
        <v>155.025</v>
      </c>
      <c r="L54" s="68">
        <f t="shared" si="14"/>
        <v>0.2015325</v>
      </c>
      <c r="M54" s="29"/>
      <c r="N54" s="32">
        <f t="shared" si="11"/>
        <v>0</v>
      </c>
      <c r="O54" s="70">
        <f t="shared" si="12"/>
        <v>0</v>
      </c>
    </row>
    <row r="55" spans="2:15" ht="15">
      <c r="B55" s="23" t="s">
        <v>35</v>
      </c>
      <c r="C55" s="23"/>
      <c r="D55" s="24" t="s">
        <v>62</v>
      </c>
      <c r="E55" s="25"/>
      <c r="F55" s="178">
        <v>0.25</v>
      </c>
      <c r="G55" s="27">
        <v>1</v>
      </c>
      <c r="H55" s="68">
        <f t="shared" si="13"/>
        <v>0.25</v>
      </c>
      <c r="I55" s="29"/>
      <c r="J55" s="179">
        <v>0.25</v>
      </c>
      <c r="K55" s="31">
        <v>1</v>
      </c>
      <c r="L55" s="68">
        <f t="shared" si="14"/>
        <v>0.25</v>
      </c>
      <c r="M55" s="29"/>
      <c r="N55" s="32">
        <f t="shared" si="11"/>
        <v>0</v>
      </c>
      <c r="O55" s="70">
        <f t="shared" si="12"/>
        <v>0</v>
      </c>
    </row>
    <row r="56" spans="2:15" ht="15">
      <c r="B56" s="23" t="s">
        <v>36</v>
      </c>
      <c r="C56" s="23"/>
      <c r="D56" s="24" t="s">
        <v>63</v>
      </c>
      <c r="E56" s="25"/>
      <c r="F56" s="67">
        <v>0.007</v>
      </c>
      <c r="G56" s="71">
        <f>F18</f>
        <v>150</v>
      </c>
      <c r="H56" s="68">
        <f t="shared" si="13"/>
        <v>1.05</v>
      </c>
      <c r="I56" s="29"/>
      <c r="J56" s="69">
        <f>0.007</f>
        <v>0.007</v>
      </c>
      <c r="K56" s="72">
        <f>F18</f>
        <v>150</v>
      </c>
      <c r="L56" s="68">
        <f t="shared" si="14"/>
        <v>1.05</v>
      </c>
      <c r="M56" s="29"/>
      <c r="N56" s="32">
        <f t="shared" si="11"/>
        <v>0</v>
      </c>
      <c r="O56" s="70">
        <f t="shared" si="12"/>
        <v>0</v>
      </c>
    </row>
    <row r="57" spans="2:19" ht="15.75" thickBot="1">
      <c r="B57" s="50" t="s">
        <v>77</v>
      </c>
      <c r="C57" s="23"/>
      <c r="D57" s="24" t="s">
        <v>63</v>
      </c>
      <c r="E57" s="25"/>
      <c r="F57" s="67">
        <v>0.0799</v>
      </c>
      <c r="G57" s="71">
        <f>F18</f>
        <v>150</v>
      </c>
      <c r="H57" s="68">
        <f t="shared" si="13"/>
        <v>11.985</v>
      </c>
      <c r="I57" s="29"/>
      <c r="J57" s="67">
        <v>0.0799</v>
      </c>
      <c r="K57" s="71">
        <f>F18</f>
        <v>150</v>
      </c>
      <c r="L57" s="68">
        <f t="shared" si="14"/>
        <v>11.985</v>
      </c>
      <c r="M57" s="29"/>
      <c r="N57" s="32">
        <f t="shared" si="11"/>
        <v>0</v>
      </c>
      <c r="O57" s="70">
        <f t="shared" si="12"/>
        <v>0</v>
      </c>
      <c r="S57" s="74"/>
    </row>
    <row r="58" spans="2:19" ht="15" hidden="1">
      <c r="B58" s="50" t="s">
        <v>38</v>
      </c>
      <c r="C58" s="23"/>
      <c r="D58" s="24"/>
      <c r="E58" s="25"/>
      <c r="F58" s="73">
        <v>0.104</v>
      </c>
      <c r="G58" s="59">
        <v>0</v>
      </c>
      <c r="H58" s="68">
        <f t="shared" si="13"/>
        <v>0</v>
      </c>
      <c r="I58" s="29"/>
      <c r="J58" s="67">
        <v>0.104</v>
      </c>
      <c r="K58" s="59">
        <v>0</v>
      </c>
      <c r="L58" s="68">
        <f t="shared" si="14"/>
        <v>0</v>
      </c>
      <c r="M58" s="29"/>
      <c r="N58" s="32">
        <f t="shared" si="11"/>
        <v>0</v>
      </c>
      <c r="O58" s="70">
        <f t="shared" si="12"/>
      </c>
      <c r="S58" s="74"/>
    </row>
    <row r="59" spans="2:19" ht="15" hidden="1">
      <c r="B59" s="13" t="s">
        <v>39</v>
      </c>
      <c r="C59" s="23"/>
      <c r="D59" s="24"/>
      <c r="E59" s="25"/>
      <c r="F59" s="73">
        <v>0.124</v>
      </c>
      <c r="G59" s="59">
        <v>0</v>
      </c>
      <c r="H59" s="68">
        <f t="shared" si="13"/>
        <v>0</v>
      </c>
      <c r="I59" s="29"/>
      <c r="J59" s="67">
        <v>0.124</v>
      </c>
      <c r="K59" s="59">
        <v>0</v>
      </c>
      <c r="L59" s="68">
        <f t="shared" si="14"/>
        <v>0</v>
      </c>
      <c r="M59" s="29"/>
      <c r="N59" s="32">
        <f t="shared" si="11"/>
        <v>0</v>
      </c>
      <c r="O59" s="70">
        <f t="shared" si="12"/>
      </c>
      <c r="S59" s="74"/>
    </row>
    <row r="60" spans="2:15" s="75" customFormat="1" ht="15" hidden="1">
      <c r="B60" s="182" t="s">
        <v>40</v>
      </c>
      <c r="C60" s="77"/>
      <c r="D60" s="78"/>
      <c r="E60" s="79"/>
      <c r="F60" s="73">
        <v>0.075</v>
      </c>
      <c r="G60" s="80">
        <f>IF(AND($T$1=1,F18&gt;=600),600,IF(AND($T$1=1,AND(F18&lt;600,F18&gt;=0)),F18,IF(AND($T$1=2,F18&gt;=1000),1000,IF(AND($T$1=2,AND(F18&lt;1000,F18&gt;=0)),F18))))</f>
        <v>150</v>
      </c>
      <c r="H60" s="68">
        <f>G60*F60</f>
        <v>11.25</v>
      </c>
      <c r="I60" s="81"/>
      <c r="J60" s="67">
        <v>0.075</v>
      </c>
      <c r="K60" s="80">
        <f>G60</f>
        <v>150</v>
      </c>
      <c r="L60" s="68">
        <f>K60*J60</f>
        <v>11.25</v>
      </c>
      <c r="M60" s="81"/>
      <c r="N60" s="82">
        <f t="shared" si="11"/>
        <v>0</v>
      </c>
      <c r="O60" s="70">
        <f t="shared" si="12"/>
        <v>0</v>
      </c>
    </row>
    <row r="61" spans="2:15" s="75" customFormat="1" ht="15.75" hidden="1" thickBot="1">
      <c r="B61" s="182" t="s">
        <v>41</v>
      </c>
      <c r="C61" s="77"/>
      <c r="D61" s="78"/>
      <c r="E61" s="79"/>
      <c r="F61" s="73">
        <v>0.088</v>
      </c>
      <c r="G61" s="80">
        <f>IF(AND($T$1=1,F18&gt;=600),F18-600,IF(AND($T$1=1,AND(F18&lt;600,F18&gt;=0)),0,IF(AND($T$1=2,F18&gt;=1000),F18-1000,IF(AND($T$1=2,AND(F18&lt;1000,F18&gt;=0)),0))))</f>
        <v>0</v>
      </c>
      <c r="H61" s="68">
        <f>G61*F61</f>
        <v>0</v>
      </c>
      <c r="I61" s="81"/>
      <c r="J61" s="67">
        <v>0.088</v>
      </c>
      <c r="K61" s="80">
        <f>G61</f>
        <v>0</v>
      </c>
      <c r="L61" s="68">
        <f>K61*J61</f>
        <v>0</v>
      </c>
      <c r="M61" s="81"/>
      <c r="N61" s="82">
        <f t="shared" si="11"/>
        <v>0</v>
      </c>
      <c r="O61" s="70">
        <f t="shared" si="12"/>
      </c>
    </row>
    <row r="62" spans="2:15" ht="8.25" customHeight="1" thickBot="1">
      <c r="B62" s="83"/>
      <c r="C62" s="84"/>
      <c r="D62" s="85"/>
      <c r="E62" s="84"/>
      <c r="F62" s="86"/>
      <c r="G62" s="87"/>
      <c r="H62" s="88"/>
      <c r="I62" s="89"/>
      <c r="J62" s="86"/>
      <c r="K62" s="90"/>
      <c r="L62" s="88"/>
      <c r="M62" s="89"/>
      <c r="N62" s="91"/>
      <c r="O62" s="92"/>
    </row>
    <row r="63" spans="2:19" ht="15" hidden="1">
      <c r="B63" s="93" t="s">
        <v>42</v>
      </c>
      <c r="C63" s="23"/>
      <c r="D63" s="23"/>
      <c r="E63" s="23"/>
      <c r="F63" s="94"/>
      <c r="G63" s="95"/>
      <c r="H63" s="96">
        <f>SUM(H53:H59,H52)</f>
        <v>22.004260000000002</v>
      </c>
      <c r="I63" s="97"/>
      <c r="J63" s="98"/>
      <c r="K63" s="98"/>
      <c r="L63" s="96">
        <f>SUM(L53:L59,L52)</f>
        <v>24.6307675</v>
      </c>
      <c r="M63" s="99"/>
      <c r="N63" s="100">
        <f>L63-H63</f>
        <v>2.626507499999999</v>
      </c>
      <c r="O63" s="101">
        <f>IF((H63)=0,"",(N63/H63))</f>
        <v>0.11936359141366257</v>
      </c>
      <c r="S63" s="74"/>
    </row>
    <row r="64" spans="2:19" ht="15" hidden="1">
      <c r="B64" s="102" t="s">
        <v>43</v>
      </c>
      <c r="C64" s="23"/>
      <c r="D64" s="23"/>
      <c r="E64" s="23"/>
      <c r="F64" s="103">
        <v>0.13</v>
      </c>
      <c r="G64" s="104"/>
      <c r="H64" s="105">
        <f>H63*F64</f>
        <v>2.8605538000000004</v>
      </c>
      <c r="I64" s="106"/>
      <c r="J64" s="107">
        <v>0.13</v>
      </c>
      <c r="K64" s="106"/>
      <c r="L64" s="108">
        <f>L63*J64</f>
        <v>3.2019997750000004</v>
      </c>
      <c r="M64" s="109"/>
      <c r="N64" s="110">
        <f t="shared" si="11"/>
        <v>0.34144597500000007</v>
      </c>
      <c r="O64" s="111">
        <f t="shared" si="12"/>
        <v>0.11936359141366264</v>
      </c>
      <c r="S64" s="74"/>
    </row>
    <row r="65" spans="2:19" ht="15" hidden="1">
      <c r="B65" s="112" t="s">
        <v>44</v>
      </c>
      <c r="C65" s="23"/>
      <c r="D65" s="23"/>
      <c r="E65" s="23"/>
      <c r="F65" s="113"/>
      <c r="G65" s="104"/>
      <c r="H65" s="105">
        <f>H63+H64</f>
        <v>24.864813800000004</v>
      </c>
      <c r="I65" s="106"/>
      <c r="J65" s="106"/>
      <c r="K65" s="106"/>
      <c r="L65" s="108">
        <f>L63+L64</f>
        <v>27.832767275000002</v>
      </c>
      <c r="M65" s="109"/>
      <c r="N65" s="110">
        <f t="shared" si="11"/>
        <v>2.967953474999998</v>
      </c>
      <c r="O65" s="111">
        <f t="shared" si="12"/>
        <v>0.11936359141366253</v>
      </c>
      <c r="S65" s="74"/>
    </row>
    <row r="66" spans="2:15" ht="15.75" customHeight="1" hidden="1">
      <c r="B66" s="333" t="s">
        <v>45</v>
      </c>
      <c r="C66" s="333"/>
      <c r="D66" s="333"/>
      <c r="E66" s="23"/>
      <c r="F66" s="113"/>
      <c r="G66" s="104"/>
      <c r="H66" s="114">
        <f>ROUND(-H65*10%,2)</f>
        <v>-2.49</v>
      </c>
      <c r="I66" s="106"/>
      <c r="J66" s="106"/>
      <c r="K66" s="106"/>
      <c r="L66" s="115">
        <f>ROUND(-L65*10%,2)</f>
        <v>-2.78</v>
      </c>
      <c r="M66" s="109"/>
      <c r="N66" s="116">
        <f t="shared" si="11"/>
        <v>-0.2899999999999996</v>
      </c>
      <c r="O66" s="117">
        <f t="shared" si="12"/>
        <v>0.11646586345381509</v>
      </c>
    </row>
    <row r="67" spans="2:15" ht="15" hidden="1">
      <c r="B67" s="334" t="s">
        <v>46</v>
      </c>
      <c r="C67" s="334"/>
      <c r="D67" s="334"/>
      <c r="E67" s="118"/>
      <c r="F67" s="119"/>
      <c r="G67" s="120"/>
      <c r="H67" s="121">
        <f>H65+H66</f>
        <v>22.374813800000005</v>
      </c>
      <c r="I67" s="122"/>
      <c r="J67" s="122"/>
      <c r="K67" s="122"/>
      <c r="L67" s="123">
        <f>L65+L66</f>
        <v>25.052767275</v>
      </c>
      <c r="M67" s="124"/>
      <c r="N67" s="125">
        <f t="shared" si="11"/>
        <v>2.6779534749999954</v>
      </c>
      <c r="O67" s="126">
        <f t="shared" si="12"/>
        <v>0.11968606751042526</v>
      </c>
    </row>
    <row r="68" spans="2:15" s="75" customFormat="1" ht="8.25" customHeight="1" hidden="1">
      <c r="B68" s="127"/>
      <c r="C68" s="128"/>
      <c r="D68" s="129"/>
      <c r="E68" s="128"/>
      <c r="F68" s="86"/>
      <c r="G68" s="130"/>
      <c r="H68" s="88"/>
      <c r="I68" s="131"/>
      <c r="J68" s="86"/>
      <c r="K68" s="132"/>
      <c r="L68" s="88"/>
      <c r="M68" s="131"/>
      <c r="N68" s="133"/>
      <c r="O68" s="92"/>
    </row>
    <row r="69" spans="2:15" s="75" customFormat="1" ht="12.75">
      <c r="B69" s="134" t="s">
        <v>47</v>
      </c>
      <c r="C69" s="77"/>
      <c r="D69" s="77"/>
      <c r="E69" s="77"/>
      <c r="F69" s="135"/>
      <c r="G69" s="136"/>
      <c r="H69" s="137">
        <f>SUM(H57,H52,H53:H56)</f>
        <v>22.004260000000002</v>
      </c>
      <c r="I69" s="138"/>
      <c r="J69" s="139"/>
      <c r="K69" s="139"/>
      <c r="L69" s="191">
        <f>SUM(L57,L52,L53:L56)</f>
        <v>24.6307675</v>
      </c>
      <c r="M69" s="140"/>
      <c r="N69" s="141">
        <f>L69-H69</f>
        <v>2.626507499999999</v>
      </c>
      <c r="O69" s="101">
        <f>IF((H69)=0,"",(N69/H69))</f>
        <v>0.11936359141366257</v>
      </c>
    </row>
    <row r="70" spans="2:15" s="75" customFormat="1" ht="12.75">
      <c r="B70" s="142" t="s">
        <v>43</v>
      </c>
      <c r="C70" s="77"/>
      <c r="D70" s="77"/>
      <c r="E70" s="77"/>
      <c r="F70" s="143">
        <v>0.13</v>
      </c>
      <c r="G70" s="136"/>
      <c r="H70" s="144">
        <f>H69*F70</f>
        <v>2.8605538000000004</v>
      </c>
      <c r="I70" s="145"/>
      <c r="J70" s="146">
        <v>0.13</v>
      </c>
      <c r="K70" s="147"/>
      <c r="L70" s="148">
        <f>L69*J70</f>
        <v>3.2019997750000004</v>
      </c>
      <c r="M70" s="149"/>
      <c r="N70" s="150">
        <f>L70-H70</f>
        <v>0.34144597500000007</v>
      </c>
      <c r="O70" s="111">
        <f>IF((H70)=0,"",(N70/H70))</f>
        <v>0.11936359141366264</v>
      </c>
    </row>
    <row r="71" spans="2:15" s="75" customFormat="1" ht="12.75">
      <c r="B71" s="151" t="s">
        <v>44</v>
      </c>
      <c r="C71" s="77"/>
      <c r="D71" s="77"/>
      <c r="E71" s="77"/>
      <c r="F71" s="152"/>
      <c r="G71" s="153"/>
      <c r="H71" s="144">
        <f>H69+H70</f>
        <v>24.864813800000004</v>
      </c>
      <c r="I71" s="145"/>
      <c r="J71" s="145"/>
      <c r="K71" s="145"/>
      <c r="L71" s="148">
        <f>L69+L70</f>
        <v>27.832767275000002</v>
      </c>
      <c r="M71" s="149"/>
      <c r="N71" s="150">
        <f>L71-H71</f>
        <v>2.967953474999998</v>
      </c>
      <c r="O71" s="111">
        <f>IF((H71)=0,"",(N71/H71))</f>
        <v>0.11936359141366253</v>
      </c>
    </row>
    <row r="72" spans="2:15" s="75" customFormat="1" ht="15.75" customHeight="1">
      <c r="B72" s="335" t="s">
        <v>45</v>
      </c>
      <c r="C72" s="335"/>
      <c r="D72" s="335"/>
      <c r="E72" s="77"/>
      <c r="F72" s="152"/>
      <c r="G72" s="153"/>
      <c r="H72" s="256">
        <f>ROUND(-H71*10%,2)</f>
        <v>-2.49</v>
      </c>
      <c r="I72" s="145"/>
      <c r="J72" s="145"/>
      <c r="K72" s="145"/>
      <c r="L72" s="257">
        <f>ROUND(-L71*10%,2)</f>
        <v>-2.78</v>
      </c>
      <c r="M72" s="149"/>
      <c r="N72" s="258">
        <f>L72-H72</f>
        <v>-0.2899999999999996</v>
      </c>
      <c r="O72" s="117">
        <f>IF((H72)=0,"",(N72/H72))</f>
        <v>0.11646586345381509</v>
      </c>
    </row>
    <row r="73" spans="2:15" s="75" customFormat="1" ht="13.5" thickBot="1">
      <c r="B73" s="326" t="s">
        <v>48</v>
      </c>
      <c r="C73" s="326"/>
      <c r="D73" s="326"/>
      <c r="E73" s="157"/>
      <c r="F73" s="158"/>
      <c r="G73" s="159"/>
      <c r="H73" s="160">
        <f>SUM(H71:H72)</f>
        <v>22.374813800000005</v>
      </c>
      <c r="I73" s="161"/>
      <c r="J73" s="161"/>
      <c r="K73" s="161"/>
      <c r="L73" s="162">
        <f>SUM(L71:L72)</f>
        <v>25.052767275</v>
      </c>
      <c r="M73" s="163"/>
      <c r="N73" s="164">
        <f>L73-H73</f>
        <v>2.6779534749999954</v>
      </c>
      <c r="O73" s="165">
        <f>IF((H73)=0,"",(N73/H73))</f>
        <v>0.11968606751042526</v>
      </c>
    </row>
    <row r="74" spans="2:15" s="75" customFormat="1" ht="8.25" customHeight="1" thickBot="1">
      <c r="B74" s="127"/>
      <c r="C74" s="128"/>
      <c r="D74" s="129"/>
      <c r="E74" s="128"/>
      <c r="F74" s="166"/>
      <c r="G74" s="167"/>
      <c r="H74" s="168"/>
      <c r="I74" s="169"/>
      <c r="J74" s="166"/>
      <c r="K74" s="130"/>
      <c r="L74" s="170"/>
      <c r="M74" s="131"/>
      <c r="N74" s="171"/>
      <c r="O74" s="92"/>
    </row>
    <row r="75" ht="10.5" customHeight="1">
      <c r="L75" s="74"/>
    </row>
    <row r="76" spans="2:10" ht="15">
      <c r="B76" s="14" t="s">
        <v>49</v>
      </c>
      <c r="F76" s="172">
        <v>0.0335</v>
      </c>
      <c r="J76" s="172">
        <v>0.0335</v>
      </c>
    </row>
    <row r="78" ht="15">
      <c r="A78" s="173" t="s">
        <v>50</v>
      </c>
    </row>
    <row r="79" ht="10.5" customHeight="1"/>
    <row r="80" ht="15">
      <c r="A80" s="8" t="s">
        <v>51</v>
      </c>
    </row>
    <row r="81" ht="15">
      <c r="A81" s="8" t="s">
        <v>52</v>
      </c>
    </row>
    <row r="83" ht="15">
      <c r="A83" s="13" t="s">
        <v>53</v>
      </c>
    </row>
    <row r="84" ht="15">
      <c r="A84" s="13" t="s">
        <v>54</v>
      </c>
    </row>
    <row r="86" ht="15">
      <c r="A86" s="8" t="s">
        <v>55</v>
      </c>
    </row>
    <row r="87" ht="15">
      <c r="A87" s="8" t="s">
        <v>56</v>
      </c>
    </row>
    <row r="88" ht="15">
      <c r="A88" s="8" t="s">
        <v>57</v>
      </c>
    </row>
    <row r="89" ht="15">
      <c r="A89" s="8" t="s">
        <v>58</v>
      </c>
    </row>
    <row r="90" ht="15">
      <c r="A90" s="8" t="s">
        <v>59</v>
      </c>
    </row>
    <row r="92" spans="1:2" ht="15">
      <c r="A92" s="174"/>
      <c r="B92" s="8" t="s">
        <v>60</v>
      </c>
    </row>
  </sheetData>
  <sheetProtection/>
  <mergeCells count="20">
    <mergeCell ref="A3:K3"/>
    <mergeCell ref="B10:O10"/>
    <mergeCell ref="B11:O11"/>
    <mergeCell ref="D14:O14"/>
    <mergeCell ref="F20:H20"/>
    <mergeCell ref="J20:L20"/>
    <mergeCell ref="N20:O20"/>
    <mergeCell ref="B73:D73"/>
    <mergeCell ref="D21:D22"/>
    <mergeCell ref="N21:N22"/>
    <mergeCell ref="O21:O22"/>
    <mergeCell ref="B66:D66"/>
    <mergeCell ref="B67:D67"/>
    <mergeCell ref="B72:D72"/>
    <mergeCell ref="N1:O1"/>
    <mergeCell ref="N2:O2"/>
    <mergeCell ref="N3:O3"/>
    <mergeCell ref="N4:O4"/>
    <mergeCell ref="N5:O5"/>
    <mergeCell ref="N7:O7"/>
  </mergeCells>
  <dataValidations count="4">
    <dataValidation type="list" allowBlank="1" showInputMessage="1" showErrorMessage="1" sqref="E50:E51 E42:E48 E62 E53:E59 E23:E40">
      <formula1>'USL (150kWh)'!#REF!</formula1>
    </dataValidation>
    <dataValidation type="list" allowBlank="1" showInputMessage="1" showErrorMessage="1" prompt="Select Charge Unit - monthly, per kWh, per kW" sqref="D50:D51 D42:D48 D68 D53:D62 D74 D23:D40">
      <formula1>"Monthly, per kWh, per kW"</formula1>
    </dataValidation>
    <dataValidation type="list" allowBlank="1" showInputMessage="1" showErrorMessage="1" sqref="E74 E68 E60:E61">
      <formula1>'USL (150kWh)'!#REF!</formula1>
    </dataValidation>
    <dataValidation type="list" allowBlank="1" showInputMessage="1" showErrorMessage="1" sqref="D16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I38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1" max="1" width="1.28515625" style="0" customWidth="1"/>
    <col min="6" max="6" width="12.28125" style="0" customWidth="1"/>
    <col min="9" max="9" width="10.7109375" style="0" customWidth="1"/>
  </cols>
  <sheetData>
    <row r="1" ht="9" customHeight="1" thickBot="1"/>
    <row r="2" spans="2:9" ht="51.75" thickBot="1">
      <c r="B2" s="324" t="s">
        <v>117</v>
      </c>
      <c r="C2" s="325"/>
      <c r="D2" s="286" t="s">
        <v>118</v>
      </c>
      <c r="E2" s="286" t="s">
        <v>71</v>
      </c>
      <c r="F2" s="285" t="s">
        <v>119</v>
      </c>
      <c r="G2" s="285" t="s">
        <v>133</v>
      </c>
      <c r="H2" s="285" t="s">
        <v>134</v>
      </c>
      <c r="I2" s="285" t="s">
        <v>135</v>
      </c>
    </row>
    <row r="3" spans="2:9" ht="15.75" thickBot="1">
      <c r="B3" s="280"/>
      <c r="C3" s="281"/>
      <c r="D3" s="281"/>
      <c r="E3" s="281"/>
      <c r="F3" s="274"/>
      <c r="G3" s="284" t="s">
        <v>137</v>
      </c>
      <c r="H3" s="284" t="s">
        <v>138</v>
      </c>
      <c r="I3" s="284" t="s">
        <v>139</v>
      </c>
    </row>
    <row r="4" spans="2:9" ht="15">
      <c r="B4" s="287"/>
      <c r="C4" s="288"/>
      <c r="D4" s="288"/>
      <c r="E4" s="289"/>
      <c r="F4" s="288"/>
      <c r="G4" s="290" t="s">
        <v>136</v>
      </c>
      <c r="H4" s="290" t="s">
        <v>136</v>
      </c>
      <c r="I4" s="291" t="s">
        <v>136</v>
      </c>
    </row>
    <row r="5" spans="2:9" ht="15">
      <c r="B5" s="309" t="s">
        <v>61</v>
      </c>
      <c r="C5" s="310"/>
      <c r="D5" s="282">
        <v>100</v>
      </c>
      <c r="E5" s="282"/>
      <c r="F5" s="221"/>
      <c r="G5" s="283">
        <v>0.1082</v>
      </c>
      <c r="H5" s="283">
        <f>'Summary All'!J4</f>
        <v>-0.10396995690766697</v>
      </c>
      <c r="I5" s="292">
        <f>G5+H5</f>
        <v>0.004230043092333033</v>
      </c>
    </row>
    <row r="6" spans="2:9" ht="15">
      <c r="B6" s="309" t="s">
        <v>120</v>
      </c>
      <c r="C6" s="310"/>
      <c r="D6" s="282">
        <v>250</v>
      </c>
      <c r="E6" s="282"/>
      <c r="F6" s="221"/>
      <c r="G6" s="283">
        <v>0.0532</v>
      </c>
      <c r="H6" s="283">
        <f>'Summary All'!J5</f>
        <v>-0.047709837642030996</v>
      </c>
      <c r="I6" s="292">
        <f aca="true" t="shared" si="0" ref="I6:I11">G6+H6</f>
        <v>0.0054901623579690015</v>
      </c>
    </row>
    <row r="7" spans="2:9" ht="15">
      <c r="B7" s="220"/>
      <c r="C7" s="221"/>
      <c r="D7" s="282">
        <v>500</v>
      </c>
      <c r="E7" s="282"/>
      <c r="F7" s="221"/>
      <c r="G7" s="283">
        <v>0.0213</v>
      </c>
      <c r="H7" s="283">
        <f>'Summary All'!J6</f>
        <v>-0.012072209414968373</v>
      </c>
      <c r="I7" s="292">
        <f t="shared" si="0"/>
        <v>0.009227790585031627</v>
      </c>
    </row>
    <row r="8" spans="2:9" ht="15">
      <c r="B8" s="220"/>
      <c r="C8" s="221"/>
      <c r="D8" s="302">
        <v>800</v>
      </c>
      <c r="E8" s="302"/>
      <c r="F8" s="303"/>
      <c r="G8" s="283">
        <v>0.0061</v>
      </c>
      <c r="H8" s="283">
        <f>'Summary All'!J7</f>
        <v>0.005613978214718386</v>
      </c>
      <c r="I8" s="292">
        <f t="shared" si="0"/>
        <v>0.011713978214718385</v>
      </c>
    </row>
    <row r="9" spans="2:9" ht="15">
      <c r="B9" s="220"/>
      <c r="C9" s="221"/>
      <c r="D9" s="225">
        <v>1000</v>
      </c>
      <c r="E9" s="282"/>
      <c r="F9" s="221"/>
      <c r="G9" s="283">
        <v>0.0003</v>
      </c>
      <c r="H9" s="283">
        <f>'Summary All'!J8</f>
        <v>0.011910886210374456</v>
      </c>
      <c r="I9" s="292">
        <f t="shared" si="0"/>
        <v>0.012210886210374456</v>
      </c>
    </row>
    <row r="10" spans="2:9" ht="15">
      <c r="B10" s="220"/>
      <c r="C10" s="221"/>
      <c r="D10" s="225">
        <v>1500</v>
      </c>
      <c r="E10" s="282"/>
      <c r="F10" s="221"/>
      <c r="G10" s="283">
        <v>-0.0072</v>
      </c>
      <c r="H10" s="283">
        <f>'Summary All'!J9</f>
        <v>0.02072308552349544</v>
      </c>
      <c r="I10" s="292">
        <f t="shared" si="0"/>
        <v>0.01352308552349544</v>
      </c>
    </row>
    <row r="11" spans="2:9" ht="15">
      <c r="B11" s="220"/>
      <c r="C11" s="221"/>
      <c r="D11" s="225">
        <v>2000</v>
      </c>
      <c r="E11" s="282"/>
      <c r="F11" s="221"/>
      <c r="G11" s="283">
        <v>-0.0111</v>
      </c>
      <c r="H11" s="283">
        <f>'Summary All'!J10</f>
        <v>0.025273279534634464</v>
      </c>
      <c r="I11" s="292">
        <f t="shared" si="0"/>
        <v>0.014173279534634464</v>
      </c>
    </row>
    <row r="12" spans="2:9" ht="15.75" thickBot="1">
      <c r="B12" s="241"/>
      <c r="C12" s="242"/>
      <c r="D12" s="293"/>
      <c r="E12" s="294"/>
      <c r="F12" s="242"/>
      <c r="G12" s="295"/>
      <c r="H12" s="295"/>
      <c r="I12" s="296"/>
    </row>
    <row r="13" spans="2:9" ht="15">
      <c r="B13" s="287"/>
      <c r="C13" s="288"/>
      <c r="D13" s="289"/>
      <c r="E13" s="289"/>
      <c r="F13" s="288"/>
      <c r="G13" s="297"/>
      <c r="H13" s="297"/>
      <c r="I13" s="298"/>
    </row>
    <row r="14" spans="2:9" ht="15">
      <c r="B14" s="305" t="s">
        <v>68</v>
      </c>
      <c r="C14" s="306"/>
      <c r="D14" s="225">
        <v>1000</v>
      </c>
      <c r="E14" s="282"/>
      <c r="F14" s="221"/>
      <c r="G14" s="283">
        <v>-0.0068</v>
      </c>
      <c r="H14" s="283">
        <f>'Summary All'!J13</f>
        <v>-0.05357154778230073</v>
      </c>
      <c r="I14" s="292">
        <f>G14+H14</f>
        <v>-0.06037154778230073</v>
      </c>
    </row>
    <row r="15" spans="2:9" ht="15">
      <c r="B15" s="309" t="s">
        <v>120</v>
      </c>
      <c r="C15" s="310"/>
      <c r="D15" s="304">
        <v>2000</v>
      </c>
      <c r="E15" s="302"/>
      <c r="F15" s="303"/>
      <c r="G15" s="283">
        <v>-0.0197</v>
      </c>
      <c r="H15" s="283">
        <f>'Summary All'!J14</f>
        <v>-0.01049569737689975</v>
      </c>
      <c r="I15" s="292">
        <f>G15+H15</f>
        <v>-0.030195697376899748</v>
      </c>
    </row>
    <row r="16" spans="2:9" ht="15">
      <c r="B16" s="220"/>
      <c r="C16" s="221"/>
      <c r="D16" s="225">
        <v>5000</v>
      </c>
      <c r="E16" s="282"/>
      <c r="F16" s="221"/>
      <c r="G16" s="283">
        <v>-0.0282</v>
      </c>
      <c r="H16" s="283">
        <f>'Summary All'!J15</f>
        <v>0.01855751966839821</v>
      </c>
      <c r="I16" s="292">
        <f>G16+H16</f>
        <v>-0.00964248033160179</v>
      </c>
    </row>
    <row r="17" spans="2:9" ht="15">
      <c r="B17" s="220"/>
      <c r="C17" s="221"/>
      <c r="D17" s="225">
        <v>10000</v>
      </c>
      <c r="E17" s="282"/>
      <c r="F17" s="221"/>
      <c r="G17" s="283">
        <v>-0.0311</v>
      </c>
      <c r="H17" s="283">
        <f>'Summary All'!J16</f>
        <v>0.02885250242664033</v>
      </c>
      <c r="I17" s="292">
        <f>G17+H17</f>
        <v>-0.00224749757335967</v>
      </c>
    </row>
    <row r="18" spans="2:9" ht="15">
      <c r="B18" s="220"/>
      <c r="C18" s="221"/>
      <c r="D18" s="225">
        <v>15000</v>
      </c>
      <c r="E18" s="282"/>
      <c r="F18" s="221"/>
      <c r="G18" s="283">
        <v>-0.0321</v>
      </c>
      <c r="H18" s="283">
        <f>'Summary All'!J17</f>
        <v>0.03235697616264962</v>
      </c>
      <c r="I18" s="292">
        <f>G18+H18</f>
        <v>0.000256976162649622</v>
      </c>
    </row>
    <row r="19" spans="2:9" ht="15.75" thickBot="1">
      <c r="B19" s="241"/>
      <c r="C19" s="242"/>
      <c r="D19" s="293"/>
      <c r="E19" s="294"/>
      <c r="F19" s="242"/>
      <c r="G19" s="295"/>
      <c r="H19" s="295"/>
      <c r="I19" s="296"/>
    </row>
    <row r="20" spans="2:9" ht="15">
      <c r="B20" s="287"/>
      <c r="C20" s="288"/>
      <c r="D20" s="289"/>
      <c r="E20" s="289"/>
      <c r="F20" s="288"/>
      <c r="G20" s="297"/>
      <c r="H20" s="297"/>
      <c r="I20" s="298"/>
    </row>
    <row r="21" spans="2:9" ht="15">
      <c r="B21" s="305" t="s">
        <v>70</v>
      </c>
      <c r="C21" s="306"/>
      <c r="D21" s="225">
        <v>20000</v>
      </c>
      <c r="E21" s="282">
        <v>60</v>
      </c>
      <c r="F21" s="221"/>
      <c r="G21" s="283">
        <v>-0.0778</v>
      </c>
      <c r="H21" s="283">
        <f>'Summary All'!J20</f>
        <v>0.1015565247806568</v>
      </c>
      <c r="I21" s="292">
        <f>G21+H21</f>
        <v>0.023756524780656804</v>
      </c>
    </row>
    <row r="22" spans="2:9" ht="15">
      <c r="B22" s="236"/>
      <c r="C22" s="237"/>
      <c r="D22" s="225">
        <v>40000</v>
      </c>
      <c r="E22" s="282">
        <v>100</v>
      </c>
      <c r="F22" s="221"/>
      <c r="G22" s="283">
        <v>-0.0684</v>
      </c>
      <c r="H22" s="283">
        <f>'Summary All'!J21</f>
        <v>0.08891990433036222</v>
      </c>
      <c r="I22" s="292">
        <f>G22+H22</f>
        <v>0.020519904330362215</v>
      </c>
    </row>
    <row r="23" spans="2:9" ht="15.75" thickBot="1">
      <c r="B23" s="241"/>
      <c r="C23" s="242"/>
      <c r="D23" s="293"/>
      <c r="E23" s="294"/>
      <c r="F23" s="242"/>
      <c r="G23" s="295"/>
      <c r="H23" s="295"/>
      <c r="I23" s="296"/>
    </row>
    <row r="24" spans="2:9" ht="15">
      <c r="B24" s="287"/>
      <c r="C24" s="288"/>
      <c r="D24" s="299"/>
      <c r="E24" s="289"/>
      <c r="F24" s="288"/>
      <c r="G24" s="297"/>
      <c r="H24" s="297"/>
      <c r="I24" s="298"/>
    </row>
    <row r="25" spans="2:9" ht="15">
      <c r="B25" s="305" t="s">
        <v>73</v>
      </c>
      <c r="C25" s="306"/>
      <c r="D25" s="225">
        <v>400000</v>
      </c>
      <c r="E25" s="225">
        <v>1000</v>
      </c>
      <c r="F25" s="221"/>
      <c r="G25" s="283">
        <v>-0.1034</v>
      </c>
      <c r="H25" s="283">
        <f>'Summary All'!J24</f>
        <v>0.13214846214680948</v>
      </c>
      <c r="I25" s="292">
        <f>G25+H25</f>
        <v>0.02874846214680947</v>
      </c>
    </row>
    <row r="26" spans="2:9" ht="15">
      <c r="B26" s="220"/>
      <c r="C26" s="221"/>
      <c r="D26" s="225">
        <v>1800000</v>
      </c>
      <c r="E26" s="225">
        <v>5000</v>
      </c>
      <c r="F26" s="221"/>
      <c r="G26" s="283">
        <v>-0.1161</v>
      </c>
      <c r="H26" s="283">
        <f>'Summary All'!J25</f>
        <v>0.13985727273759788</v>
      </c>
      <c r="I26" s="292">
        <f>G26+H26</f>
        <v>0.02375727273759788</v>
      </c>
    </row>
    <row r="27" spans="2:9" ht="15.75" thickBot="1">
      <c r="B27" s="241"/>
      <c r="C27" s="242"/>
      <c r="D27" s="293"/>
      <c r="E27" s="293"/>
      <c r="F27" s="242"/>
      <c r="G27" s="295"/>
      <c r="H27" s="295"/>
      <c r="I27" s="296"/>
    </row>
    <row r="28" spans="2:9" ht="15">
      <c r="B28" s="287"/>
      <c r="C28" s="288"/>
      <c r="D28" s="289"/>
      <c r="E28" s="289"/>
      <c r="F28" s="288"/>
      <c r="G28" s="297"/>
      <c r="H28" s="297"/>
      <c r="I28" s="298"/>
    </row>
    <row r="29" spans="2:9" ht="15">
      <c r="B29" s="305" t="s">
        <v>74</v>
      </c>
      <c r="C29" s="306"/>
      <c r="D29" s="225">
        <v>1300000</v>
      </c>
      <c r="E29" s="225">
        <v>25000</v>
      </c>
      <c r="F29" s="221"/>
      <c r="G29" s="283">
        <v>-0.1081</v>
      </c>
      <c r="H29" s="283">
        <f>'Summary All'!J28</f>
        <v>0.1018285640344223</v>
      </c>
      <c r="I29" s="292">
        <f>G29+H29</f>
        <v>-0.006271435965577707</v>
      </c>
    </row>
    <row r="30" spans="2:9" ht="15.75" thickBot="1">
      <c r="B30" s="300"/>
      <c r="C30" s="301"/>
      <c r="D30" s="293"/>
      <c r="E30" s="293"/>
      <c r="F30" s="242"/>
      <c r="G30" s="295"/>
      <c r="H30" s="295"/>
      <c r="I30" s="296"/>
    </row>
    <row r="31" spans="2:9" ht="15">
      <c r="B31" s="287"/>
      <c r="C31" s="288"/>
      <c r="D31" s="289"/>
      <c r="E31" s="289"/>
      <c r="F31" s="288"/>
      <c r="G31" s="297"/>
      <c r="H31" s="297"/>
      <c r="I31" s="298"/>
    </row>
    <row r="32" spans="2:9" ht="15">
      <c r="B32" s="305" t="s">
        <v>121</v>
      </c>
      <c r="C32" s="306"/>
      <c r="D32" s="225">
        <v>150</v>
      </c>
      <c r="E32" s="282"/>
      <c r="F32" s="282">
        <v>1</v>
      </c>
      <c r="G32" s="283">
        <v>-0.1431</v>
      </c>
      <c r="H32" s="283">
        <f>'Summary All'!J31</f>
        <v>0.11968606751042526</v>
      </c>
      <c r="I32" s="292">
        <f>G32+H32</f>
        <v>-0.02341393248957474</v>
      </c>
    </row>
    <row r="33" spans="2:9" ht="15.75" thickBot="1">
      <c r="B33" s="300"/>
      <c r="C33" s="301"/>
      <c r="D33" s="293"/>
      <c r="E33" s="294"/>
      <c r="F33" s="294"/>
      <c r="G33" s="295"/>
      <c r="H33" s="295"/>
      <c r="I33" s="296"/>
    </row>
    <row r="34" spans="2:9" ht="15">
      <c r="B34" s="287"/>
      <c r="C34" s="288"/>
      <c r="D34" s="289"/>
      <c r="E34" s="289"/>
      <c r="F34" s="289"/>
      <c r="G34" s="297"/>
      <c r="H34" s="297"/>
      <c r="I34" s="298"/>
    </row>
    <row r="35" spans="2:9" ht="15">
      <c r="B35" s="305" t="s">
        <v>75</v>
      </c>
      <c r="C35" s="306"/>
      <c r="D35" s="282">
        <v>150</v>
      </c>
      <c r="E35" s="282">
        <v>1</v>
      </c>
      <c r="F35" s="282">
        <v>1</v>
      </c>
      <c r="G35" s="283">
        <v>-0.0594</v>
      </c>
      <c r="H35" s="283">
        <f>'Summary All'!J34</f>
        <v>0.18077094893362175</v>
      </c>
      <c r="I35" s="292">
        <f>G35+H35</f>
        <v>0.12137094893362174</v>
      </c>
    </row>
    <row r="36" spans="2:9" ht="15.75" thickBot="1">
      <c r="B36" s="241"/>
      <c r="C36" s="242"/>
      <c r="D36" s="242"/>
      <c r="E36" s="242"/>
      <c r="F36" s="242"/>
      <c r="G36" s="242"/>
      <c r="H36" s="242"/>
      <c r="I36" s="243"/>
    </row>
    <row r="37" ht="15">
      <c r="B37" t="s">
        <v>143</v>
      </c>
    </row>
    <row r="38" ht="15">
      <c r="B38" t="s">
        <v>140</v>
      </c>
    </row>
  </sheetData>
  <sheetProtection/>
  <mergeCells count="10">
    <mergeCell ref="B25:C25"/>
    <mergeCell ref="B29:C29"/>
    <mergeCell ref="B32:C32"/>
    <mergeCell ref="B35:C35"/>
    <mergeCell ref="B2:C2"/>
    <mergeCell ref="B5:C5"/>
    <mergeCell ref="B6:C6"/>
    <mergeCell ref="B14:C14"/>
    <mergeCell ref="B15:C15"/>
    <mergeCell ref="B21:C2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93"/>
  <sheetViews>
    <sheetView showGridLines="0" zoomScalePageLayoutView="0" workbookViewId="0" topLeftCell="A47">
      <selection activeCell="F62" sqref="F62"/>
    </sheetView>
  </sheetViews>
  <sheetFormatPr defaultColWidth="9.140625" defaultRowHeight="15"/>
  <cols>
    <col min="1" max="1" width="2.140625" style="8" customWidth="1"/>
    <col min="2" max="2" width="44.5742187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8.57421875" style="8" customWidth="1"/>
    <col min="8" max="8" width="9.7109375" style="8" customWidth="1"/>
    <col min="9" max="9" width="2.8515625" style="8" customWidth="1"/>
    <col min="10" max="10" width="12.140625" style="8" customWidth="1"/>
    <col min="11" max="11" width="8.57421875" style="8" customWidth="1"/>
    <col min="12" max="12" width="9.7109375" style="8" customWidth="1"/>
    <col min="13" max="13" width="2.8515625" style="8" customWidth="1"/>
    <col min="14" max="14" width="11.57421875" style="8" customWidth="1"/>
    <col min="15" max="15" width="10.8515625" style="8" bestFit="1" customWidth="1"/>
    <col min="16" max="16" width="6.42187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42" t="str">
        <f>EBNUMBER</f>
        <v>EB-2013-0116</v>
      </c>
      <c r="O1" s="342"/>
      <c r="T1" s="2">
        <v>1</v>
      </c>
    </row>
    <row r="2" spans="1:15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343">
        <v>8</v>
      </c>
      <c r="O2" s="343"/>
    </row>
    <row r="3" spans="1:15" s="2" customFormat="1" ht="15" customHeight="1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" t="s">
        <v>79</v>
      </c>
      <c r="N3" s="344" t="s">
        <v>80</v>
      </c>
      <c r="O3" s="344"/>
    </row>
    <row r="4" spans="1:15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343">
        <v>1</v>
      </c>
      <c r="O4" s="343"/>
    </row>
    <row r="5" spans="3:15" s="2" customFormat="1" ht="15" customHeight="1">
      <c r="C5" s="7"/>
      <c r="D5" s="7"/>
      <c r="E5" s="7"/>
      <c r="L5" s="3" t="s">
        <v>81</v>
      </c>
      <c r="N5" s="345" t="s">
        <v>86</v>
      </c>
      <c r="O5" s="345"/>
    </row>
    <row r="6" spans="12:15" s="2" customFormat="1" ht="9" customHeight="1">
      <c r="L6" s="3"/>
      <c r="N6" s="4"/>
      <c r="O6"/>
    </row>
    <row r="7" spans="12:15" s="2" customFormat="1" ht="15">
      <c r="L7" s="3" t="s">
        <v>83</v>
      </c>
      <c r="N7" s="346">
        <v>41575</v>
      </c>
      <c r="O7" s="345"/>
    </row>
    <row r="8" spans="14:16" s="2" customFormat="1" ht="15" customHeight="1">
      <c r="N8" s="8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337" t="s">
        <v>3</v>
      </c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/>
    </row>
    <row r="11" spans="2:16" ht="18.75" customHeight="1">
      <c r="B11" s="337" t="s">
        <v>4</v>
      </c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338" t="s">
        <v>61</v>
      </c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7" ht="15">
      <c r="B18" s="13"/>
      <c r="D18" s="14" t="s">
        <v>8</v>
      </c>
      <c r="E18" s="14"/>
      <c r="F18" s="15">
        <v>100</v>
      </c>
      <c r="G18" s="14" t="s">
        <v>9</v>
      </c>
    </row>
    <row r="19" ht="15">
      <c r="B19" s="13"/>
    </row>
    <row r="20" spans="2:15" ht="15">
      <c r="B20" s="13"/>
      <c r="D20" s="16"/>
      <c r="E20" s="16"/>
      <c r="F20" s="339" t="s">
        <v>10</v>
      </c>
      <c r="G20" s="340"/>
      <c r="H20" s="341"/>
      <c r="J20" s="339" t="s">
        <v>11</v>
      </c>
      <c r="K20" s="340"/>
      <c r="L20" s="341"/>
      <c r="N20" s="339" t="s">
        <v>12</v>
      </c>
      <c r="O20" s="341"/>
    </row>
    <row r="21" spans="2:15" ht="15">
      <c r="B21" s="13"/>
      <c r="D21" s="327" t="s">
        <v>13</v>
      </c>
      <c r="E21" s="17"/>
      <c r="F21" s="18" t="s">
        <v>14</v>
      </c>
      <c r="G21" s="18" t="s">
        <v>15</v>
      </c>
      <c r="H21" s="19" t="s">
        <v>16</v>
      </c>
      <c r="J21" s="18" t="s">
        <v>14</v>
      </c>
      <c r="K21" s="20" t="s">
        <v>15</v>
      </c>
      <c r="L21" s="19" t="s">
        <v>16</v>
      </c>
      <c r="N21" s="329" t="s">
        <v>17</v>
      </c>
      <c r="O21" s="331" t="s">
        <v>18</v>
      </c>
    </row>
    <row r="22" spans="2:15" ht="15">
      <c r="B22" s="13"/>
      <c r="D22" s="328"/>
      <c r="E22" s="17"/>
      <c r="F22" s="21" t="s">
        <v>19</v>
      </c>
      <c r="G22" s="21"/>
      <c r="H22" s="22" t="s">
        <v>19</v>
      </c>
      <c r="J22" s="21" t="s">
        <v>19</v>
      </c>
      <c r="K22" s="22"/>
      <c r="L22" s="22" t="s">
        <v>19</v>
      </c>
      <c r="N22" s="330"/>
      <c r="O22" s="332"/>
    </row>
    <row r="23" spans="2:15" ht="22.5" customHeight="1">
      <c r="B23" s="23" t="s">
        <v>20</v>
      </c>
      <c r="C23" s="23"/>
      <c r="D23" s="24" t="s">
        <v>62</v>
      </c>
      <c r="E23" s="25"/>
      <c r="F23" s="176">
        <v>11</v>
      </c>
      <c r="G23" s="27">
        <v>1</v>
      </c>
      <c r="H23" s="28">
        <f>G23*F23</f>
        <v>11</v>
      </c>
      <c r="I23" s="29"/>
      <c r="J23" s="176">
        <v>11.15</v>
      </c>
      <c r="K23" s="31">
        <v>1</v>
      </c>
      <c r="L23" s="28">
        <f>K23*J23</f>
        <v>11.15</v>
      </c>
      <c r="M23" s="29"/>
      <c r="N23" s="32">
        <f>L23-H23</f>
        <v>0.15000000000000036</v>
      </c>
      <c r="O23" s="33">
        <f>IF((H23)=0,"",(N23/H23))</f>
        <v>0.013636363636363669</v>
      </c>
    </row>
    <row r="24" spans="2:15" ht="22.5" customHeight="1">
      <c r="B24" s="23" t="s">
        <v>102</v>
      </c>
      <c r="C24" s="23"/>
      <c r="D24" s="24" t="s">
        <v>62</v>
      </c>
      <c r="E24" s="25"/>
      <c r="F24" s="255">
        <v>0</v>
      </c>
      <c r="G24" s="27">
        <v>1</v>
      </c>
      <c r="H24" s="249">
        <f>G24*F24</f>
        <v>0</v>
      </c>
      <c r="I24" s="29"/>
      <c r="J24" s="175">
        <v>0</v>
      </c>
      <c r="K24" s="31">
        <v>1</v>
      </c>
      <c r="L24" s="28">
        <f>K24*J24</f>
        <v>0</v>
      </c>
      <c r="M24" s="29"/>
      <c r="N24" s="32">
        <f>L24-H24</f>
        <v>0</v>
      </c>
      <c r="O24" s="33">
        <f>IF((H24)=0,"",(N24/H24))</f>
      </c>
    </row>
    <row r="25" spans="2:15" ht="36.75" customHeight="1">
      <c r="B25" s="66" t="s">
        <v>125</v>
      </c>
      <c r="C25" s="23"/>
      <c r="D25" s="57" t="s">
        <v>62</v>
      </c>
      <c r="E25" s="25"/>
      <c r="F25" s="272">
        <v>0</v>
      </c>
      <c r="G25" s="27">
        <v>1</v>
      </c>
      <c r="H25" s="28">
        <f aca="true" t="shared" si="0" ref="H25:H40">G25*F25</f>
        <v>0</v>
      </c>
      <c r="I25" s="29"/>
      <c r="J25" s="30">
        <v>0.79</v>
      </c>
      <c r="K25" s="31">
        <v>1</v>
      </c>
      <c r="L25" s="28">
        <f>K25*J25</f>
        <v>0.79</v>
      </c>
      <c r="M25" s="29"/>
      <c r="N25" s="32">
        <f>L25-H25</f>
        <v>0.79</v>
      </c>
      <c r="O25" s="33">
        <f>IF((H25)=0,"",(N25/H25))</f>
      </c>
    </row>
    <row r="26" spans="2:15" ht="36.75" customHeight="1">
      <c r="B26" s="177" t="s">
        <v>64</v>
      </c>
      <c r="C26" s="23"/>
      <c r="D26" s="57" t="s">
        <v>62</v>
      </c>
      <c r="E26" s="58"/>
      <c r="F26" s="175">
        <v>0</v>
      </c>
      <c r="G26" s="27">
        <v>1</v>
      </c>
      <c r="H26" s="28">
        <f t="shared" si="0"/>
        <v>0</v>
      </c>
      <c r="I26" s="29"/>
      <c r="J26" s="30"/>
      <c r="K26" s="31">
        <v>1</v>
      </c>
      <c r="L26" s="28">
        <f aca="true" t="shared" si="1" ref="L26:L40">K26*J26</f>
        <v>0</v>
      </c>
      <c r="M26" s="29"/>
      <c r="N26" s="32">
        <f aca="true" t="shared" si="2" ref="N26:N40">L26-H26</f>
        <v>0</v>
      </c>
      <c r="O26" s="33">
        <f aca="true" t="shared" si="3" ref="O26:O41">IF((H26)=0,"",(N26/H26))</f>
      </c>
    </row>
    <row r="27" spans="2:15" ht="15">
      <c r="B27" s="177" t="s">
        <v>65</v>
      </c>
      <c r="C27" s="23"/>
      <c r="D27" s="24" t="s">
        <v>62</v>
      </c>
      <c r="E27" s="25"/>
      <c r="F27" s="26">
        <v>4.33</v>
      </c>
      <c r="G27" s="27">
        <v>1</v>
      </c>
      <c r="H27" s="28">
        <f t="shared" si="0"/>
        <v>4.33</v>
      </c>
      <c r="I27" s="29"/>
      <c r="J27" s="175">
        <v>0</v>
      </c>
      <c r="K27" s="31">
        <v>1</v>
      </c>
      <c r="L27" s="28">
        <f t="shared" si="1"/>
        <v>0</v>
      </c>
      <c r="M27" s="29"/>
      <c r="N27" s="259">
        <f t="shared" si="2"/>
        <v>-4.33</v>
      </c>
      <c r="O27" s="33">
        <f t="shared" si="3"/>
        <v>-1</v>
      </c>
    </row>
    <row r="28" spans="2:15" ht="15">
      <c r="B28" s="47" t="s">
        <v>66</v>
      </c>
      <c r="C28" s="23"/>
      <c r="D28" s="24" t="s">
        <v>63</v>
      </c>
      <c r="E28" s="25"/>
      <c r="F28" s="26">
        <v>0</v>
      </c>
      <c r="G28" s="27">
        <f aca="true" t="shared" si="4" ref="G28:G33">$F$18</f>
        <v>100</v>
      </c>
      <c r="H28" s="28">
        <f t="shared" si="0"/>
        <v>0</v>
      </c>
      <c r="I28" s="29"/>
      <c r="J28" s="175"/>
      <c r="K28" s="27">
        <f>$F$18</f>
        <v>100</v>
      </c>
      <c r="L28" s="28">
        <f t="shared" si="1"/>
        <v>0</v>
      </c>
      <c r="M28" s="29"/>
      <c r="N28" s="32">
        <f t="shared" si="2"/>
        <v>0</v>
      </c>
      <c r="O28" s="33">
        <f t="shared" si="3"/>
      </c>
    </row>
    <row r="29" spans="2:15" ht="15">
      <c r="B29" s="47" t="s">
        <v>67</v>
      </c>
      <c r="C29" s="23"/>
      <c r="D29" s="24" t="s">
        <v>63</v>
      </c>
      <c r="E29" s="25"/>
      <c r="F29" s="253">
        <v>-0.004</v>
      </c>
      <c r="G29" s="27">
        <f t="shared" si="4"/>
        <v>100</v>
      </c>
      <c r="H29" s="28">
        <f t="shared" si="0"/>
        <v>-0.4</v>
      </c>
      <c r="I29" s="29"/>
      <c r="J29" s="30">
        <v>0</v>
      </c>
      <c r="K29" s="27">
        <f>$F$18</f>
        <v>100</v>
      </c>
      <c r="L29" s="28">
        <f t="shared" si="1"/>
        <v>0</v>
      </c>
      <c r="M29" s="29"/>
      <c r="N29" s="32">
        <f t="shared" si="2"/>
        <v>0.4</v>
      </c>
      <c r="O29" s="33">
        <f t="shared" si="3"/>
        <v>-1</v>
      </c>
    </row>
    <row r="30" spans="2:15" ht="15">
      <c r="B30" s="47" t="s">
        <v>103</v>
      </c>
      <c r="C30" s="23"/>
      <c r="D30" s="24" t="s">
        <v>63</v>
      </c>
      <c r="E30" s="25"/>
      <c r="F30" s="26">
        <v>0</v>
      </c>
      <c r="G30" s="27">
        <f t="shared" si="4"/>
        <v>100</v>
      </c>
      <c r="H30" s="249">
        <f t="shared" si="0"/>
        <v>0</v>
      </c>
      <c r="I30" s="29"/>
      <c r="J30" s="30">
        <v>0</v>
      </c>
      <c r="K30" s="27">
        <f>$F$18</f>
        <v>100</v>
      </c>
      <c r="L30" s="249">
        <f>K30*J30</f>
        <v>0</v>
      </c>
      <c r="M30" s="29"/>
      <c r="N30" s="259">
        <f>L30-H30</f>
        <v>0</v>
      </c>
      <c r="O30" s="250">
        <f>IF((H30)=0,"",(N30/H30))</f>
      </c>
    </row>
    <row r="31" spans="2:15" ht="15">
      <c r="B31" s="23" t="s">
        <v>21</v>
      </c>
      <c r="C31" s="23"/>
      <c r="D31" s="24" t="s">
        <v>63</v>
      </c>
      <c r="E31" s="25"/>
      <c r="F31" s="26">
        <v>0.0178</v>
      </c>
      <c r="G31" s="27">
        <f t="shared" si="4"/>
        <v>100</v>
      </c>
      <c r="H31" s="28">
        <f t="shared" si="0"/>
        <v>1.78</v>
      </c>
      <c r="I31" s="29"/>
      <c r="J31" s="26">
        <v>0.018</v>
      </c>
      <c r="K31" s="27">
        <f>$F$18</f>
        <v>100</v>
      </c>
      <c r="L31" s="28">
        <f t="shared" si="1"/>
        <v>1.7999999999999998</v>
      </c>
      <c r="M31" s="29"/>
      <c r="N31" s="32">
        <f t="shared" si="2"/>
        <v>0.019999999999999796</v>
      </c>
      <c r="O31" s="33">
        <f t="shared" si="3"/>
        <v>0.01123595505617966</v>
      </c>
    </row>
    <row r="32" spans="2:15" ht="15">
      <c r="B32" s="23" t="s">
        <v>22</v>
      </c>
      <c r="C32" s="23"/>
      <c r="D32" s="24"/>
      <c r="E32" s="25"/>
      <c r="F32" s="26"/>
      <c r="G32" s="27">
        <f t="shared" si="4"/>
        <v>100</v>
      </c>
      <c r="H32" s="28">
        <f t="shared" si="0"/>
        <v>0</v>
      </c>
      <c r="I32" s="29"/>
      <c r="J32" s="30"/>
      <c r="K32" s="27">
        <f aca="true" t="shared" si="5" ref="K32:K40">$F$18</f>
        <v>100</v>
      </c>
      <c r="L32" s="28">
        <f t="shared" si="1"/>
        <v>0</v>
      </c>
      <c r="M32" s="29"/>
      <c r="N32" s="32">
        <f t="shared" si="2"/>
        <v>0</v>
      </c>
      <c r="O32" s="33">
        <f t="shared" si="3"/>
      </c>
    </row>
    <row r="33" spans="2:15" ht="15">
      <c r="B33" s="23" t="s">
        <v>124</v>
      </c>
      <c r="C33" s="23"/>
      <c r="D33" s="24" t="s">
        <v>63</v>
      </c>
      <c r="E33" s="25"/>
      <c r="F33" s="26">
        <v>0</v>
      </c>
      <c r="G33" s="27">
        <f t="shared" si="4"/>
        <v>100</v>
      </c>
      <c r="H33" s="28">
        <f t="shared" si="0"/>
        <v>0</v>
      </c>
      <c r="I33" s="29"/>
      <c r="J33" s="30">
        <v>0.0001</v>
      </c>
      <c r="K33" s="27">
        <f t="shared" si="5"/>
        <v>100</v>
      </c>
      <c r="L33" s="28">
        <f t="shared" si="1"/>
        <v>0.01</v>
      </c>
      <c r="M33" s="29"/>
      <c r="N33" s="32">
        <f t="shared" si="2"/>
        <v>0.01</v>
      </c>
      <c r="O33" s="33">
        <f t="shared" si="3"/>
      </c>
    </row>
    <row r="34" spans="2:15" ht="15" hidden="1">
      <c r="B34" s="34"/>
      <c r="C34" s="23"/>
      <c r="D34" s="24"/>
      <c r="E34" s="25"/>
      <c r="F34" s="26"/>
      <c r="G34" s="27">
        <f aca="true" t="shared" si="6" ref="G34:G40">$F$18</f>
        <v>100</v>
      </c>
      <c r="H34" s="28">
        <f t="shared" si="0"/>
        <v>0</v>
      </c>
      <c r="I34" s="29"/>
      <c r="J34" s="30"/>
      <c r="K34" s="27">
        <f t="shared" si="5"/>
        <v>100</v>
      </c>
      <c r="L34" s="28">
        <f t="shared" si="1"/>
        <v>0</v>
      </c>
      <c r="M34" s="29"/>
      <c r="N34" s="32">
        <f t="shared" si="2"/>
        <v>0</v>
      </c>
      <c r="O34" s="33">
        <f t="shared" si="3"/>
      </c>
    </row>
    <row r="35" spans="2:15" ht="15" hidden="1">
      <c r="B35" s="34"/>
      <c r="C35" s="23"/>
      <c r="D35" s="24"/>
      <c r="E35" s="25"/>
      <c r="F35" s="26"/>
      <c r="G35" s="27">
        <f t="shared" si="6"/>
        <v>100</v>
      </c>
      <c r="H35" s="28">
        <f t="shared" si="0"/>
        <v>0</v>
      </c>
      <c r="I35" s="29"/>
      <c r="J35" s="30"/>
      <c r="K35" s="27">
        <f t="shared" si="5"/>
        <v>100</v>
      </c>
      <c r="L35" s="28">
        <f t="shared" si="1"/>
        <v>0</v>
      </c>
      <c r="M35" s="29"/>
      <c r="N35" s="32">
        <f t="shared" si="2"/>
        <v>0</v>
      </c>
      <c r="O35" s="33">
        <f t="shared" si="3"/>
      </c>
    </row>
    <row r="36" spans="2:15" ht="15" hidden="1">
      <c r="B36" s="34"/>
      <c r="C36" s="23"/>
      <c r="D36" s="24"/>
      <c r="E36" s="25"/>
      <c r="F36" s="26"/>
      <c r="G36" s="27">
        <f t="shared" si="6"/>
        <v>100</v>
      </c>
      <c r="H36" s="28">
        <f t="shared" si="0"/>
        <v>0</v>
      </c>
      <c r="I36" s="29"/>
      <c r="J36" s="30"/>
      <c r="K36" s="27">
        <f t="shared" si="5"/>
        <v>100</v>
      </c>
      <c r="L36" s="28">
        <f t="shared" si="1"/>
        <v>0</v>
      </c>
      <c r="M36" s="29"/>
      <c r="N36" s="32">
        <f t="shared" si="2"/>
        <v>0</v>
      </c>
      <c r="O36" s="33">
        <f t="shared" si="3"/>
      </c>
    </row>
    <row r="37" spans="2:15" ht="15" hidden="1">
      <c r="B37" s="34"/>
      <c r="C37" s="23"/>
      <c r="D37" s="24"/>
      <c r="E37" s="25"/>
      <c r="F37" s="26"/>
      <c r="G37" s="27">
        <f t="shared" si="6"/>
        <v>100</v>
      </c>
      <c r="H37" s="28">
        <f t="shared" si="0"/>
        <v>0</v>
      </c>
      <c r="I37" s="29"/>
      <c r="J37" s="30"/>
      <c r="K37" s="27">
        <f t="shared" si="5"/>
        <v>100</v>
      </c>
      <c r="L37" s="28">
        <f t="shared" si="1"/>
        <v>0</v>
      </c>
      <c r="M37" s="29"/>
      <c r="N37" s="32">
        <f t="shared" si="2"/>
        <v>0</v>
      </c>
      <c r="O37" s="33">
        <f t="shared" si="3"/>
      </c>
    </row>
    <row r="38" spans="2:15" ht="15" hidden="1">
      <c r="B38" s="34"/>
      <c r="C38" s="23"/>
      <c r="D38" s="24"/>
      <c r="E38" s="25"/>
      <c r="F38" s="26"/>
      <c r="G38" s="27">
        <f t="shared" si="6"/>
        <v>100</v>
      </c>
      <c r="H38" s="28">
        <f t="shared" si="0"/>
        <v>0</v>
      </c>
      <c r="I38" s="29"/>
      <c r="J38" s="30"/>
      <c r="K38" s="27">
        <f t="shared" si="5"/>
        <v>100</v>
      </c>
      <c r="L38" s="28">
        <f t="shared" si="1"/>
        <v>0</v>
      </c>
      <c r="M38" s="29"/>
      <c r="N38" s="32">
        <f t="shared" si="2"/>
        <v>0</v>
      </c>
      <c r="O38" s="33">
        <f t="shared" si="3"/>
      </c>
    </row>
    <row r="39" spans="2:15" ht="15" hidden="1">
      <c r="B39" s="34"/>
      <c r="C39" s="23"/>
      <c r="D39" s="24"/>
      <c r="E39" s="25"/>
      <c r="F39" s="26"/>
      <c r="G39" s="27">
        <f t="shared" si="6"/>
        <v>100</v>
      </c>
      <c r="H39" s="28">
        <f t="shared" si="0"/>
        <v>0</v>
      </c>
      <c r="I39" s="29"/>
      <c r="J39" s="30"/>
      <c r="K39" s="27">
        <f t="shared" si="5"/>
        <v>100</v>
      </c>
      <c r="L39" s="28">
        <f t="shared" si="1"/>
        <v>0</v>
      </c>
      <c r="M39" s="29"/>
      <c r="N39" s="32">
        <f t="shared" si="2"/>
        <v>0</v>
      </c>
      <c r="O39" s="33">
        <f t="shared" si="3"/>
      </c>
    </row>
    <row r="40" spans="2:15" ht="15" hidden="1">
      <c r="B40" s="34"/>
      <c r="C40" s="23"/>
      <c r="D40" s="24"/>
      <c r="E40" s="25"/>
      <c r="F40" s="26"/>
      <c r="G40" s="27">
        <f t="shared" si="6"/>
        <v>100</v>
      </c>
      <c r="H40" s="28">
        <f t="shared" si="0"/>
        <v>0</v>
      </c>
      <c r="I40" s="29"/>
      <c r="J40" s="30"/>
      <c r="K40" s="27">
        <f t="shared" si="5"/>
        <v>100</v>
      </c>
      <c r="L40" s="28">
        <f t="shared" si="1"/>
        <v>0</v>
      </c>
      <c r="M40" s="29"/>
      <c r="N40" s="32">
        <f t="shared" si="2"/>
        <v>0</v>
      </c>
      <c r="O40" s="33">
        <f t="shared" si="3"/>
      </c>
    </row>
    <row r="41" spans="2:15" s="35" customFormat="1" ht="15">
      <c r="B41" s="36" t="s">
        <v>24</v>
      </c>
      <c r="C41" s="37"/>
      <c r="D41" s="38"/>
      <c r="E41" s="37"/>
      <c r="F41" s="39"/>
      <c r="G41" s="40"/>
      <c r="H41" s="41">
        <f>SUM(H23:H40)</f>
        <v>16.71</v>
      </c>
      <c r="I41" s="42"/>
      <c r="J41" s="43"/>
      <c r="K41" s="44"/>
      <c r="L41" s="41">
        <f>SUM(L23:L40)</f>
        <v>13.750000000000002</v>
      </c>
      <c r="M41" s="42"/>
      <c r="N41" s="260">
        <f>L41-H41</f>
        <v>-2.959999999999999</v>
      </c>
      <c r="O41" s="46">
        <f t="shared" si="3"/>
        <v>-0.1771394374625972</v>
      </c>
    </row>
    <row r="42" spans="2:15" ht="15" hidden="1">
      <c r="B42" s="177"/>
      <c r="C42" s="23"/>
      <c r="D42" s="57" t="s">
        <v>62</v>
      </c>
      <c r="E42" s="25"/>
      <c r="F42" s="26"/>
      <c r="G42" s="27">
        <v>1</v>
      </c>
      <c r="H42" s="28">
        <f>G42*F42</f>
        <v>0</v>
      </c>
      <c r="I42" s="29"/>
      <c r="J42" s="175"/>
      <c r="K42" s="31">
        <v>1</v>
      </c>
      <c r="L42" s="28">
        <f>K42*J42</f>
        <v>0</v>
      </c>
      <c r="M42" s="29"/>
      <c r="N42" s="32">
        <f>L42-H42</f>
        <v>0</v>
      </c>
      <c r="O42" s="33">
        <f>IF((H42)=0,"",(N42/H42))</f>
      </c>
    </row>
    <row r="43" spans="2:15" ht="25.5">
      <c r="B43" s="47" t="s">
        <v>25</v>
      </c>
      <c r="C43" s="23"/>
      <c r="D43" s="57" t="s">
        <v>63</v>
      </c>
      <c r="E43" s="58"/>
      <c r="F43" s="254">
        <v>-0.002</v>
      </c>
      <c r="G43" s="27">
        <f>$F$18</f>
        <v>100</v>
      </c>
      <c r="H43" s="28">
        <f aca="true" t="shared" si="7" ref="H43:H49">G43*F43</f>
        <v>-0.2</v>
      </c>
      <c r="I43" s="29"/>
      <c r="J43" s="254">
        <v>-0.0016</v>
      </c>
      <c r="K43" s="27">
        <f>$F$18</f>
        <v>100</v>
      </c>
      <c r="L43" s="28">
        <f aca="true" t="shared" si="8" ref="L43:L49">K43*J43</f>
        <v>-0.16</v>
      </c>
      <c r="M43" s="29"/>
      <c r="N43" s="32">
        <f aca="true" t="shared" si="9" ref="N43:N49">L43-H43</f>
        <v>0.04000000000000001</v>
      </c>
      <c r="O43" s="33">
        <f aca="true" t="shared" si="10" ref="O43:O48">IF((H43)=0,"",(N43/H43))</f>
        <v>-0.20000000000000004</v>
      </c>
    </row>
    <row r="44" spans="2:15" ht="15" hidden="1">
      <c r="B44" s="47"/>
      <c r="C44" s="23"/>
      <c r="D44" s="24" t="s">
        <v>63</v>
      </c>
      <c r="E44" s="25"/>
      <c r="F44" s="26"/>
      <c r="G44" s="27">
        <f>$F$18</f>
        <v>100</v>
      </c>
      <c r="H44" s="28">
        <f t="shared" si="7"/>
        <v>0</v>
      </c>
      <c r="I44" s="48"/>
      <c r="J44" s="30"/>
      <c r="K44" s="27">
        <f>$F$18</f>
        <v>100</v>
      </c>
      <c r="L44" s="28">
        <f t="shared" si="8"/>
        <v>0</v>
      </c>
      <c r="M44" s="49"/>
      <c r="N44" s="32">
        <f t="shared" si="9"/>
        <v>0</v>
      </c>
      <c r="O44" s="33">
        <f t="shared" si="10"/>
      </c>
    </row>
    <row r="45" spans="2:15" ht="15" hidden="1">
      <c r="B45" s="47"/>
      <c r="C45" s="23"/>
      <c r="D45" s="24" t="s">
        <v>63</v>
      </c>
      <c r="E45" s="25"/>
      <c r="F45" s="26"/>
      <c r="G45" s="27">
        <f>$F$18</f>
        <v>100</v>
      </c>
      <c r="H45" s="28">
        <f t="shared" si="7"/>
        <v>0</v>
      </c>
      <c r="I45" s="48"/>
      <c r="J45" s="30"/>
      <c r="K45" s="27">
        <f>$F$18</f>
        <v>100</v>
      </c>
      <c r="L45" s="28">
        <f t="shared" si="8"/>
        <v>0</v>
      </c>
      <c r="M45" s="49"/>
      <c r="N45" s="32">
        <f t="shared" si="9"/>
        <v>0</v>
      </c>
      <c r="O45" s="33">
        <f t="shared" si="10"/>
      </c>
    </row>
    <row r="46" spans="2:15" ht="15" hidden="1">
      <c r="B46" s="47"/>
      <c r="C46" s="23"/>
      <c r="D46" s="24"/>
      <c r="E46" s="25"/>
      <c r="F46" s="26"/>
      <c r="G46" s="27">
        <f>$F$18</f>
        <v>100</v>
      </c>
      <c r="H46" s="28">
        <f t="shared" si="7"/>
        <v>0</v>
      </c>
      <c r="I46" s="48"/>
      <c r="J46" s="30"/>
      <c r="K46" s="27">
        <f>$F$18</f>
        <v>100</v>
      </c>
      <c r="L46" s="28">
        <f t="shared" si="8"/>
        <v>0</v>
      </c>
      <c r="M46" s="49"/>
      <c r="N46" s="32">
        <f t="shared" si="9"/>
        <v>0</v>
      </c>
      <c r="O46" s="33">
        <f t="shared" si="10"/>
      </c>
    </row>
    <row r="47" spans="2:15" ht="15">
      <c r="B47" s="50" t="s">
        <v>26</v>
      </c>
      <c r="C47" s="23"/>
      <c r="D47" s="24" t="s">
        <v>63</v>
      </c>
      <c r="E47" s="25"/>
      <c r="F47" s="26">
        <f>0.0001</f>
        <v>0.0001</v>
      </c>
      <c r="G47" s="27">
        <f>$F$18</f>
        <v>100</v>
      </c>
      <c r="H47" s="28">
        <f t="shared" si="7"/>
        <v>0.01</v>
      </c>
      <c r="I47" s="29"/>
      <c r="J47" s="187">
        <f>'[2]Rate Schedule '!$E$12</f>
        <v>0.0001</v>
      </c>
      <c r="K47" s="27">
        <f>$F$18</f>
        <v>100</v>
      </c>
      <c r="L47" s="28">
        <f t="shared" si="8"/>
        <v>0.01</v>
      </c>
      <c r="M47" s="29"/>
      <c r="N47" s="32">
        <f t="shared" si="9"/>
        <v>0</v>
      </c>
      <c r="O47" s="33">
        <f t="shared" si="10"/>
        <v>0</v>
      </c>
    </row>
    <row r="48" spans="2:15" s="35" customFormat="1" ht="15">
      <c r="B48" s="183" t="s">
        <v>27</v>
      </c>
      <c r="C48" s="25"/>
      <c r="D48" s="184" t="s">
        <v>63</v>
      </c>
      <c r="E48" s="25"/>
      <c r="F48" s="185">
        <f>IF(ISBLANK(D16)=TRUE,0,IF(D16="TOU",0.64*$F$58+0.18*$F$59+0.18*$F$60,IF(AND(D16="non-TOU",G62&gt;0),F62,F61)))</f>
        <v>0.08392</v>
      </c>
      <c r="G48" s="27">
        <f>$F$18*(1+$F$77)-$F$18</f>
        <v>3.3500000000000085</v>
      </c>
      <c r="H48" s="186">
        <f t="shared" si="7"/>
        <v>0.2811320000000007</v>
      </c>
      <c r="I48" s="58"/>
      <c r="J48" s="187">
        <f>0.64*$F$58+0.18*$F$59+0.18*$F$60</f>
        <v>0.08392</v>
      </c>
      <c r="K48" s="27">
        <f>$F$18*(1+$J$77)-$F$18</f>
        <v>3.3500000000000085</v>
      </c>
      <c r="L48" s="186">
        <f t="shared" si="8"/>
        <v>0.2811320000000007</v>
      </c>
      <c r="M48" s="58"/>
      <c r="N48" s="188">
        <f t="shared" si="9"/>
        <v>0</v>
      </c>
      <c r="O48" s="189">
        <f t="shared" si="10"/>
        <v>0</v>
      </c>
    </row>
    <row r="49" spans="2:15" ht="15">
      <c r="B49" s="50" t="s">
        <v>28</v>
      </c>
      <c r="C49" s="23"/>
      <c r="D49" s="24" t="s">
        <v>62</v>
      </c>
      <c r="E49" s="25"/>
      <c r="F49" s="180">
        <v>0.79</v>
      </c>
      <c r="G49" s="27">
        <v>1</v>
      </c>
      <c r="H49" s="28">
        <f t="shared" si="7"/>
        <v>0.79</v>
      </c>
      <c r="I49" s="29"/>
      <c r="J49" s="180">
        <v>0.79</v>
      </c>
      <c r="K49" s="27">
        <v>1</v>
      </c>
      <c r="L49" s="28">
        <f t="shared" si="8"/>
        <v>0.79</v>
      </c>
      <c r="M49" s="29"/>
      <c r="N49" s="32">
        <f t="shared" si="9"/>
        <v>0</v>
      </c>
      <c r="O49" s="33"/>
    </row>
    <row r="50" spans="2:15" ht="25.5">
      <c r="B50" s="51" t="s">
        <v>29</v>
      </c>
      <c r="C50" s="52"/>
      <c r="D50" s="52"/>
      <c r="E50" s="52"/>
      <c r="F50" s="53"/>
      <c r="G50" s="54"/>
      <c r="H50" s="55">
        <f>SUM(H42:H49)+H41</f>
        <v>17.591132</v>
      </c>
      <c r="I50" s="42"/>
      <c r="J50" s="54"/>
      <c r="K50" s="56"/>
      <c r="L50" s="55">
        <f>SUM(L42:L49)+L41</f>
        <v>14.671132000000002</v>
      </c>
      <c r="M50" s="42"/>
      <c r="N50" s="260">
        <f aca="true" t="shared" si="11" ref="N50:N68">L50-H50</f>
        <v>-2.92</v>
      </c>
      <c r="O50" s="46">
        <f aca="true" t="shared" si="12" ref="O50:O68">IF((H50)=0,"",(N50/H50))</f>
        <v>-0.1659927286089377</v>
      </c>
    </row>
    <row r="51" spans="2:15" ht="15">
      <c r="B51" s="29" t="s">
        <v>30</v>
      </c>
      <c r="C51" s="29"/>
      <c r="D51" s="57" t="s">
        <v>63</v>
      </c>
      <c r="E51" s="58"/>
      <c r="F51" s="30">
        <v>0.0067</v>
      </c>
      <c r="G51" s="59">
        <f>F18*(1+F77)</f>
        <v>103.35000000000001</v>
      </c>
      <c r="H51" s="28">
        <f>G51*F51</f>
        <v>0.6924450000000001</v>
      </c>
      <c r="I51" s="29"/>
      <c r="J51" s="187">
        <v>0.0069</v>
      </c>
      <c r="K51" s="60">
        <f>F18*(1+J77)</f>
        <v>103.35000000000001</v>
      </c>
      <c r="L51" s="28">
        <f>K51*J51</f>
        <v>0.713115</v>
      </c>
      <c r="M51" s="29"/>
      <c r="N51" s="32">
        <f t="shared" si="11"/>
        <v>0.020669999999999966</v>
      </c>
      <c r="O51" s="33">
        <f t="shared" si="12"/>
        <v>0.029850746268656664</v>
      </c>
    </row>
    <row r="52" spans="2:15" ht="30">
      <c r="B52" s="61" t="s">
        <v>31</v>
      </c>
      <c r="C52" s="29"/>
      <c r="D52" s="57" t="s">
        <v>63</v>
      </c>
      <c r="E52" s="58"/>
      <c r="F52" s="30">
        <v>0.0042</v>
      </c>
      <c r="G52" s="59">
        <f>G51</f>
        <v>103.35000000000001</v>
      </c>
      <c r="H52" s="28">
        <f>G52*F52</f>
        <v>0.43407</v>
      </c>
      <c r="I52" s="29"/>
      <c r="J52" s="187">
        <v>0.0043</v>
      </c>
      <c r="K52" s="60">
        <f>K51</f>
        <v>103.35000000000001</v>
      </c>
      <c r="L52" s="28">
        <f>K52*J52</f>
        <v>0.44440500000000005</v>
      </c>
      <c r="M52" s="29"/>
      <c r="N52" s="32">
        <f t="shared" si="11"/>
        <v>0.010335000000000039</v>
      </c>
      <c r="O52" s="33">
        <f t="shared" si="12"/>
        <v>0.0238095238095239</v>
      </c>
    </row>
    <row r="53" spans="2:15" ht="25.5">
      <c r="B53" s="51" t="s">
        <v>32</v>
      </c>
      <c r="C53" s="37"/>
      <c r="D53" s="37"/>
      <c r="E53" s="37"/>
      <c r="F53" s="62"/>
      <c r="G53" s="54"/>
      <c r="H53" s="55">
        <f>SUM(H50:H52)</f>
        <v>18.717647</v>
      </c>
      <c r="I53" s="63"/>
      <c r="J53" s="64"/>
      <c r="K53" s="65"/>
      <c r="L53" s="55">
        <f>SUM(L50:L52)</f>
        <v>15.828652000000002</v>
      </c>
      <c r="M53" s="63"/>
      <c r="N53" s="260">
        <f t="shared" si="11"/>
        <v>-2.8889949999999978</v>
      </c>
      <c r="O53" s="46">
        <f t="shared" si="12"/>
        <v>-0.15434605642472035</v>
      </c>
    </row>
    <row r="54" spans="2:15" ht="30">
      <c r="B54" s="66" t="s">
        <v>33</v>
      </c>
      <c r="C54" s="23"/>
      <c r="D54" s="24" t="s">
        <v>63</v>
      </c>
      <c r="E54" s="25"/>
      <c r="F54" s="67">
        <v>0.0044</v>
      </c>
      <c r="G54" s="59">
        <f>G52</f>
        <v>103.35000000000001</v>
      </c>
      <c r="H54" s="68">
        <f aca="true" t="shared" si="13" ref="H54:H60">G54*F54</f>
        <v>0.4547400000000001</v>
      </c>
      <c r="I54" s="29"/>
      <c r="J54" s="69">
        <v>0.0044</v>
      </c>
      <c r="K54" s="60">
        <f>K52</f>
        <v>103.35000000000001</v>
      </c>
      <c r="L54" s="68">
        <f aca="true" t="shared" si="14" ref="L54:L60">K54*J54</f>
        <v>0.4547400000000001</v>
      </c>
      <c r="M54" s="29"/>
      <c r="N54" s="32">
        <f t="shared" si="11"/>
        <v>0</v>
      </c>
      <c r="O54" s="70">
        <f t="shared" si="12"/>
        <v>0</v>
      </c>
    </row>
    <row r="55" spans="2:15" ht="30">
      <c r="B55" s="66" t="s">
        <v>34</v>
      </c>
      <c r="C55" s="23"/>
      <c r="D55" s="24" t="s">
        <v>63</v>
      </c>
      <c r="E55" s="25"/>
      <c r="F55" s="67">
        <v>0.0013</v>
      </c>
      <c r="G55" s="59">
        <f>G52</f>
        <v>103.35000000000001</v>
      </c>
      <c r="H55" s="68">
        <f t="shared" si="13"/>
        <v>0.134355</v>
      </c>
      <c r="I55" s="29"/>
      <c r="J55" s="69">
        <v>0.0013</v>
      </c>
      <c r="K55" s="60">
        <f>K52</f>
        <v>103.35000000000001</v>
      </c>
      <c r="L55" s="68">
        <f t="shared" si="14"/>
        <v>0.134355</v>
      </c>
      <c r="M55" s="29"/>
      <c r="N55" s="32">
        <f t="shared" si="11"/>
        <v>0</v>
      </c>
      <c r="O55" s="70">
        <f t="shared" si="12"/>
        <v>0</v>
      </c>
    </row>
    <row r="56" spans="2:15" ht="15">
      <c r="B56" s="23" t="s">
        <v>35</v>
      </c>
      <c r="C56" s="23"/>
      <c r="D56" s="24" t="s">
        <v>62</v>
      </c>
      <c r="E56" s="25"/>
      <c r="F56" s="178">
        <v>0.25</v>
      </c>
      <c r="G56" s="27">
        <v>1</v>
      </c>
      <c r="H56" s="68">
        <f t="shared" si="13"/>
        <v>0.25</v>
      </c>
      <c r="I56" s="29"/>
      <c r="J56" s="179">
        <v>0.25</v>
      </c>
      <c r="K56" s="31">
        <v>1</v>
      </c>
      <c r="L56" s="68">
        <f t="shared" si="14"/>
        <v>0.25</v>
      </c>
      <c r="M56" s="29"/>
      <c r="N56" s="32">
        <f t="shared" si="11"/>
        <v>0</v>
      </c>
      <c r="O56" s="70">
        <f t="shared" si="12"/>
        <v>0</v>
      </c>
    </row>
    <row r="57" spans="2:15" ht="15">
      <c r="B57" s="23" t="s">
        <v>36</v>
      </c>
      <c r="C57" s="23"/>
      <c r="D57" s="24" t="s">
        <v>63</v>
      </c>
      <c r="E57" s="25"/>
      <c r="F57" s="67">
        <v>0.007</v>
      </c>
      <c r="G57" s="71">
        <f>F18</f>
        <v>100</v>
      </c>
      <c r="H57" s="68">
        <f t="shared" si="13"/>
        <v>0.7000000000000001</v>
      </c>
      <c r="I57" s="29"/>
      <c r="J57" s="69">
        <f>0.007</f>
        <v>0.007</v>
      </c>
      <c r="K57" s="72">
        <f>F18</f>
        <v>100</v>
      </c>
      <c r="L57" s="68">
        <f t="shared" si="14"/>
        <v>0.7000000000000001</v>
      </c>
      <c r="M57" s="29"/>
      <c r="N57" s="32">
        <f t="shared" si="11"/>
        <v>0</v>
      </c>
      <c r="O57" s="70">
        <f t="shared" si="12"/>
        <v>0</v>
      </c>
    </row>
    <row r="58" spans="2:19" ht="15">
      <c r="B58" s="50" t="s">
        <v>37</v>
      </c>
      <c r="C58" s="23"/>
      <c r="D58" s="24" t="s">
        <v>63</v>
      </c>
      <c r="E58" s="25"/>
      <c r="F58" s="73">
        <v>0.067</v>
      </c>
      <c r="G58" s="71">
        <f>0.64*$F$18</f>
        <v>64</v>
      </c>
      <c r="H58" s="68">
        <f t="shared" si="13"/>
        <v>4.288</v>
      </c>
      <c r="I58" s="29"/>
      <c r="J58" s="67">
        <v>0.067</v>
      </c>
      <c r="K58" s="71">
        <f>G58</f>
        <v>64</v>
      </c>
      <c r="L58" s="68">
        <f t="shared" si="14"/>
        <v>4.288</v>
      </c>
      <c r="M58" s="29"/>
      <c r="N58" s="32">
        <f t="shared" si="11"/>
        <v>0</v>
      </c>
      <c r="O58" s="70">
        <f t="shared" si="12"/>
        <v>0</v>
      </c>
      <c r="S58" s="74"/>
    </row>
    <row r="59" spans="2:19" ht="15">
      <c r="B59" s="50" t="s">
        <v>38</v>
      </c>
      <c r="C59" s="23"/>
      <c r="D59" s="24" t="s">
        <v>63</v>
      </c>
      <c r="E59" s="25"/>
      <c r="F59" s="73">
        <v>0.104</v>
      </c>
      <c r="G59" s="71">
        <f>0.18*$F$18</f>
        <v>18</v>
      </c>
      <c r="H59" s="68">
        <f t="shared" si="13"/>
        <v>1.8719999999999999</v>
      </c>
      <c r="I59" s="29"/>
      <c r="J59" s="67">
        <v>0.104</v>
      </c>
      <c r="K59" s="71">
        <f>G59</f>
        <v>18</v>
      </c>
      <c r="L59" s="68">
        <f t="shared" si="14"/>
        <v>1.8719999999999999</v>
      </c>
      <c r="M59" s="29"/>
      <c r="N59" s="32">
        <f t="shared" si="11"/>
        <v>0</v>
      </c>
      <c r="O59" s="70">
        <f t="shared" si="12"/>
        <v>0</v>
      </c>
      <c r="S59" s="74"/>
    </row>
    <row r="60" spans="2:19" ht="15">
      <c r="B60" s="13" t="s">
        <v>39</v>
      </c>
      <c r="C60" s="23"/>
      <c r="D60" s="24" t="s">
        <v>63</v>
      </c>
      <c r="E60" s="25"/>
      <c r="F60" s="73">
        <v>0.124</v>
      </c>
      <c r="G60" s="71">
        <f>0.18*$F$18</f>
        <v>18</v>
      </c>
      <c r="H60" s="68">
        <f t="shared" si="13"/>
        <v>2.232</v>
      </c>
      <c r="I60" s="29"/>
      <c r="J60" s="67">
        <v>0.124</v>
      </c>
      <c r="K60" s="71">
        <f>G60</f>
        <v>18</v>
      </c>
      <c r="L60" s="68">
        <f t="shared" si="14"/>
        <v>2.232</v>
      </c>
      <c r="M60" s="29"/>
      <c r="N60" s="32">
        <f t="shared" si="11"/>
        <v>0</v>
      </c>
      <c r="O60" s="70">
        <f t="shared" si="12"/>
        <v>0</v>
      </c>
      <c r="S60" s="74"/>
    </row>
    <row r="61" spans="2:15" s="75" customFormat="1" ht="15">
      <c r="B61" s="76" t="s">
        <v>40</v>
      </c>
      <c r="C61" s="77"/>
      <c r="D61" s="78" t="s">
        <v>63</v>
      </c>
      <c r="E61" s="79"/>
      <c r="F61" s="73">
        <v>0.075</v>
      </c>
      <c r="G61" s="80">
        <f>IF(AND($T$1=1,F18&gt;=600),600,IF(AND($T$1=1,AND(F18&lt;600,F18&gt;=0)),F18,IF(AND($T$1=2,F18&gt;=1000),1000,IF(AND($T$1=2,AND(F18&lt;1000,F18&gt;=0)),F18))))</f>
        <v>100</v>
      </c>
      <c r="H61" s="68">
        <f>G61*F61</f>
        <v>7.5</v>
      </c>
      <c r="I61" s="81"/>
      <c r="J61" s="67">
        <v>0.075</v>
      </c>
      <c r="K61" s="80">
        <f>G61</f>
        <v>100</v>
      </c>
      <c r="L61" s="68">
        <f>K61*J61</f>
        <v>7.5</v>
      </c>
      <c r="M61" s="81"/>
      <c r="N61" s="82">
        <f t="shared" si="11"/>
        <v>0</v>
      </c>
      <c r="O61" s="70">
        <f t="shared" si="12"/>
        <v>0</v>
      </c>
    </row>
    <row r="62" spans="2:15" s="75" customFormat="1" ht="15.75" thickBot="1">
      <c r="B62" s="76" t="s">
        <v>41</v>
      </c>
      <c r="C62" s="77"/>
      <c r="D62" s="78" t="s">
        <v>63</v>
      </c>
      <c r="E62" s="79"/>
      <c r="F62" s="73">
        <v>0.088</v>
      </c>
      <c r="G62" s="80">
        <f>IF(AND($T$1=1,F18&gt;=600),F18-600,IF(AND($T$1=1,AND(F18&lt;600,F18&gt;=0)),0,IF(AND($T$1=2,F18&gt;=1000),F18-1000,IF(AND($T$1=2,AND(F18&lt;1000,F18&gt;=0)),0))))</f>
        <v>0</v>
      </c>
      <c r="H62" s="68">
        <f>G62*F62</f>
        <v>0</v>
      </c>
      <c r="I62" s="81"/>
      <c r="J62" s="67">
        <v>0.088</v>
      </c>
      <c r="K62" s="80">
        <f>G62</f>
        <v>0</v>
      </c>
      <c r="L62" s="68">
        <f>K62*J62</f>
        <v>0</v>
      </c>
      <c r="M62" s="81"/>
      <c r="N62" s="82">
        <f t="shared" si="11"/>
        <v>0</v>
      </c>
      <c r="O62" s="70">
        <f t="shared" si="12"/>
      </c>
    </row>
    <row r="63" spans="2:15" ht="8.25" customHeight="1" thickBot="1">
      <c r="B63" s="83"/>
      <c r="C63" s="84"/>
      <c r="D63" s="85"/>
      <c r="E63" s="84"/>
      <c r="F63" s="86"/>
      <c r="G63" s="87"/>
      <c r="H63" s="88"/>
      <c r="I63" s="89"/>
      <c r="J63" s="86"/>
      <c r="K63" s="90"/>
      <c r="L63" s="88"/>
      <c r="M63" s="89"/>
      <c r="N63" s="91"/>
      <c r="O63" s="92"/>
    </row>
    <row r="64" spans="2:19" ht="15">
      <c r="B64" s="93" t="s">
        <v>42</v>
      </c>
      <c r="C64" s="23"/>
      <c r="D64" s="23"/>
      <c r="E64" s="23"/>
      <c r="F64" s="94"/>
      <c r="G64" s="95"/>
      <c r="H64" s="96">
        <f>SUM(H54:H60,H53)</f>
        <v>28.648742</v>
      </c>
      <c r="I64" s="97"/>
      <c r="J64" s="98"/>
      <c r="K64" s="98"/>
      <c r="L64" s="192">
        <f>SUM(L54:L60,L53)</f>
        <v>25.759747</v>
      </c>
      <c r="M64" s="99"/>
      <c r="N64" s="266">
        <f>L64-H64</f>
        <v>-2.8889949999999978</v>
      </c>
      <c r="O64" s="101">
        <f>IF((H64)=0,"",(N64/H64))</f>
        <v>-0.10084194970934493</v>
      </c>
      <c r="S64" s="74"/>
    </row>
    <row r="65" spans="2:19" ht="15">
      <c r="B65" s="102" t="s">
        <v>43</v>
      </c>
      <c r="C65" s="23"/>
      <c r="D65" s="23"/>
      <c r="E65" s="23"/>
      <c r="F65" s="103">
        <v>0.13</v>
      </c>
      <c r="G65" s="104"/>
      <c r="H65" s="105">
        <f>H64*F65</f>
        <v>3.72433646</v>
      </c>
      <c r="I65" s="106"/>
      <c r="J65" s="107">
        <v>0.13</v>
      </c>
      <c r="K65" s="106"/>
      <c r="L65" s="108">
        <f>L64*J65</f>
        <v>3.3487671100000003</v>
      </c>
      <c r="M65" s="109"/>
      <c r="N65" s="267">
        <f t="shared" si="11"/>
        <v>-0.3755693499999997</v>
      </c>
      <c r="O65" s="111">
        <f t="shared" si="12"/>
        <v>-0.10084194970934492</v>
      </c>
      <c r="S65" s="74"/>
    </row>
    <row r="66" spans="2:19" ht="15">
      <c r="B66" s="112" t="s">
        <v>44</v>
      </c>
      <c r="C66" s="23"/>
      <c r="D66" s="23"/>
      <c r="E66" s="23"/>
      <c r="F66" s="113"/>
      <c r="G66" s="104"/>
      <c r="H66" s="105">
        <f>H64+H65</f>
        <v>32.37307846</v>
      </c>
      <c r="I66" s="106"/>
      <c r="J66" s="106"/>
      <c r="K66" s="106"/>
      <c r="L66" s="108">
        <f>L64+L65</f>
        <v>29.10851411</v>
      </c>
      <c r="M66" s="109"/>
      <c r="N66" s="267">
        <f t="shared" si="11"/>
        <v>-3.2645643500000006</v>
      </c>
      <c r="O66" s="111">
        <f t="shared" si="12"/>
        <v>-0.10084194970934501</v>
      </c>
      <c r="S66" s="74"/>
    </row>
    <row r="67" spans="2:15" ht="15.75" customHeight="1">
      <c r="B67" s="333" t="s">
        <v>45</v>
      </c>
      <c r="C67" s="333"/>
      <c r="D67" s="333"/>
      <c r="E67" s="23"/>
      <c r="F67" s="113"/>
      <c r="G67" s="104"/>
      <c r="H67" s="263">
        <f>ROUND(-H66*10%,2)</f>
        <v>-3.24</v>
      </c>
      <c r="I67" s="106"/>
      <c r="J67" s="106"/>
      <c r="K67" s="106"/>
      <c r="L67" s="264">
        <f>ROUND(-L66*10%,2)</f>
        <v>-2.91</v>
      </c>
      <c r="M67" s="109"/>
      <c r="N67" s="265">
        <f t="shared" si="11"/>
        <v>0.33000000000000007</v>
      </c>
      <c r="O67" s="117">
        <f t="shared" si="12"/>
        <v>-0.10185185185185187</v>
      </c>
    </row>
    <row r="68" spans="2:15" ht="15.75" thickBot="1">
      <c r="B68" s="334" t="s">
        <v>46</v>
      </c>
      <c r="C68" s="334"/>
      <c r="D68" s="334"/>
      <c r="E68" s="118"/>
      <c r="F68" s="119"/>
      <c r="G68" s="120"/>
      <c r="H68" s="121">
        <f>H66+H67</f>
        <v>29.13307846</v>
      </c>
      <c r="I68" s="122"/>
      <c r="J68" s="122"/>
      <c r="K68" s="122"/>
      <c r="L68" s="123">
        <f>L66+L67</f>
        <v>26.19851411</v>
      </c>
      <c r="M68" s="124"/>
      <c r="N68" s="268">
        <f t="shared" si="11"/>
        <v>-2.9345643499999987</v>
      </c>
      <c r="O68" s="126">
        <f t="shared" si="12"/>
        <v>-0.10072963466697088</v>
      </c>
    </row>
    <row r="69" spans="2:15" s="75" customFormat="1" ht="8.25" customHeight="1" thickBot="1">
      <c r="B69" s="127"/>
      <c r="C69" s="128"/>
      <c r="D69" s="129"/>
      <c r="E69" s="128"/>
      <c r="F69" s="86"/>
      <c r="G69" s="130"/>
      <c r="H69" s="88"/>
      <c r="I69" s="131"/>
      <c r="J69" s="86"/>
      <c r="K69" s="132"/>
      <c r="L69" s="88"/>
      <c r="M69" s="131"/>
      <c r="N69" s="133"/>
      <c r="O69" s="92"/>
    </row>
    <row r="70" spans="2:15" s="75" customFormat="1" ht="12.75">
      <c r="B70" s="134" t="s">
        <v>47</v>
      </c>
      <c r="C70" s="77"/>
      <c r="D70" s="77"/>
      <c r="E70" s="77"/>
      <c r="F70" s="135"/>
      <c r="G70" s="136"/>
      <c r="H70" s="137">
        <f>SUM(H61:H62,H53,H54:H57)</f>
        <v>27.756742</v>
      </c>
      <c r="I70" s="138"/>
      <c r="J70" s="139"/>
      <c r="K70" s="139"/>
      <c r="L70" s="191">
        <f>SUM(L61:L62,L53,L54:L57)</f>
        <v>24.867747</v>
      </c>
      <c r="M70" s="140"/>
      <c r="N70" s="269">
        <f>L70-H70</f>
        <v>-2.8889949999999978</v>
      </c>
      <c r="O70" s="101">
        <f>IF((H70)=0,"",(N70/H70))</f>
        <v>-0.10408264053468515</v>
      </c>
    </row>
    <row r="71" spans="2:15" s="75" customFormat="1" ht="12.75">
      <c r="B71" s="142" t="s">
        <v>43</v>
      </c>
      <c r="C71" s="77"/>
      <c r="D71" s="77"/>
      <c r="E71" s="77"/>
      <c r="F71" s="143">
        <v>0.13</v>
      </c>
      <c r="G71" s="136"/>
      <c r="H71" s="144">
        <f>H70*F71</f>
        <v>3.60837646</v>
      </c>
      <c r="I71" s="145"/>
      <c r="J71" s="146">
        <v>0.13</v>
      </c>
      <c r="K71" s="147"/>
      <c r="L71" s="148">
        <f>L70*J71</f>
        <v>3.2328071100000004</v>
      </c>
      <c r="M71" s="149"/>
      <c r="N71" s="270">
        <f>L71-H71</f>
        <v>-0.3755693499999997</v>
      </c>
      <c r="O71" s="111">
        <f>IF((H71)=0,"",(N71/H71))</f>
        <v>-0.10408264053468515</v>
      </c>
    </row>
    <row r="72" spans="2:15" s="75" customFormat="1" ht="12.75">
      <c r="B72" s="151" t="s">
        <v>44</v>
      </c>
      <c r="C72" s="77"/>
      <c r="D72" s="77"/>
      <c r="E72" s="77"/>
      <c r="F72" s="152"/>
      <c r="G72" s="153"/>
      <c r="H72" s="144">
        <f>H70+H71</f>
        <v>31.365118459999998</v>
      </c>
      <c r="I72" s="145"/>
      <c r="J72" s="145"/>
      <c r="K72" s="145"/>
      <c r="L72" s="148">
        <f>L70+L71</f>
        <v>28.10055411</v>
      </c>
      <c r="M72" s="149"/>
      <c r="N72" s="270">
        <f>L72-H72</f>
        <v>-3.264564349999997</v>
      </c>
      <c r="O72" s="111">
        <f>IF((H72)=0,"",(N72/H72))</f>
        <v>-0.10408264053468515</v>
      </c>
    </row>
    <row r="73" spans="2:15" s="75" customFormat="1" ht="15.75" customHeight="1">
      <c r="B73" s="335" t="s">
        <v>45</v>
      </c>
      <c r="C73" s="335"/>
      <c r="D73" s="335"/>
      <c r="E73" s="77"/>
      <c r="F73" s="152"/>
      <c r="G73" s="153"/>
      <c r="H73" s="256">
        <f>ROUND(-H72*10%,2)</f>
        <v>-3.14</v>
      </c>
      <c r="I73" s="145"/>
      <c r="J73" s="145"/>
      <c r="K73" s="145"/>
      <c r="L73" s="257">
        <f>ROUND(-L72*10%,2)</f>
        <v>-2.81</v>
      </c>
      <c r="M73" s="149"/>
      <c r="N73" s="156">
        <f>L73-H73</f>
        <v>0.33000000000000007</v>
      </c>
      <c r="O73" s="117">
        <f>IF((H73)=0,"",(N73/H73))</f>
        <v>-0.1050955414012739</v>
      </c>
    </row>
    <row r="74" spans="2:15" s="75" customFormat="1" ht="13.5" thickBot="1">
      <c r="B74" s="326" t="s">
        <v>48</v>
      </c>
      <c r="C74" s="326"/>
      <c r="D74" s="326"/>
      <c r="E74" s="157"/>
      <c r="F74" s="158"/>
      <c r="G74" s="159"/>
      <c r="H74" s="160">
        <f>SUM(H72:H73)</f>
        <v>28.225118459999997</v>
      </c>
      <c r="I74" s="161"/>
      <c r="J74" s="161"/>
      <c r="K74" s="161"/>
      <c r="L74" s="162">
        <f>SUM(L72:L73)</f>
        <v>25.290554110000002</v>
      </c>
      <c r="M74" s="163"/>
      <c r="N74" s="271">
        <f>L74-H74</f>
        <v>-2.934564349999995</v>
      </c>
      <c r="O74" s="165">
        <f>IF((H74)=0,"",(N74/H74))</f>
        <v>-0.10396995690766697</v>
      </c>
    </row>
    <row r="75" spans="2:15" s="75" customFormat="1" ht="8.25" customHeight="1" thickBot="1">
      <c r="B75" s="127"/>
      <c r="C75" s="128"/>
      <c r="D75" s="129"/>
      <c r="E75" s="128"/>
      <c r="F75" s="166"/>
      <c r="G75" s="167"/>
      <c r="H75" s="168"/>
      <c r="I75" s="169"/>
      <c r="J75" s="166"/>
      <c r="K75" s="130"/>
      <c r="L75" s="170"/>
      <c r="M75" s="131"/>
      <c r="N75" s="171"/>
      <c r="O75" s="92"/>
    </row>
    <row r="76" ht="10.5" customHeight="1">
      <c r="L76" s="74"/>
    </row>
    <row r="77" spans="2:10" ht="15">
      <c r="B77" s="14" t="s">
        <v>49</v>
      </c>
      <c r="F77" s="172">
        <v>0.0335</v>
      </c>
      <c r="J77" s="172">
        <v>0.0335</v>
      </c>
    </row>
    <row r="78" ht="10.5" customHeight="1"/>
    <row r="79" ht="15">
      <c r="A79" s="173" t="s">
        <v>50</v>
      </c>
    </row>
    <row r="80" ht="10.5" customHeight="1"/>
    <row r="81" ht="15">
      <c r="A81" s="8" t="s">
        <v>51</v>
      </c>
    </row>
    <row r="82" ht="15">
      <c r="A82" s="8" t="s">
        <v>52</v>
      </c>
    </row>
    <row r="84" ht="15">
      <c r="A84" s="13" t="s">
        <v>53</v>
      </c>
    </row>
    <row r="85" ht="15">
      <c r="A85" s="13" t="s">
        <v>54</v>
      </c>
    </row>
    <row r="87" ht="15">
      <c r="A87" s="8" t="s">
        <v>55</v>
      </c>
    </row>
    <row r="88" ht="15">
      <c r="A88" s="8" t="s">
        <v>56</v>
      </c>
    </row>
    <row r="89" ht="15">
      <c r="A89" s="8" t="s">
        <v>57</v>
      </c>
    </row>
    <row r="90" ht="15">
      <c r="A90" s="8" t="s">
        <v>58</v>
      </c>
    </row>
    <row r="91" ht="15">
      <c r="A91" s="8" t="s">
        <v>59</v>
      </c>
    </row>
    <row r="93" spans="1:2" ht="15">
      <c r="A93" s="174"/>
      <c r="B93" s="8" t="s">
        <v>60</v>
      </c>
    </row>
  </sheetData>
  <sheetProtection/>
  <mergeCells count="20">
    <mergeCell ref="N1:O1"/>
    <mergeCell ref="N2:O2"/>
    <mergeCell ref="N3:O3"/>
    <mergeCell ref="N4:O4"/>
    <mergeCell ref="N5:O5"/>
    <mergeCell ref="N7:O7"/>
    <mergeCell ref="A3:K3"/>
    <mergeCell ref="B10:O10"/>
    <mergeCell ref="B11:O11"/>
    <mergeCell ref="D14:O14"/>
    <mergeCell ref="F20:H20"/>
    <mergeCell ref="J20:L20"/>
    <mergeCell ref="N20:O20"/>
    <mergeCell ref="B74:D74"/>
    <mergeCell ref="D21:D22"/>
    <mergeCell ref="N21:N22"/>
    <mergeCell ref="O21:O22"/>
    <mergeCell ref="B67:D67"/>
    <mergeCell ref="B68:D68"/>
    <mergeCell ref="B73:D73"/>
  </mergeCells>
  <dataValidations count="4">
    <dataValidation type="list" allowBlank="1" showInputMessage="1" showErrorMessage="1" sqref="D16">
      <formula1>"TOU, non-TOU"</formula1>
    </dataValidation>
    <dataValidation type="list" allowBlank="1" showInputMessage="1" showErrorMessage="1" sqref="E75 E69 E61:E62">
      <formula1>'Res (100kWh)'!#REF!</formula1>
    </dataValidation>
    <dataValidation type="list" allowBlank="1" showInputMessage="1" showErrorMessage="1" prompt="Select Charge Unit - monthly, per kWh, per kW" sqref="D51:D52 D69 D75 D54:D63 D42:D49 D23:D40">
      <formula1>"Monthly, per kWh, per kW"</formula1>
    </dataValidation>
    <dataValidation type="list" allowBlank="1" showInputMessage="1" showErrorMessage="1" sqref="E51:E52 E54:E60 E63 E42:E49 E23:E40">
      <formula1>'Res (100kWh)'!#REF!</formula1>
    </dataValidation>
  </dataValidations>
  <printOptions/>
  <pageMargins left="0.7" right="0.7" top="0.75" bottom="0.75" header="0.3" footer="0.3"/>
  <pageSetup fitToHeight="1" fitToWidth="1" horizontalDpi="600" verticalDpi="600" orientation="portrait" scale="5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93"/>
  <sheetViews>
    <sheetView showGridLines="0" zoomScalePageLayoutView="0" workbookViewId="0" topLeftCell="A18">
      <selection activeCell="J43" sqref="J43"/>
    </sheetView>
  </sheetViews>
  <sheetFormatPr defaultColWidth="9.140625" defaultRowHeight="15"/>
  <cols>
    <col min="1" max="1" width="2.140625" style="8" customWidth="1"/>
    <col min="2" max="2" width="44.5742187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8.57421875" style="8" customWidth="1"/>
    <col min="8" max="8" width="9.7109375" style="8" customWidth="1"/>
    <col min="9" max="9" width="2.8515625" style="8" customWidth="1"/>
    <col min="10" max="10" width="12.140625" style="8" customWidth="1"/>
    <col min="11" max="11" width="8.57421875" style="8" customWidth="1"/>
    <col min="12" max="12" width="9.7109375" style="8" customWidth="1"/>
    <col min="13" max="13" width="2.8515625" style="8" customWidth="1"/>
    <col min="14" max="14" width="12.7109375" style="8" bestFit="1" customWidth="1"/>
    <col min="15" max="15" width="10.8515625" style="8" bestFit="1" customWidth="1"/>
    <col min="16" max="16" width="6.2812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42" t="str">
        <f>EBNUMBER</f>
        <v>EB-2013-0116</v>
      </c>
      <c r="O1" s="342"/>
      <c r="T1" s="2">
        <v>1</v>
      </c>
    </row>
    <row r="2" spans="1:15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343">
        <v>8</v>
      </c>
      <c r="O2" s="343"/>
    </row>
    <row r="3" spans="1:15" s="2" customFormat="1" ht="15" customHeight="1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" t="s">
        <v>79</v>
      </c>
      <c r="N3" s="344" t="s">
        <v>80</v>
      </c>
      <c r="O3" s="344"/>
    </row>
    <row r="4" spans="1:15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343">
        <v>2</v>
      </c>
      <c r="O4" s="343"/>
    </row>
    <row r="5" spans="3:15" s="2" customFormat="1" ht="15" customHeight="1">
      <c r="C5" s="7"/>
      <c r="D5" s="7"/>
      <c r="E5" s="7"/>
      <c r="L5" s="3" t="s">
        <v>81</v>
      </c>
      <c r="N5" s="345" t="s">
        <v>85</v>
      </c>
      <c r="O5" s="345"/>
    </row>
    <row r="6" spans="12:15" s="2" customFormat="1" ht="9" customHeight="1">
      <c r="L6" s="3"/>
      <c r="N6" s="4"/>
      <c r="O6" s="193"/>
    </row>
    <row r="7" spans="12:15" s="2" customFormat="1" ht="15">
      <c r="L7" s="3" t="s">
        <v>83</v>
      </c>
      <c r="N7" s="346">
        <v>41575</v>
      </c>
      <c r="O7" s="346"/>
    </row>
    <row r="8" spans="14:16" s="2" customFormat="1" ht="15" customHeight="1">
      <c r="N8" s="8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337" t="s">
        <v>3</v>
      </c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/>
    </row>
    <row r="11" spans="2:16" ht="18.75" customHeight="1">
      <c r="B11" s="337" t="s">
        <v>4</v>
      </c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338" t="s">
        <v>61</v>
      </c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7" ht="15">
      <c r="B18" s="13"/>
      <c r="D18" s="14" t="s">
        <v>8</v>
      </c>
      <c r="E18" s="14"/>
      <c r="F18" s="15">
        <v>250</v>
      </c>
      <c r="G18" s="14" t="s">
        <v>9</v>
      </c>
    </row>
    <row r="19" ht="15">
      <c r="B19" s="13"/>
    </row>
    <row r="20" spans="2:15" ht="15">
      <c r="B20" s="13"/>
      <c r="D20" s="16"/>
      <c r="E20" s="16"/>
      <c r="F20" s="339" t="s">
        <v>10</v>
      </c>
      <c r="G20" s="340"/>
      <c r="H20" s="341"/>
      <c r="J20" s="339" t="s">
        <v>11</v>
      </c>
      <c r="K20" s="340"/>
      <c r="L20" s="341"/>
      <c r="N20" s="339" t="s">
        <v>12</v>
      </c>
      <c r="O20" s="341"/>
    </row>
    <row r="21" spans="2:15" ht="15">
      <c r="B21" s="13"/>
      <c r="D21" s="327" t="s">
        <v>13</v>
      </c>
      <c r="E21" s="17"/>
      <c r="F21" s="18" t="s">
        <v>14</v>
      </c>
      <c r="G21" s="18" t="s">
        <v>15</v>
      </c>
      <c r="H21" s="19" t="s">
        <v>16</v>
      </c>
      <c r="J21" s="18" t="s">
        <v>14</v>
      </c>
      <c r="K21" s="20" t="s">
        <v>15</v>
      </c>
      <c r="L21" s="19" t="s">
        <v>16</v>
      </c>
      <c r="N21" s="329" t="s">
        <v>17</v>
      </c>
      <c r="O21" s="331" t="s">
        <v>18</v>
      </c>
    </row>
    <row r="22" spans="2:15" ht="15">
      <c r="B22" s="13"/>
      <c r="D22" s="328"/>
      <c r="E22" s="17"/>
      <c r="F22" s="21" t="s">
        <v>19</v>
      </c>
      <c r="G22" s="21"/>
      <c r="H22" s="22" t="s">
        <v>19</v>
      </c>
      <c r="J22" s="21" t="s">
        <v>19</v>
      </c>
      <c r="K22" s="22"/>
      <c r="L22" s="22" t="s">
        <v>19</v>
      </c>
      <c r="N22" s="330"/>
      <c r="O22" s="332"/>
    </row>
    <row r="23" spans="2:15" ht="22.5" customHeight="1">
      <c r="B23" s="23" t="s">
        <v>20</v>
      </c>
      <c r="C23" s="23"/>
      <c r="D23" s="24" t="s">
        <v>62</v>
      </c>
      <c r="E23" s="25"/>
      <c r="F23" s="176">
        <f>'Res (100kWh)'!F23</f>
        <v>11</v>
      </c>
      <c r="G23" s="27">
        <v>1</v>
      </c>
      <c r="H23" s="28">
        <f>G23*F23</f>
        <v>11</v>
      </c>
      <c r="I23" s="29"/>
      <c r="J23" s="175">
        <f>'Res (100kWh)'!J23</f>
        <v>11.15</v>
      </c>
      <c r="K23" s="31">
        <v>1</v>
      </c>
      <c r="L23" s="28">
        <f>K23*J23</f>
        <v>11.15</v>
      </c>
      <c r="M23" s="29"/>
      <c r="N23" s="32">
        <f>L23-H23</f>
        <v>0.15000000000000036</v>
      </c>
      <c r="O23" s="33">
        <f>IF((H23)=0,"",(N23/H23))</f>
        <v>0.013636363636363669</v>
      </c>
    </row>
    <row r="24" spans="2:15" ht="22.5" customHeight="1">
      <c r="B24" s="23" t="s">
        <v>102</v>
      </c>
      <c r="C24" s="23"/>
      <c r="D24" s="24" t="s">
        <v>62</v>
      </c>
      <c r="E24" s="25"/>
      <c r="F24" s="255">
        <f>'Res (100kWh)'!F24</f>
        <v>0</v>
      </c>
      <c r="G24" s="27">
        <v>1</v>
      </c>
      <c r="H24" s="249">
        <f>G24*F24</f>
        <v>0</v>
      </c>
      <c r="I24" s="29"/>
      <c r="J24" s="175">
        <f>'Res (100kWh)'!J24</f>
        <v>0</v>
      </c>
      <c r="K24" s="31">
        <v>1</v>
      </c>
      <c r="L24" s="28">
        <f>K24*J24</f>
        <v>0</v>
      </c>
      <c r="M24" s="29"/>
      <c r="N24" s="32">
        <f>L24-H24</f>
        <v>0</v>
      </c>
      <c r="O24" s="33">
        <f>IF((H24)=0,"",(N24/H24))</f>
      </c>
    </row>
    <row r="25" spans="2:15" ht="24.75" customHeight="1">
      <c r="B25" s="66" t="s">
        <v>125</v>
      </c>
      <c r="C25" s="23"/>
      <c r="D25" s="57" t="s">
        <v>62</v>
      </c>
      <c r="E25" s="25"/>
      <c r="F25" s="272">
        <v>0</v>
      </c>
      <c r="G25" s="27">
        <v>1</v>
      </c>
      <c r="H25" s="249">
        <f>G25*F25</f>
        <v>0</v>
      </c>
      <c r="I25" s="29"/>
      <c r="J25" s="30">
        <f>'Res (100kWh)'!J25</f>
        <v>0.79</v>
      </c>
      <c r="K25" s="31">
        <v>1</v>
      </c>
      <c r="L25" s="249">
        <f>K25*J25</f>
        <v>0.79</v>
      </c>
      <c r="M25" s="29"/>
      <c r="N25" s="32">
        <f>L25-H25</f>
        <v>0.79</v>
      </c>
      <c r="O25" s="250">
        <f>IF((H25)=0,"",(N25/H25))</f>
      </c>
    </row>
    <row r="26" spans="2:15" ht="36.75" customHeight="1">
      <c r="B26" s="177" t="s">
        <v>64</v>
      </c>
      <c r="C26" s="23"/>
      <c r="D26" s="57" t="s">
        <v>62</v>
      </c>
      <c r="E26" s="58"/>
      <c r="F26" s="175">
        <v>0</v>
      </c>
      <c r="G26" s="27">
        <v>1</v>
      </c>
      <c r="H26" s="28">
        <f aca="true" t="shared" si="0" ref="H26:H40">G26*F26</f>
        <v>0</v>
      </c>
      <c r="I26" s="29"/>
      <c r="J26" s="30"/>
      <c r="K26" s="31">
        <v>1</v>
      </c>
      <c r="L26" s="28">
        <f aca="true" t="shared" si="1" ref="L26:L40">K26*J26</f>
        <v>0</v>
      </c>
      <c r="M26" s="29"/>
      <c r="N26" s="32">
        <f aca="true" t="shared" si="2" ref="N26:N68">L26-H26</f>
        <v>0</v>
      </c>
      <c r="O26" s="33">
        <f aca="true" t="shared" si="3" ref="O26:O48">IF((H26)=0,"",(N26/H26))</f>
      </c>
    </row>
    <row r="27" spans="2:15" ht="15">
      <c r="B27" s="177" t="s">
        <v>65</v>
      </c>
      <c r="C27" s="23"/>
      <c r="D27" s="24" t="s">
        <v>62</v>
      </c>
      <c r="E27" s="25"/>
      <c r="F27" s="26">
        <f>'Res (100kWh)'!F27</f>
        <v>4.33</v>
      </c>
      <c r="G27" s="27">
        <v>1</v>
      </c>
      <c r="H27" s="28">
        <f t="shared" si="0"/>
        <v>4.33</v>
      </c>
      <c r="I27" s="29"/>
      <c r="J27" s="175">
        <v>0</v>
      </c>
      <c r="K27" s="31">
        <v>1</v>
      </c>
      <c r="L27" s="28">
        <f t="shared" si="1"/>
        <v>0</v>
      </c>
      <c r="M27" s="29"/>
      <c r="N27" s="259">
        <f t="shared" si="2"/>
        <v>-4.33</v>
      </c>
      <c r="O27" s="33">
        <f t="shared" si="3"/>
        <v>-1</v>
      </c>
    </row>
    <row r="28" spans="2:15" ht="15">
      <c r="B28" s="47" t="s">
        <v>66</v>
      </c>
      <c r="C28" s="23"/>
      <c r="D28" s="24" t="s">
        <v>63</v>
      </c>
      <c r="E28" s="25"/>
      <c r="F28" s="26">
        <v>0</v>
      </c>
      <c r="G28" s="27">
        <f aca="true" t="shared" si="4" ref="G28:G33">$F$18</f>
        <v>250</v>
      </c>
      <c r="H28" s="28">
        <f t="shared" si="0"/>
        <v>0</v>
      </c>
      <c r="I28" s="29"/>
      <c r="J28" s="175"/>
      <c r="K28" s="27">
        <f>$F$18</f>
        <v>250</v>
      </c>
      <c r="L28" s="28">
        <f t="shared" si="1"/>
        <v>0</v>
      </c>
      <c r="M28" s="29"/>
      <c r="N28" s="32">
        <f t="shared" si="2"/>
        <v>0</v>
      </c>
      <c r="O28" s="33">
        <f t="shared" si="3"/>
      </c>
    </row>
    <row r="29" spans="2:15" ht="15">
      <c r="B29" s="47" t="s">
        <v>67</v>
      </c>
      <c r="C29" s="23"/>
      <c r="D29" s="24" t="s">
        <v>63</v>
      </c>
      <c r="E29" s="25"/>
      <c r="F29" s="253">
        <f>'Res (100kWh)'!F29</f>
        <v>-0.004</v>
      </c>
      <c r="G29" s="27">
        <f t="shared" si="4"/>
        <v>250</v>
      </c>
      <c r="H29" s="28">
        <f t="shared" si="0"/>
        <v>-1</v>
      </c>
      <c r="I29" s="29"/>
      <c r="J29" s="30">
        <f>'Res (100kWh)'!J29</f>
        <v>0</v>
      </c>
      <c r="K29" s="27">
        <f>$F$18</f>
        <v>250</v>
      </c>
      <c r="L29" s="28">
        <f t="shared" si="1"/>
        <v>0</v>
      </c>
      <c r="M29" s="29"/>
      <c r="N29" s="32">
        <f t="shared" si="2"/>
        <v>1</v>
      </c>
      <c r="O29" s="33">
        <f t="shared" si="3"/>
        <v>-1</v>
      </c>
    </row>
    <row r="30" spans="2:15" ht="15">
      <c r="B30" s="47" t="s">
        <v>103</v>
      </c>
      <c r="C30" s="23"/>
      <c r="D30" s="24" t="s">
        <v>63</v>
      </c>
      <c r="E30" s="25"/>
      <c r="F30" s="26">
        <f>'Res (100kWh)'!F30</f>
        <v>0</v>
      </c>
      <c r="G30" s="27">
        <f t="shared" si="4"/>
        <v>250</v>
      </c>
      <c r="H30" s="249">
        <f t="shared" si="0"/>
        <v>0</v>
      </c>
      <c r="I30" s="29"/>
      <c r="J30" s="30">
        <f>'Res (100kWh)'!J30</f>
        <v>0</v>
      </c>
      <c r="K30" s="27">
        <f>$F$18</f>
        <v>250</v>
      </c>
      <c r="L30" s="249">
        <f>K30*J30</f>
        <v>0</v>
      </c>
      <c r="M30" s="29"/>
      <c r="N30" s="259">
        <f>L30-H30</f>
        <v>0</v>
      </c>
      <c r="O30" s="250">
        <f>IF((H30)=0,"",(N30/H30))</f>
      </c>
    </row>
    <row r="31" spans="2:15" ht="15">
      <c r="B31" s="23" t="s">
        <v>21</v>
      </c>
      <c r="C31" s="23"/>
      <c r="D31" s="24" t="s">
        <v>63</v>
      </c>
      <c r="E31" s="25"/>
      <c r="F31" s="26">
        <f>'Res (100kWh)'!F31</f>
        <v>0.0178</v>
      </c>
      <c r="G31" s="27">
        <f t="shared" si="4"/>
        <v>250</v>
      </c>
      <c r="H31" s="28">
        <f t="shared" si="0"/>
        <v>4.45</v>
      </c>
      <c r="I31" s="29"/>
      <c r="J31" s="30">
        <f>'Res (100kWh)'!J31</f>
        <v>0.018</v>
      </c>
      <c r="K31" s="27">
        <f>$F$18</f>
        <v>250</v>
      </c>
      <c r="L31" s="28">
        <f t="shared" si="1"/>
        <v>4.5</v>
      </c>
      <c r="M31" s="29"/>
      <c r="N31" s="32">
        <f t="shared" si="2"/>
        <v>0.04999999999999982</v>
      </c>
      <c r="O31" s="33">
        <f t="shared" si="3"/>
        <v>0.011235955056179735</v>
      </c>
    </row>
    <row r="32" spans="2:15" ht="15">
      <c r="B32" s="23" t="s">
        <v>22</v>
      </c>
      <c r="C32" s="23"/>
      <c r="D32" s="24"/>
      <c r="E32" s="25"/>
      <c r="F32" s="26"/>
      <c r="G32" s="27">
        <f t="shared" si="4"/>
        <v>250</v>
      </c>
      <c r="H32" s="28">
        <f t="shared" si="0"/>
        <v>0</v>
      </c>
      <c r="I32" s="29"/>
      <c r="J32" s="30"/>
      <c r="K32" s="27">
        <f aca="true" t="shared" si="5" ref="K32:K40">$F$18</f>
        <v>250</v>
      </c>
      <c r="L32" s="28">
        <f t="shared" si="1"/>
        <v>0</v>
      </c>
      <c r="M32" s="29"/>
      <c r="N32" s="32">
        <f t="shared" si="2"/>
        <v>0</v>
      </c>
      <c r="O32" s="33">
        <f t="shared" si="3"/>
      </c>
    </row>
    <row r="33" spans="2:15" ht="15">
      <c r="B33" s="23" t="s">
        <v>124</v>
      </c>
      <c r="C33" s="23"/>
      <c r="D33" s="24" t="s">
        <v>63</v>
      </c>
      <c r="E33" s="25"/>
      <c r="F33" s="26">
        <v>0</v>
      </c>
      <c r="G33" s="27">
        <f t="shared" si="4"/>
        <v>250</v>
      </c>
      <c r="H33" s="249">
        <f t="shared" si="0"/>
        <v>0</v>
      </c>
      <c r="I33" s="29"/>
      <c r="J33" s="30">
        <f>'Res (100kWh)'!$J33</f>
        <v>0.0001</v>
      </c>
      <c r="K33" s="27">
        <f t="shared" si="5"/>
        <v>250</v>
      </c>
      <c r="L33" s="249">
        <f t="shared" si="1"/>
        <v>0.025</v>
      </c>
      <c r="M33" s="29"/>
      <c r="N33" s="32">
        <f t="shared" si="2"/>
        <v>0.025</v>
      </c>
      <c r="O33" s="250">
        <f t="shared" si="3"/>
      </c>
    </row>
    <row r="34" spans="2:15" ht="15" hidden="1">
      <c r="B34" s="34"/>
      <c r="C34" s="23"/>
      <c r="D34" s="24"/>
      <c r="E34" s="25"/>
      <c r="F34" s="26"/>
      <c r="G34" s="27">
        <f aca="true" t="shared" si="6" ref="G34:G40">$F$18</f>
        <v>250</v>
      </c>
      <c r="H34" s="28">
        <f t="shared" si="0"/>
        <v>0</v>
      </c>
      <c r="I34" s="29"/>
      <c r="J34" s="30"/>
      <c r="K34" s="27">
        <f t="shared" si="5"/>
        <v>250</v>
      </c>
      <c r="L34" s="28">
        <f t="shared" si="1"/>
        <v>0</v>
      </c>
      <c r="M34" s="29"/>
      <c r="N34" s="32">
        <f t="shared" si="2"/>
        <v>0</v>
      </c>
      <c r="O34" s="33">
        <f t="shared" si="3"/>
      </c>
    </row>
    <row r="35" spans="2:15" ht="15" hidden="1">
      <c r="B35" s="34"/>
      <c r="C35" s="23"/>
      <c r="D35" s="24"/>
      <c r="E35" s="25"/>
      <c r="F35" s="26"/>
      <c r="G35" s="27">
        <f t="shared" si="6"/>
        <v>250</v>
      </c>
      <c r="H35" s="28">
        <f t="shared" si="0"/>
        <v>0</v>
      </c>
      <c r="I35" s="29"/>
      <c r="J35" s="30"/>
      <c r="K35" s="27">
        <f t="shared" si="5"/>
        <v>250</v>
      </c>
      <c r="L35" s="28">
        <f t="shared" si="1"/>
        <v>0</v>
      </c>
      <c r="M35" s="29"/>
      <c r="N35" s="32">
        <f t="shared" si="2"/>
        <v>0</v>
      </c>
      <c r="O35" s="33">
        <f t="shared" si="3"/>
      </c>
    </row>
    <row r="36" spans="2:15" ht="15" hidden="1">
      <c r="B36" s="34"/>
      <c r="C36" s="23"/>
      <c r="D36" s="24"/>
      <c r="E36" s="25"/>
      <c r="F36" s="26"/>
      <c r="G36" s="27">
        <f t="shared" si="6"/>
        <v>250</v>
      </c>
      <c r="H36" s="28">
        <f t="shared" si="0"/>
        <v>0</v>
      </c>
      <c r="I36" s="29"/>
      <c r="J36" s="30"/>
      <c r="K36" s="27">
        <f t="shared" si="5"/>
        <v>250</v>
      </c>
      <c r="L36" s="28">
        <f t="shared" si="1"/>
        <v>0</v>
      </c>
      <c r="M36" s="29"/>
      <c r="N36" s="32">
        <f t="shared" si="2"/>
        <v>0</v>
      </c>
      <c r="O36" s="33">
        <f t="shared" si="3"/>
      </c>
    </row>
    <row r="37" spans="2:15" ht="15" hidden="1">
      <c r="B37" s="34"/>
      <c r="C37" s="23"/>
      <c r="D37" s="24"/>
      <c r="E37" s="25"/>
      <c r="F37" s="26"/>
      <c r="G37" s="27">
        <f t="shared" si="6"/>
        <v>250</v>
      </c>
      <c r="H37" s="28">
        <f t="shared" si="0"/>
        <v>0</v>
      </c>
      <c r="I37" s="29"/>
      <c r="J37" s="30"/>
      <c r="K37" s="27">
        <f t="shared" si="5"/>
        <v>250</v>
      </c>
      <c r="L37" s="28">
        <f t="shared" si="1"/>
        <v>0</v>
      </c>
      <c r="M37" s="29"/>
      <c r="N37" s="32">
        <f t="shared" si="2"/>
        <v>0</v>
      </c>
      <c r="O37" s="33">
        <f t="shared" si="3"/>
      </c>
    </row>
    <row r="38" spans="2:15" ht="15" hidden="1">
      <c r="B38" s="34"/>
      <c r="C38" s="23"/>
      <c r="D38" s="24"/>
      <c r="E38" s="25"/>
      <c r="F38" s="26"/>
      <c r="G38" s="27">
        <f t="shared" si="6"/>
        <v>250</v>
      </c>
      <c r="H38" s="28">
        <f t="shared" si="0"/>
        <v>0</v>
      </c>
      <c r="I38" s="29"/>
      <c r="J38" s="30"/>
      <c r="K38" s="27">
        <f t="shared" si="5"/>
        <v>250</v>
      </c>
      <c r="L38" s="28">
        <f t="shared" si="1"/>
        <v>0</v>
      </c>
      <c r="M38" s="29"/>
      <c r="N38" s="32">
        <f t="shared" si="2"/>
        <v>0</v>
      </c>
      <c r="O38" s="33">
        <f t="shared" si="3"/>
      </c>
    </row>
    <row r="39" spans="2:15" ht="15" hidden="1">
      <c r="B39" s="34"/>
      <c r="C39" s="23"/>
      <c r="D39" s="24"/>
      <c r="E39" s="25"/>
      <c r="F39" s="26"/>
      <c r="G39" s="27">
        <f t="shared" si="6"/>
        <v>250</v>
      </c>
      <c r="H39" s="28">
        <f t="shared" si="0"/>
        <v>0</v>
      </c>
      <c r="I39" s="29"/>
      <c r="J39" s="30"/>
      <c r="K39" s="27">
        <f t="shared" si="5"/>
        <v>250</v>
      </c>
      <c r="L39" s="28">
        <f t="shared" si="1"/>
        <v>0</v>
      </c>
      <c r="M39" s="29"/>
      <c r="N39" s="32">
        <f t="shared" si="2"/>
        <v>0</v>
      </c>
      <c r="O39" s="33">
        <f t="shared" si="3"/>
      </c>
    </row>
    <row r="40" spans="2:15" ht="15" hidden="1">
      <c r="B40" s="34"/>
      <c r="C40" s="23"/>
      <c r="D40" s="24"/>
      <c r="E40" s="25"/>
      <c r="F40" s="26"/>
      <c r="G40" s="27">
        <f t="shared" si="6"/>
        <v>250</v>
      </c>
      <c r="H40" s="28">
        <f t="shared" si="0"/>
        <v>0</v>
      </c>
      <c r="I40" s="29"/>
      <c r="J40" s="30"/>
      <c r="K40" s="27">
        <f t="shared" si="5"/>
        <v>250</v>
      </c>
      <c r="L40" s="28">
        <f t="shared" si="1"/>
        <v>0</v>
      </c>
      <c r="M40" s="29"/>
      <c r="N40" s="32">
        <f t="shared" si="2"/>
        <v>0</v>
      </c>
      <c r="O40" s="33">
        <f t="shared" si="3"/>
      </c>
    </row>
    <row r="41" spans="2:15" s="35" customFormat="1" ht="15">
      <c r="B41" s="36" t="s">
        <v>24</v>
      </c>
      <c r="C41" s="37"/>
      <c r="D41" s="38"/>
      <c r="E41" s="37"/>
      <c r="F41" s="39"/>
      <c r="G41" s="40"/>
      <c r="H41" s="41">
        <f>SUM(H23:H40)</f>
        <v>18.78</v>
      </c>
      <c r="I41" s="42"/>
      <c r="J41" s="43"/>
      <c r="K41" s="44"/>
      <c r="L41" s="41">
        <f>SUM(L23:L40)</f>
        <v>16.465</v>
      </c>
      <c r="M41" s="42"/>
      <c r="N41" s="260">
        <f>L41-H41</f>
        <v>-2.3150000000000013</v>
      </c>
      <c r="O41" s="46">
        <f t="shared" si="3"/>
        <v>-0.12326943556975511</v>
      </c>
    </row>
    <row r="42" spans="2:15" ht="15" hidden="1">
      <c r="B42" s="177"/>
      <c r="C42" s="23"/>
      <c r="D42" s="57" t="s">
        <v>62</v>
      </c>
      <c r="E42" s="25"/>
      <c r="F42" s="26"/>
      <c r="G42" s="27">
        <v>1</v>
      </c>
      <c r="H42" s="28">
        <f>G42*F42</f>
        <v>0</v>
      </c>
      <c r="I42" s="29"/>
      <c r="J42" s="175"/>
      <c r="K42" s="31">
        <v>1</v>
      </c>
      <c r="L42" s="28">
        <f>K42*J42</f>
        <v>0</v>
      </c>
      <c r="M42" s="29"/>
      <c r="N42" s="32">
        <f>L42-H42</f>
        <v>0</v>
      </c>
      <c r="O42" s="33">
        <f>IF((H42)=0,"",(N42/H42))</f>
      </c>
    </row>
    <row r="43" spans="2:15" ht="25.5">
      <c r="B43" s="47" t="s">
        <v>25</v>
      </c>
      <c r="C43" s="23"/>
      <c r="D43" s="57" t="s">
        <v>63</v>
      </c>
      <c r="E43" s="58"/>
      <c r="F43" s="254">
        <f>'Res (100kWh)'!F43</f>
        <v>-0.002</v>
      </c>
      <c r="G43" s="27">
        <f>$F$18</f>
        <v>250</v>
      </c>
      <c r="H43" s="28">
        <f aca="true" t="shared" si="7" ref="H43:H49">G43*F43</f>
        <v>-0.5</v>
      </c>
      <c r="I43" s="29"/>
      <c r="J43" s="254">
        <f>'Res (100kWh)'!J43</f>
        <v>-0.0016</v>
      </c>
      <c r="K43" s="27">
        <f>$F$18</f>
        <v>250</v>
      </c>
      <c r="L43" s="28">
        <f aca="true" t="shared" si="8" ref="L43:L49">K43*J43</f>
        <v>-0.4</v>
      </c>
      <c r="M43" s="29"/>
      <c r="N43" s="32">
        <f t="shared" si="2"/>
        <v>0.09999999999999998</v>
      </c>
      <c r="O43" s="33">
        <f t="shared" si="3"/>
        <v>-0.19999999999999996</v>
      </c>
    </row>
    <row r="44" spans="2:15" ht="15" hidden="1">
      <c r="B44" s="47"/>
      <c r="C44" s="23"/>
      <c r="D44" s="24" t="s">
        <v>63</v>
      </c>
      <c r="E44" s="25"/>
      <c r="F44" s="26"/>
      <c r="G44" s="27">
        <f>$F$18</f>
        <v>250</v>
      </c>
      <c r="H44" s="28">
        <f t="shared" si="7"/>
        <v>0</v>
      </c>
      <c r="I44" s="48"/>
      <c r="J44" s="30"/>
      <c r="K44" s="27">
        <f>$F$18</f>
        <v>250</v>
      </c>
      <c r="L44" s="28">
        <f t="shared" si="8"/>
        <v>0</v>
      </c>
      <c r="M44" s="49"/>
      <c r="N44" s="32">
        <f t="shared" si="2"/>
        <v>0</v>
      </c>
      <c r="O44" s="33">
        <f t="shared" si="3"/>
      </c>
    </row>
    <row r="45" spans="2:15" ht="15" hidden="1">
      <c r="B45" s="47"/>
      <c r="C45" s="23"/>
      <c r="D45" s="24" t="s">
        <v>63</v>
      </c>
      <c r="E45" s="25"/>
      <c r="F45" s="26"/>
      <c r="G45" s="27">
        <f>$F$18</f>
        <v>250</v>
      </c>
      <c r="H45" s="28">
        <f t="shared" si="7"/>
        <v>0</v>
      </c>
      <c r="I45" s="48"/>
      <c r="J45" s="30"/>
      <c r="K45" s="27">
        <f>$F$18</f>
        <v>250</v>
      </c>
      <c r="L45" s="28">
        <f t="shared" si="8"/>
        <v>0</v>
      </c>
      <c r="M45" s="49"/>
      <c r="N45" s="32">
        <f t="shared" si="2"/>
        <v>0</v>
      </c>
      <c r="O45" s="33">
        <f t="shared" si="3"/>
      </c>
    </row>
    <row r="46" spans="2:15" ht="15" hidden="1">
      <c r="B46" s="47"/>
      <c r="C46" s="23"/>
      <c r="D46" s="24"/>
      <c r="E46" s="25"/>
      <c r="F46" s="26"/>
      <c r="G46" s="27">
        <f>$F$18</f>
        <v>250</v>
      </c>
      <c r="H46" s="28">
        <f t="shared" si="7"/>
        <v>0</v>
      </c>
      <c r="I46" s="48"/>
      <c r="J46" s="30"/>
      <c r="K46" s="27">
        <f>$F$18</f>
        <v>250</v>
      </c>
      <c r="L46" s="28">
        <f t="shared" si="8"/>
        <v>0</v>
      </c>
      <c r="M46" s="49"/>
      <c r="N46" s="32">
        <f t="shared" si="2"/>
        <v>0</v>
      </c>
      <c r="O46" s="33">
        <f t="shared" si="3"/>
      </c>
    </row>
    <row r="47" spans="2:15" ht="15">
      <c r="B47" s="50" t="s">
        <v>26</v>
      </c>
      <c r="C47" s="23"/>
      <c r="D47" s="24" t="s">
        <v>63</v>
      </c>
      <c r="E47" s="25"/>
      <c r="F47" s="26">
        <f>'Res (100kWh)'!F47</f>
        <v>0.0001</v>
      </c>
      <c r="G47" s="27">
        <f>$F$18</f>
        <v>250</v>
      </c>
      <c r="H47" s="28">
        <f t="shared" si="7"/>
        <v>0.025</v>
      </c>
      <c r="I47" s="29"/>
      <c r="J47" s="30">
        <f>'Res (100kWh)'!J47</f>
        <v>0.0001</v>
      </c>
      <c r="K47" s="27">
        <f>$F$18</f>
        <v>250</v>
      </c>
      <c r="L47" s="28">
        <f t="shared" si="8"/>
        <v>0.025</v>
      </c>
      <c r="M47" s="29"/>
      <c r="N47" s="32">
        <f t="shared" si="2"/>
        <v>0</v>
      </c>
      <c r="O47" s="33">
        <f t="shared" si="3"/>
        <v>0</v>
      </c>
    </row>
    <row r="48" spans="2:15" s="35" customFormat="1" ht="15">
      <c r="B48" s="183" t="s">
        <v>27</v>
      </c>
      <c r="C48" s="25"/>
      <c r="D48" s="184" t="s">
        <v>63</v>
      </c>
      <c r="E48" s="25"/>
      <c r="F48" s="185">
        <f>IF(ISBLANK(D16)=TRUE,0,IF(D16="TOU",0.64*$F$58+0.18*$F$59+0.18*$F$60,IF(AND(D16="non-TOU",G62&gt;0),F62,F61)))</f>
        <v>0.08392</v>
      </c>
      <c r="G48" s="27">
        <f>$F$18*(1+$F$77)-$F$18</f>
        <v>8.375</v>
      </c>
      <c r="H48" s="186">
        <f t="shared" si="7"/>
        <v>0.70283</v>
      </c>
      <c r="I48" s="58"/>
      <c r="J48" s="187">
        <f>0.64*$F$58+0.18*$F$59+0.18*$F$60</f>
        <v>0.08392</v>
      </c>
      <c r="K48" s="27">
        <f>$F$18*(1+$J$77)-$F$18</f>
        <v>8.375</v>
      </c>
      <c r="L48" s="186">
        <f t="shared" si="8"/>
        <v>0.70283</v>
      </c>
      <c r="M48" s="58"/>
      <c r="N48" s="188">
        <f t="shared" si="2"/>
        <v>0</v>
      </c>
      <c r="O48" s="189">
        <f t="shared" si="3"/>
        <v>0</v>
      </c>
    </row>
    <row r="49" spans="2:15" ht="15">
      <c r="B49" s="50" t="s">
        <v>28</v>
      </c>
      <c r="C49" s="23"/>
      <c r="D49" s="24" t="s">
        <v>62</v>
      </c>
      <c r="E49" s="25"/>
      <c r="F49" s="180">
        <v>0.79</v>
      </c>
      <c r="G49" s="27">
        <v>1</v>
      </c>
      <c r="H49" s="28">
        <f t="shared" si="7"/>
        <v>0.79</v>
      </c>
      <c r="I49" s="29"/>
      <c r="J49" s="180">
        <v>0.79</v>
      </c>
      <c r="K49" s="27">
        <v>1</v>
      </c>
      <c r="L49" s="28">
        <f t="shared" si="8"/>
        <v>0.79</v>
      </c>
      <c r="M49" s="29"/>
      <c r="N49" s="32">
        <f t="shared" si="2"/>
        <v>0</v>
      </c>
      <c r="O49" s="33"/>
    </row>
    <row r="50" spans="2:15" ht="25.5">
      <c r="B50" s="51" t="s">
        <v>29</v>
      </c>
      <c r="C50" s="52"/>
      <c r="D50" s="52"/>
      <c r="E50" s="52"/>
      <c r="F50" s="53"/>
      <c r="G50" s="54"/>
      <c r="H50" s="55">
        <f>SUM(H42:H49)+H41</f>
        <v>19.79783</v>
      </c>
      <c r="I50" s="42"/>
      <c r="J50" s="54"/>
      <c r="K50" s="56"/>
      <c r="L50" s="55">
        <f>SUM(L42:L49)+L41</f>
        <v>17.58283</v>
      </c>
      <c r="M50" s="42"/>
      <c r="N50" s="260">
        <f t="shared" si="2"/>
        <v>-2.215</v>
      </c>
      <c r="O50" s="46">
        <f aca="true" t="shared" si="9" ref="O50:O68">IF((H50)=0,"",(N50/H50))</f>
        <v>-0.11188094856860574</v>
      </c>
    </row>
    <row r="51" spans="2:15" ht="15">
      <c r="B51" s="29" t="s">
        <v>30</v>
      </c>
      <c r="C51" s="29"/>
      <c r="D51" s="57" t="s">
        <v>63</v>
      </c>
      <c r="E51" s="58"/>
      <c r="F51" s="30">
        <f>'Res (100kWh)'!F51</f>
        <v>0.0067</v>
      </c>
      <c r="G51" s="59">
        <f>F18*(1+F77)</f>
        <v>258.375</v>
      </c>
      <c r="H51" s="28">
        <f>G51*F51</f>
        <v>1.7311125</v>
      </c>
      <c r="I51" s="29"/>
      <c r="J51" s="30">
        <f>'Res (100kWh)'!J51</f>
        <v>0.0069</v>
      </c>
      <c r="K51" s="60">
        <f>F18*(1+J77)</f>
        <v>258.375</v>
      </c>
      <c r="L51" s="28">
        <f>K51*J51</f>
        <v>1.7827875</v>
      </c>
      <c r="M51" s="29"/>
      <c r="N51" s="32">
        <f t="shared" si="2"/>
        <v>0.051674999999999915</v>
      </c>
      <c r="O51" s="33">
        <f t="shared" si="9"/>
        <v>0.029850746268656667</v>
      </c>
    </row>
    <row r="52" spans="2:15" ht="15">
      <c r="B52" s="61" t="s">
        <v>31</v>
      </c>
      <c r="C52" s="29"/>
      <c r="D52" s="57" t="s">
        <v>63</v>
      </c>
      <c r="E52" s="58"/>
      <c r="F52" s="30">
        <f>'Res (100kWh)'!F52</f>
        <v>0.0042</v>
      </c>
      <c r="G52" s="59">
        <f>G51</f>
        <v>258.375</v>
      </c>
      <c r="H52" s="28">
        <f>G52*F52</f>
        <v>1.085175</v>
      </c>
      <c r="I52" s="29"/>
      <c r="J52" s="30">
        <f>'Res (100kWh)'!J52</f>
        <v>0.0043</v>
      </c>
      <c r="K52" s="60">
        <f>K51</f>
        <v>258.375</v>
      </c>
      <c r="L52" s="28">
        <f>K52*J52</f>
        <v>1.1110125</v>
      </c>
      <c r="M52" s="29"/>
      <c r="N52" s="32">
        <f t="shared" si="2"/>
        <v>0.025837499999999958</v>
      </c>
      <c r="O52" s="33">
        <f t="shared" si="9"/>
        <v>0.02380952380952377</v>
      </c>
    </row>
    <row r="53" spans="2:15" ht="15">
      <c r="B53" s="51" t="s">
        <v>32</v>
      </c>
      <c r="C53" s="37"/>
      <c r="D53" s="37"/>
      <c r="E53" s="37"/>
      <c r="F53" s="62"/>
      <c r="G53" s="54"/>
      <c r="H53" s="55">
        <f>SUM(H50:H52)</f>
        <v>22.6141175</v>
      </c>
      <c r="I53" s="63"/>
      <c r="J53" s="64"/>
      <c r="K53" s="65"/>
      <c r="L53" s="55">
        <f>SUM(L50:L52)</f>
        <v>20.476630000000004</v>
      </c>
      <c r="M53" s="63"/>
      <c r="N53" s="260">
        <f t="shared" si="2"/>
        <v>-2.1374874999999953</v>
      </c>
      <c r="O53" s="46">
        <f t="shared" si="9"/>
        <v>-0.09452004925684124</v>
      </c>
    </row>
    <row r="54" spans="2:15" ht="15">
      <c r="B54" s="66" t="s">
        <v>33</v>
      </c>
      <c r="C54" s="23"/>
      <c r="D54" s="24" t="s">
        <v>63</v>
      </c>
      <c r="E54" s="25"/>
      <c r="F54" s="67">
        <v>0.0044</v>
      </c>
      <c r="G54" s="59">
        <f>G52</f>
        <v>258.375</v>
      </c>
      <c r="H54" s="68">
        <f aca="true" t="shared" si="10" ref="H54:H60">G54*F54</f>
        <v>1.1368500000000001</v>
      </c>
      <c r="I54" s="29"/>
      <c r="J54" s="69">
        <v>0.0044</v>
      </c>
      <c r="K54" s="60">
        <f>K52</f>
        <v>258.375</v>
      </c>
      <c r="L54" s="68">
        <f aca="true" t="shared" si="11" ref="L54:L60">K54*J54</f>
        <v>1.1368500000000001</v>
      </c>
      <c r="M54" s="29"/>
      <c r="N54" s="32">
        <f t="shared" si="2"/>
        <v>0</v>
      </c>
      <c r="O54" s="70">
        <f t="shared" si="9"/>
        <v>0</v>
      </c>
    </row>
    <row r="55" spans="2:15" ht="15">
      <c r="B55" s="66" t="s">
        <v>34</v>
      </c>
      <c r="C55" s="23"/>
      <c r="D55" s="24" t="s">
        <v>63</v>
      </c>
      <c r="E55" s="25"/>
      <c r="F55" s="67">
        <v>0.0013</v>
      </c>
      <c r="G55" s="59">
        <f>G52</f>
        <v>258.375</v>
      </c>
      <c r="H55" s="68">
        <f t="shared" si="10"/>
        <v>0.3358875</v>
      </c>
      <c r="I55" s="29"/>
      <c r="J55" s="69">
        <v>0.0013</v>
      </c>
      <c r="K55" s="60">
        <f>K52</f>
        <v>258.375</v>
      </c>
      <c r="L55" s="68">
        <f t="shared" si="11"/>
        <v>0.3358875</v>
      </c>
      <c r="M55" s="29"/>
      <c r="N55" s="32">
        <f t="shared" si="2"/>
        <v>0</v>
      </c>
      <c r="O55" s="70">
        <f t="shared" si="9"/>
        <v>0</v>
      </c>
    </row>
    <row r="56" spans="2:15" ht="15">
      <c r="B56" s="23" t="s">
        <v>35</v>
      </c>
      <c r="C56" s="23"/>
      <c r="D56" s="24" t="s">
        <v>62</v>
      </c>
      <c r="E56" s="25"/>
      <c r="F56" s="178">
        <v>0.25</v>
      </c>
      <c r="G56" s="27">
        <v>1</v>
      </c>
      <c r="H56" s="68">
        <f t="shared" si="10"/>
        <v>0.25</v>
      </c>
      <c r="I56" s="29"/>
      <c r="J56" s="179">
        <v>0.25</v>
      </c>
      <c r="K56" s="31">
        <v>1</v>
      </c>
      <c r="L56" s="68">
        <f t="shared" si="11"/>
        <v>0.25</v>
      </c>
      <c r="M56" s="29"/>
      <c r="N56" s="32">
        <f t="shared" si="2"/>
        <v>0</v>
      </c>
      <c r="O56" s="70">
        <f t="shared" si="9"/>
        <v>0</v>
      </c>
    </row>
    <row r="57" spans="2:15" ht="15">
      <c r="B57" s="23" t="s">
        <v>36</v>
      </c>
      <c r="C57" s="23"/>
      <c r="D57" s="24" t="s">
        <v>63</v>
      </c>
      <c r="E57" s="25"/>
      <c r="F57" s="67">
        <v>0.007</v>
      </c>
      <c r="G57" s="71">
        <f>F18</f>
        <v>250</v>
      </c>
      <c r="H57" s="68">
        <f t="shared" si="10"/>
        <v>1.75</v>
      </c>
      <c r="I57" s="29"/>
      <c r="J57" s="69">
        <f>0.007</f>
        <v>0.007</v>
      </c>
      <c r="K57" s="72">
        <f>F18</f>
        <v>250</v>
      </c>
      <c r="L57" s="68">
        <f t="shared" si="11"/>
        <v>1.75</v>
      </c>
      <c r="M57" s="29"/>
      <c r="N57" s="32">
        <f t="shared" si="2"/>
        <v>0</v>
      </c>
      <c r="O57" s="70">
        <f t="shared" si="9"/>
        <v>0</v>
      </c>
    </row>
    <row r="58" spans="2:19" ht="15">
      <c r="B58" s="50" t="s">
        <v>37</v>
      </c>
      <c r="C58" s="23"/>
      <c r="D58" s="24" t="s">
        <v>63</v>
      </c>
      <c r="E58" s="25"/>
      <c r="F58" s="73">
        <v>0.067</v>
      </c>
      <c r="G58" s="71">
        <f>0.64*$F$18</f>
        <v>160</v>
      </c>
      <c r="H58" s="68">
        <f t="shared" si="10"/>
        <v>10.72</v>
      </c>
      <c r="I58" s="29"/>
      <c r="J58" s="67">
        <v>0.067</v>
      </c>
      <c r="K58" s="71">
        <f>G58</f>
        <v>160</v>
      </c>
      <c r="L58" s="68">
        <f t="shared" si="11"/>
        <v>10.72</v>
      </c>
      <c r="M58" s="29"/>
      <c r="N58" s="32">
        <f t="shared" si="2"/>
        <v>0</v>
      </c>
      <c r="O58" s="70">
        <f t="shared" si="9"/>
        <v>0</v>
      </c>
      <c r="S58" s="74"/>
    </row>
    <row r="59" spans="2:19" ht="15">
      <c r="B59" s="50" t="s">
        <v>38</v>
      </c>
      <c r="C59" s="23"/>
      <c r="D59" s="24" t="s">
        <v>63</v>
      </c>
      <c r="E59" s="25"/>
      <c r="F59" s="73">
        <v>0.104</v>
      </c>
      <c r="G59" s="71">
        <f>0.18*$F$18</f>
        <v>45</v>
      </c>
      <c r="H59" s="68">
        <f t="shared" si="10"/>
        <v>4.68</v>
      </c>
      <c r="I59" s="29"/>
      <c r="J59" s="67">
        <v>0.104</v>
      </c>
      <c r="K59" s="71">
        <f>G59</f>
        <v>45</v>
      </c>
      <c r="L59" s="68">
        <f t="shared" si="11"/>
        <v>4.68</v>
      </c>
      <c r="M59" s="29"/>
      <c r="N59" s="32">
        <f t="shared" si="2"/>
        <v>0</v>
      </c>
      <c r="O59" s="70">
        <f t="shared" si="9"/>
        <v>0</v>
      </c>
      <c r="S59" s="74"/>
    </row>
    <row r="60" spans="2:19" ht="15">
      <c r="B60" s="13" t="s">
        <v>39</v>
      </c>
      <c r="C60" s="23"/>
      <c r="D60" s="24" t="s">
        <v>63</v>
      </c>
      <c r="E60" s="25"/>
      <c r="F60" s="73">
        <v>0.124</v>
      </c>
      <c r="G60" s="71">
        <f>0.18*$F$18</f>
        <v>45</v>
      </c>
      <c r="H60" s="68">
        <f t="shared" si="10"/>
        <v>5.58</v>
      </c>
      <c r="I60" s="29"/>
      <c r="J60" s="67">
        <v>0.124</v>
      </c>
      <c r="K60" s="71">
        <f>G60</f>
        <v>45</v>
      </c>
      <c r="L60" s="68">
        <f t="shared" si="11"/>
        <v>5.58</v>
      </c>
      <c r="M60" s="29"/>
      <c r="N60" s="32">
        <f t="shared" si="2"/>
        <v>0</v>
      </c>
      <c r="O60" s="70">
        <f t="shared" si="9"/>
        <v>0</v>
      </c>
      <c r="S60" s="74"/>
    </row>
    <row r="61" spans="2:15" s="75" customFormat="1" ht="15">
      <c r="B61" s="76" t="s">
        <v>40</v>
      </c>
      <c r="C61" s="77"/>
      <c r="D61" s="78" t="s">
        <v>63</v>
      </c>
      <c r="E61" s="79"/>
      <c r="F61" s="73">
        <v>0.075</v>
      </c>
      <c r="G61" s="80">
        <f>IF(AND($T$1=1,F18&gt;=600),600,IF(AND($T$1=1,AND(F18&lt;600,F18&gt;=0)),F18,IF(AND($T$1=2,F18&gt;=1000),1000,IF(AND($T$1=2,AND(F18&lt;1000,F18&gt;=0)),F18))))</f>
        <v>250</v>
      </c>
      <c r="H61" s="68">
        <f>G61*F61</f>
        <v>18.75</v>
      </c>
      <c r="I61" s="81"/>
      <c r="J61" s="67">
        <v>0.075</v>
      </c>
      <c r="K61" s="80">
        <f>G61</f>
        <v>250</v>
      </c>
      <c r="L61" s="68">
        <f>K61*J61</f>
        <v>18.75</v>
      </c>
      <c r="M61" s="81"/>
      <c r="N61" s="82">
        <f t="shared" si="2"/>
        <v>0</v>
      </c>
      <c r="O61" s="70">
        <f t="shared" si="9"/>
        <v>0</v>
      </c>
    </row>
    <row r="62" spans="2:15" s="75" customFormat="1" ht="15.75" thickBot="1">
      <c r="B62" s="76" t="s">
        <v>41</v>
      </c>
      <c r="C62" s="77"/>
      <c r="D62" s="78" t="s">
        <v>63</v>
      </c>
      <c r="E62" s="79"/>
      <c r="F62" s="73">
        <v>0.088</v>
      </c>
      <c r="G62" s="80">
        <f>IF(AND($T$1=1,F18&gt;=600),F18-600,IF(AND($T$1=1,AND(F18&lt;600,F18&gt;=0)),0,IF(AND($T$1=2,F18&gt;=1000),F18-1000,IF(AND($T$1=2,AND(F18&lt;1000,F18&gt;=0)),0))))</f>
        <v>0</v>
      </c>
      <c r="H62" s="68">
        <f>G62*F62</f>
        <v>0</v>
      </c>
      <c r="I62" s="81"/>
      <c r="J62" s="67">
        <v>0.088</v>
      </c>
      <c r="K62" s="80">
        <f>G62</f>
        <v>0</v>
      </c>
      <c r="L62" s="68">
        <f>K62*J62</f>
        <v>0</v>
      </c>
      <c r="M62" s="81"/>
      <c r="N62" s="82">
        <f t="shared" si="2"/>
        <v>0</v>
      </c>
      <c r="O62" s="70">
        <f t="shared" si="9"/>
      </c>
    </row>
    <row r="63" spans="2:15" ht="8.25" customHeight="1" thickBot="1">
      <c r="B63" s="83"/>
      <c r="C63" s="84"/>
      <c r="D63" s="85"/>
      <c r="E63" s="84"/>
      <c r="F63" s="86"/>
      <c r="G63" s="87"/>
      <c r="H63" s="88"/>
      <c r="I63" s="89"/>
      <c r="J63" s="86"/>
      <c r="K63" s="90"/>
      <c r="L63" s="88"/>
      <c r="M63" s="89"/>
      <c r="N63" s="91"/>
      <c r="O63" s="92"/>
    </row>
    <row r="64" spans="2:19" ht="15">
      <c r="B64" s="93" t="s">
        <v>42</v>
      </c>
      <c r="C64" s="23"/>
      <c r="D64" s="23"/>
      <c r="E64" s="23"/>
      <c r="F64" s="94"/>
      <c r="G64" s="95"/>
      <c r="H64" s="96">
        <f>SUM(H54:H60,H53)</f>
        <v>47.066855</v>
      </c>
      <c r="I64" s="97"/>
      <c r="J64" s="98"/>
      <c r="K64" s="98"/>
      <c r="L64" s="192">
        <f>SUM(L54:L60,L53)</f>
        <v>44.9293675</v>
      </c>
      <c r="M64" s="99"/>
      <c r="N64" s="266">
        <f>L64-H64</f>
        <v>-2.137487499999999</v>
      </c>
      <c r="O64" s="101">
        <f>IF((H64)=0,"",(N64/H64))</f>
        <v>-0.04541385864851176</v>
      </c>
      <c r="S64" s="74"/>
    </row>
    <row r="65" spans="2:19" ht="15">
      <c r="B65" s="102" t="s">
        <v>43</v>
      </c>
      <c r="C65" s="23"/>
      <c r="D65" s="23"/>
      <c r="E65" s="23"/>
      <c r="F65" s="103">
        <v>0.13</v>
      </c>
      <c r="G65" s="104"/>
      <c r="H65" s="105">
        <f>H64*F65</f>
        <v>6.11869115</v>
      </c>
      <c r="I65" s="106"/>
      <c r="J65" s="107">
        <v>0.13</v>
      </c>
      <c r="K65" s="106"/>
      <c r="L65" s="108">
        <f>L64*J65</f>
        <v>5.840817775</v>
      </c>
      <c r="M65" s="109"/>
      <c r="N65" s="267">
        <f t="shared" si="2"/>
        <v>-0.2778733750000004</v>
      </c>
      <c r="O65" s="111">
        <f t="shared" si="9"/>
        <v>-0.04541385864851185</v>
      </c>
      <c r="S65" s="74"/>
    </row>
    <row r="66" spans="2:19" ht="15">
      <c r="B66" s="112" t="s">
        <v>44</v>
      </c>
      <c r="C66" s="23"/>
      <c r="D66" s="23"/>
      <c r="E66" s="23"/>
      <c r="F66" s="113"/>
      <c r="G66" s="104"/>
      <c r="H66" s="105">
        <f>H64+H65</f>
        <v>53.18554614999999</v>
      </c>
      <c r="I66" s="106"/>
      <c r="J66" s="106"/>
      <c r="K66" s="106"/>
      <c r="L66" s="108">
        <f>L64+L65</f>
        <v>50.770185274999996</v>
      </c>
      <c r="M66" s="109"/>
      <c r="N66" s="267">
        <f t="shared" si="2"/>
        <v>-2.4153608749999975</v>
      </c>
      <c r="O66" s="111">
        <f t="shared" si="9"/>
        <v>-0.04541385864851174</v>
      </c>
      <c r="S66" s="74"/>
    </row>
    <row r="67" spans="2:15" ht="15.75" customHeight="1">
      <c r="B67" s="333" t="s">
        <v>45</v>
      </c>
      <c r="C67" s="333"/>
      <c r="D67" s="333"/>
      <c r="E67" s="23"/>
      <c r="F67" s="113"/>
      <c r="G67" s="104"/>
      <c r="H67" s="263">
        <f>ROUND(-H66*10%,2)</f>
        <v>-5.32</v>
      </c>
      <c r="I67" s="106"/>
      <c r="J67" s="106"/>
      <c r="K67" s="106"/>
      <c r="L67" s="264">
        <f>ROUND(-L66*10%,2)</f>
        <v>-5.08</v>
      </c>
      <c r="M67" s="109"/>
      <c r="N67" s="265">
        <f t="shared" si="2"/>
        <v>0.2400000000000002</v>
      </c>
      <c r="O67" s="117">
        <f t="shared" si="9"/>
        <v>-0.04511278195488726</v>
      </c>
    </row>
    <row r="68" spans="2:15" ht="15.75" thickBot="1">
      <c r="B68" s="334" t="s">
        <v>46</v>
      </c>
      <c r="C68" s="334"/>
      <c r="D68" s="334"/>
      <c r="E68" s="118"/>
      <c r="F68" s="119"/>
      <c r="G68" s="120"/>
      <c r="H68" s="121">
        <f>H66+H67</f>
        <v>47.86554614999999</v>
      </c>
      <c r="I68" s="122"/>
      <c r="J68" s="122"/>
      <c r="K68" s="122"/>
      <c r="L68" s="123">
        <f>L66+L67</f>
        <v>45.690185275</v>
      </c>
      <c r="M68" s="124"/>
      <c r="N68" s="268">
        <f t="shared" si="2"/>
        <v>-2.1753608749999955</v>
      </c>
      <c r="O68" s="126">
        <f t="shared" si="9"/>
        <v>-0.04544732171618595</v>
      </c>
    </row>
    <row r="69" spans="2:15" s="75" customFormat="1" ht="8.25" customHeight="1" thickBot="1">
      <c r="B69" s="127"/>
      <c r="C69" s="128"/>
      <c r="D69" s="129"/>
      <c r="E69" s="128"/>
      <c r="F69" s="86"/>
      <c r="G69" s="130"/>
      <c r="H69" s="88"/>
      <c r="I69" s="131"/>
      <c r="J69" s="86"/>
      <c r="K69" s="132"/>
      <c r="L69" s="88"/>
      <c r="M69" s="131"/>
      <c r="N69" s="133"/>
      <c r="O69" s="92"/>
    </row>
    <row r="70" spans="2:15" s="75" customFormat="1" ht="12.75">
      <c r="B70" s="134" t="s">
        <v>47</v>
      </c>
      <c r="C70" s="77"/>
      <c r="D70" s="77"/>
      <c r="E70" s="77"/>
      <c r="F70" s="135"/>
      <c r="G70" s="136"/>
      <c r="H70" s="137">
        <f>SUM(H61:H62,H53,H54:H57)</f>
        <v>44.836855</v>
      </c>
      <c r="I70" s="138"/>
      <c r="J70" s="139"/>
      <c r="K70" s="139"/>
      <c r="L70" s="191">
        <f>SUM(L61:L62,L53,L54:L57)</f>
        <v>42.6993675</v>
      </c>
      <c r="M70" s="140"/>
      <c r="N70" s="269">
        <f>L70-H70</f>
        <v>-2.137487499999999</v>
      </c>
      <c r="O70" s="101">
        <f>IF((H70)=0,"",(N70/H70))</f>
        <v>-0.047672556427073194</v>
      </c>
    </row>
    <row r="71" spans="2:15" s="75" customFormat="1" ht="12.75">
      <c r="B71" s="142" t="s">
        <v>43</v>
      </c>
      <c r="C71" s="77"/>
      <c r="D71" s="77"/>
      <c r="E71" s="77"/>
      <c r="F71" s="143">
        <v>0.13</v>
      </c>
      <c r="G71" s="136"/>
      <c r="H71" s="144">
        <f>H70*F71</f>
        <v>5.82879115</v>
      </c>
      <c r="I71" s="145"/>
      <c r="J71" s="146">
        <v>0.13</v>
      </c>
      <c r="K71" s="147"/>
      <c r="L71" s="148">
        <f>L70*J71</f>
        <v>5.550917775</v>
      </c>
      <c r="M71" s="149"/>
      <c r="N71" s="270">
        <f>L71-H71</f>
        <v>-0.27787337499999953</v>
      </c>
      <c r="O71" s="111">
        <f>IF((H71)=0,"",(N71/H71))</f>
        <v>-0.04767255642707314</v>
      </c>
    </row>
    <row r="72" spans="2:15" s="75" customFormat="1" ht="12.75">
      <c r="B72" s="151" t="s">
        <v>44</v>
      </c>
      <c r="C72" s="77"/>
      <c r="D72" s="77"/>
      <c r="E72" s="77"/>
      <c r="F72" s="152"/>
      <c r="G72" s="153"/>
      <c r="H72" s="144">
        <f>H70+H71</f>
        <v>50.66564615</v>
      </c>
      <c r="I72" s="145"/>
      <c r="J72" s="145"/>
      <c r="K72" s="145"/>
      <c r="L72" s="148">
        <f>L70+L71</f>
        <v>48.250285275</v>
      </c>
      <c r="M72" s="149"/>
      <c r="N72" s="270">
        <f>L72-H72</f>
        <v>-2.4153608749999975</v>
      </c>
      <c r="O72" s="111">
        <f>IF((H72)=0,"",(N72/H72))</f>
        <v>-0.047672556427073166</v>
      </c>
    </row>
    <row r="73" spans="2:15" s="75" customFormat="1" ht="15.75" customHeight="1">
      <c r="B73" s="335" t="s">
        <v>45</v>
      </c>
      <c r="C73" s="335"/>
      <c r="D73" s="335"/>
      <c r="E73" s="77"/>
      <c r="F73" s="152"/>
      <c r="G73" s="153"/>
      <c r="H73" s="256">
        <f>ROUND(-H72*10%,2)</f>
        <v>-5.07</v>
      </c>
      <c r="I73" s="145"/>
      <c r="J73" s="145"/>
      <c r="K73" s="145"/>
      <c r="L73" s="257">
        <f>ROUND(-L72*10%,2)</f>
        <v>-4.83</v>
      </c>
      <c r="M73" s="149"/>
      <c r="N73" s="258">
        <f>L73-H73</f>
        <v>0.2400000000000002</v>
      </c>
      <c r="O73" s="117">
        <f>IF((H73)=0,"",(N73/H73))</f>
        <v>-0.047337278106508916</v>
      </c>
    </row>
    <row r="74" spans="2:15" s="75" customFormat="1" ht="13.5" thickBot="1">
      <c r="B74" s="326" t="s">
        <v>48</v>
      </c>
      <c r="C74" s="326"/>
      <c r="D74" s="326"/>
      <c r="E74" s="157"/>
      <c r="F74" s="158"/>
      <c r="G74" s="159"/>
      <c r="H74" s="160">
        <f>SUM(H72:H73)</f>
        <v>45.59564615</v>
      </c>
      <c r="I74" s="161"/>
      <c r="J74" s="161"/>
      <c r="K74" s="161"/>
      <c r="L74" s="162">
        <f>SUM(L72:L73)</f>
        <v>43.420285275000005</v>
      </c>
      <c r="M74" s="163"/>
      <c r="N74" s="271">
        <f>L74-H74</f>
        <v>-2.1753608749999955</v>
      </c>
      <c r="O74" s="165">
        <f>IF((H74)=0,"",(N74/H74))</f>
        <v>-0.047709837642030996</v>
      </c>
    </row>
    <row r="75" spans="2:15" s="75" customFormat="1" ht="8.25" customHeight="1" thickBot="1">
      <c r="B75" s="127"/>
      <c r="C75" s="128"/>
      <c r="D75" s="129"/>
      <c r="E75" s="128"/>
      <c r="F75" s="166"/>
      <c r="G75" s="167"/>
      <c r="H75" s="168"/>
      <c r="I75" s="169"/>
      <c r="J75" s="166"/>
      <c r="K75" s="130"/>
      <c r="L75" s="170"/>
      <c r="M75" s="131"/>
      <c r="N75" s="171"/>
      <c r="O75" s="92"/>
    </row>
    <row r="76" ht="10.5" customHeight="1">
      <c r="L76" s="74"/>
    </row>
    <row r="77" spans="2:10" ht="15">
      <c r="B77" s="14" t="s">
        <v>49</v>
      </c>
      <c r="F77" s="172">
        <v>0.0335</v>
      </c>
      <c r="J77" s="172">
        <v>0.0335</v>
      </c>
    </row>
    <row r="78" ht="10.5" customHeight="1"/>
    <row r="79" ht="15">
      <c r="A79" s="173" t="s">
        <v>50</v>
      </c>
    </row>
    <row r="80" ht="10.5" customHeight="1"/>
    <row r="81" ht="15">
      <c r="A81" s="8" t="s">
        <v>51</v>
      </c>
    </row>
    <row r="82" ht="15">
      <c r="A82" s="8" t="s">
        <v>52</v>
      </c>
    </row>
    <row r="84" ht="15">
      <c r="A84" s="13" t="s">
        <v>53</v>
      </c>
    </row>
    <row r="85" ht="15">
      <c r="A85" s="13" t="s">
        <v>54</v>
      </c>
    </row>
    <row r="87" ht="15">
      <c r="A87" s="8" t="s">
        <v>55</v>
      </c>
    </row>
    <row r="88" ht="15">
      <c r="A88" s="8" t="s">
        <v>56</v>
      </c>
    </row>
    <row r="89" ht="15">
      <c r="A89" s="8" t="s">
        <v>57</v>
      </c>
    </row>
    <row r="90" ht="15">
      <c r="A90" s="8" t="s">
        <v>58</v>
      </c>
    </row>
    <row r="91" ht="15">
      <c r="A91" s="8" t="s">
        <v>59</v>
      </c>
    </row>
    <row r="93" spans="1:2" ht="15">
      <c r="A93" s="174"/>
      <c r="B93" s="8" t="s">
        <v>60</v>
      </c>
    </row>
  </sheetData>
  <sheetProtection/>
  <mergeCells count="20">
    <mergeCell ref="N1:O1"/>
    <mergeCell ref="N2:O2"/>
    <mergeCell ref="N7:O7"/>
    <mergeCell ref="A3:K3"/>
    <mergeCell ref="B10:O10"/>
    <mergeCell ref="B11:O11"/>
    <mergeCell ref="D14:O14"/>
    <mergeCell ref="F20:H20"/>
    <mergeCell ref="J20:L20"/>
    <mergeCell ref="N20:O20"/>
    <mergeCell ref="N3:O3"/>
    <mergeCell ref="N4:O4"/>
    <mergeCell ref="N5:O5"/>
    <mergeCell ref="B74:D74"/>
    <mergeCell ref="D21:D22"/>
    <mergeCell ref="N21:N22"/>
    <mergeCell ref="O21:O22"/>
    <mergeCell ref="B67:D67"/>
    <mergeCell ref="B68:D68"/>
    <mergeCell ref="B73:D73"/>
  </mergeCells>
  <dataValidations count="4">
    <dataValidation type="list" allowBlank="1" showInputMessage="1" showErrorMessage="1" sqref="E51:E52 E54:E60 E63 E42:E49 E23:E40">
      <formula1>'Res (250kWh)'!#REF!</formula1>
    </dataValidation>
    <dataValidation type="list" allowBlank="1" showInputMessage="1" showErrorMessage="1" prompt="Select Charge Unit - monthly, per kWh, per kW" sqref="D51:D52 D69 D75 D54:D63 D42:D49 D23:D40">
      <formula1>"Monthly, per kWh, per kW"</formula1>
    </dataValidation>
    <dataValidation type="list" allowBlank="1" showInputMessage="1" showErrorMessage="1" sqref="E75 E69 E61:E62">
      <formula1>'Res (250kWh)'!#REF!</formula1>
    </dataValidation>
    <dataValidation type="list" allowBlank="1" showInputMessage="1" showErrorMessage="1" sqref="D16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93"/>
  <sheetViews>
    <sheetView showGridLines="0" zoomScalePageLayoutView="0" workbookViewId="0" topLeftCell="A15">
      <selection activeCell="J43" sqref="J43"/>
    </sheetView>
  </sheetViews>
  <sheetFormatPr defaultColWidth="9.140625" defaultRowHeight="15"/>
  <cols>
    <col min="1" max="1" width="2.140625" style="8" customWidth="1"/>
    <col min="2" max="2" width="44.5742187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8.57421875" style="8" customWidth="1"/>
    <col min="8" max="8" width="9.7109375" style="8" customWidth="1"/>
    <col min="9" max="9" width="2.8515625" style="8" customWidth="1"/>
    <col min="10" max="10" width="12.140625" style="8" customWidth="1"/>
    <col min="11" max="11" width="8.57421875" style="8" customWidth="1"/>
    <col min="12" max="12" width="9.7109375" style="8" customWidth="1"/>
    <col min="13" max="13" width="2.8515625" style="8" customWidth="1"/>
    <col min="14" max="14" width="12.7109375" style="8" bestFit="1" customWidth="1"/>
    <col min="15" max="15" width="10.8515625" style="8" bestFit="1" customWidth="1"/>
    <col min="16" max="16" width="6.2812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42" t="str">
        <f>EBNUMBER</f>
        <v>EB-2013-0116</v>
      </c>
      <c r="O1" s="342"/>
      <c r="P1" s="196"/>
      <c r="T1" s="2">
        <v>1</v>
      </c>
    </row>
    <row r="2" spans="1:16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343">
        <v>8</v>
      </c>
      <c r="O2" s="343"/>
      <c r="P2" s="197"/>
    </row>
    <row r="3" spans="1:16" s="2" customFormat="1" ht="15" customHeight="1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" t="s">
        <v>79</v>
      </c>
      <c r="N3" s="344" t="s">
        <v>80</v>
      </c>
      <c r="O3" s="344"/>
      <c r="P3" s="198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343">
        <v>3</v>
      </c>
      <c r="O4" s="343"/>
      <c r="P4" s="197"/>
    </row>
    <row r="5" spans="3:16" s="2" customFormat="1" ht="15" customHeight="1">
      <c r="C5" s="7"/>
      <c r="D5" s="7"/>
      <c r="E5" s="7"/>
      <c r="L5" s="3" t="s">
        <v>81</v>
      </c>
      <c r="N5" s="345" t="s">
        <v>84</v>
      </c>
      <c r="O5" s="345"/>
      <c r="P5" s="196"/>
    </row>
    <row r="6" spans="12:16" s="2" customFormat="1" ht="9" customHeight="1">
      <c r="L6" s="3"/>
      <c r="N6" s="195"/>
      <c r="O6" s="4"/>
      <c r="P6" s="199"/>
    </row>
    <row r="7" spans="12:16" s="2" customFormat="1" ht="15">
      <c r="L7" s="3" t="s">
        <v>83</v>
      </c>
      <c r="N7" s="346">
        <v>41575</v>
      </c>
      <c r="O7" s="346"/>
      <c r="P7" s="196"/>
    </row>
    <row r="8" spans="14:16" s="2" customFormat="1" ht="15" customHeight="1">
      <c r="N8" s="8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337" t="s">
        <v>3</v>
      </c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/>
    </row>
    <row r="11" spans="2:16" ht="18.75" customHeight="1">
      <c r="B11" s="337" t="s">
        <v>4</v>
      </c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338" t="s">
        <v>61</v>
      </c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7" ht="15">
      <c r="B18" s="13"/>
      <c r="D18" s="14" t="s">
        <v>8</v>
      </c>
      <c r="E18" s="14"/>
      <c r="F18" s="15">
        <v>500</v>
      </c>
      <c r="G18" s="14" t="s">
        <v>9</v>
      </c>
    </row>
    <row r="19" ht="15">
      <c r="B19" s="13"/>
    </row>
    <row r="20" spans="2:15" ht="15">
      <c r="B20" s="13"/>
      <c r="D20" s="16"/>
      <c r="E20" s="16"/>
      <c r="F20" s="339" t="s">
        <v>10</v>
      </c>
      <c r="G20" s="340"/>
      <c r="H20" s="341"/>
      <c r="J20" s="339" t="s">
        <v>11</v>
      </c>
      <c r="K20" s="340"/>
      <c r="L20" s="341"/>
      <c r="N20" s="339" t="s">
        <v>12</v>
      </c>
      <c r="O20" s="341"/>
    </row>
    <row r="21" spans="2:15" ht="15">
      <c r="B21" s="13"/>
      <c r="D21" s="327" t="s">
        <v>13</v>
      </c>
      <c r="E21" s="17"/>
      <c r="F21" s="18" t="s">
        <v>14</v>
      </c>
      <c r="G21" s="18" t="s">
        <v>15</v>
      </c>
      <c r="H21" s="19" t="s">
        <v>16</v>
      </c>
      <c r="J21" s="18" t="s">
        <v>14</v>
      </c>
      <c r="K21" s="20" t="s">
        <v>15</v>
      </c>
      <c r="L21" s="19" t="s">
        <v>16</v>
      </c>
      <c r="N21" s="329" t="s">
        <v>17</v>
      </c>
      <c r="O21" s="331" t="s">
        <v>18</v>
      </c>
    </row>
    <row r="22" spans="2:15" ht="15">
      <c r="B22" s="13"/>
      <c r="D22" s="328"/>
      <c r="E22" s="17"/>
      <c r="F22" s="21" t="s">
        <v>19</v>
      </c>
      <c r="G22" s="21"/>
      <c r="H22" s="22" t="s">
        <v>19</v>
      </c>
      <c r="J22" s="21" t="s">
        <v>19</v>
      </c>
      <c r="K22" s="22"/>
      <c r="L22" s="22" t="s">
        <v>19</v>
      </c>
      <c r="N22" s="330"/>
      <c r="O22" s="332"/>
    </row>
    <row r="23" spans="2:15" ht="22.5" customHeight="1">
      <c r="B23" s="23" t="s">
        <v>20</v>
      </c>
      <c r="C23" s="23"/>
      <c r="D23" s="24" t="s">
        <v>62</v>
      </c>
      <c r="E23" s="25"/>
      <c r="F23" s="176">
        <f>'Res (100kWh)'!F23</f>
        <v>11</v>
      </c>
      <c r="G23" s="27">
        <v>1</v>
      </c>
      <c r="H23" s="28">
        <f>G23*F23</f>
        <v>11</v>
      </c>
      <c r="I23" s="29"/>
      <c r="J23" s="175">
        <f>'Res (100kWh)'!J23</f>
        <v>11.15</v>
      </c>
      <c r="K23" s="31">
        <v>1</v>
      </c>
      <c r="L23" s="28">
        <f>K23*J23</f>
        <v>11.15</v>
      </c>
      <c r="M23" s="29"/>
      <c r="N23" s="32">
        <f>L23-H23</f>
        <v>0.15000000000000036</v>
      </c>
      <c r="O23" s="33">
        <f>IF((H23)=0,"",(N23/H23))</f>
        <v>0.013636363636363669</v>
      </c>
    </row>
    <row r="24" spans="2:15" ht="22.5" customHeight="1">
      <c r="B24" s="23" t="s">
        <v>102</v>
      </c>
      <c r="C24" s="23"/>
      <c r="D24" s="24" t="s">
        <v>62</v>
      </c>
      <c r="E24" s="25"/>
      <c r="F24" s="255">
        <f>'Res (100kWh)'!F24</f>
        <v>0</v>
      </c>
      <c r="G24" s="27">
        <v>1</v>
      </c>
      <c r="H24" s="249">
        <f>G24*F24</f>
        <v>0</v>
      </c>
      <c r="I24" s="29"/>
      <c r="J24" s="175">
        <f>'Res (100kWh)'!J24</f>
        <v>0</v>
      </c>
      <c r="K24" s="31">
        <v>1</v>
      </c>
      <c r="L24" s="28">
        <f>K24*J24</f>
        <v>0</v>
      </c>
      <c r="M24" s="29"/>
      <c r="N24" s="32">
        <f>L24-H24</f>
        <v>0</v>
      </c>
      <c r="O24" s="33">
        <f>IF((H24)=0,"",(N24/H24))</f>
      </c>
    </row>
    <row r="25" spans="2:15" ht="36.75" customHeight="1">
      <c r="B25" s="66" t="s">
        <v>125</v>
      </c>
      <c r="C25" s="23"/>
      <c r="D25" s="57" t="s">
        <v>62</v>
      </c>
      <c r="E25" s="25"/>
      <c r="F25" s="272">
        <v>0</v>
      </c>
      <c r="G25" s="27">
        <v>1</v>
      </c>
      <c r="H25" s="249">
        <f>G25*F25</f>
        <v>0</v>
      </c>
      <c r="I25" s="29"/>
      <c r="J25" s="30">
        <f>'Res (100kWh)'!J25</f>
        <v>0.79</v>
      </c>
      <c r="K25" s="31">
        <v>1</v>
      </c>
      <c r="L25" s="249">
        <f>K25*J25</f>
        <v>0.79</v>
      </c>
      <c r="M25" s="29"/>
      <c r="N25" s="32">
        <f>L25-H25</f>
        <v>0.79</v>
      </c>
      <c r="O25" s="250">
        <f>IF((H25)=0,"",(N25/H25))</f>
      </c>
    </row>
    <row r="26" spans="2:15" ht="36.75" customHeight="1">
      <c r="B26" s="177" t="s">
        <v>64</v>
      </c>
      <c r="C26" s="23"/>
      <c r="D26" s="57" t="s">
        <v>62</v>
      </c>
      <c r="E26" s="58"/>
      <c r="F26" s="175">
        <v>0</v>
      </c>
      <c r="G26" s="27">
        <v>1</v>
      </c>
      <c r="H26" s="28">
        <f aca="true" t="shared" si="0" ref="H26:H40">G26*F26</f>
        <v>0</v>
      </c>
      <c r="I26" s="29"/>
      <c r="J26" s="30"/>
      <c r="K26" s="31">
        <v>1</v>
      </c>
      <c r="L26" s="28">
        <f aca="true" t="shared" si="1" ref="L26:L40">K26*J26</f>
        <v>0</v>
      </c>
      <c r="M26" s="29"/>
      <c r="N26" s="32">
        <f aca="true" t="shared" si="2" ref="N26:N68">L26-H26</f>
        <v>0</v>
      </c>
      <c r="O26" s="33">
        <f aca="true" t="shared" si="3" ref="O26:O48">IF((H26)=0,"",(N26/H26))</f>
      </c>
    </row>
    <row r="27" spans="2:15" ht="15">
      <c r="B27" s="177" t="s">
        <v>65</v>
      </c>
      <c r="C27" s="23"/>
      <c r="D27" s="24" t="s">
        <v>62</v>
      </c>
      <c r="E27" s="25"/>
      <c r="F27" s="26">
        <f>'Res (100kWh)'!F27</f>
        <v>4.33</v>
      </c>
      <c r="G27" s="27">
        <v>1</v>
      </c>
      <c r="H27" s="28">
        <f t="shared" si="0"/>
        <v>4.33</v>
      </c>
      <c r="I27" s="29"/>
      <c r="J27" s="175">
        <v>0</v>
      </c>
      <c r="K27" s="31">
        <v>1</v>
      </c>
      <c r="L27" s="28">
        <f t="shared" si="1"/>
        <v>0</v>
      </c>
      <c r="M27" s="29"/>
      <c r="N27" s="259">
        <f t="shared" si="2"/>
        <v>-4.33</v>
      </c>
      <c r="O27" s="33">
        <f t="shared" si="3"/>
        <v>-1</v>
      </c>
    </row>
    <row r="28" spans="2:15" ht="15">
      <c r="B28" s="47" t="s">
        <v>66</v>
      </c>
      <c r="C28" s="23"/>
      <c r="D28" s="24" t="s">
        <v>63</v>
      </c>
      <c r="E28" s="25"/>
      <c r="F28" s="26">
        <v>0</v>
      </c>
      <c r="G28" s="27">
        <f aca="true" t="shared" si="4" ref="G28:G33">$F$18</f>
        <v>500</v>
      </c>
      <c r="H28" s="28">
        <f t="shared" si="0"/>
        <v>0</v>
      </c>
      <c r="I28" s="29"/>
      <c r="J28" s="175"/>
      <c r="K28" s="27">
        <f>$F$18</f>
        <v>500</v>
      </c>
      <c r="L28" s="28">
        <f t="shared" si="1"/>
        <v>0</v>
      </c>
      <c r="M28" s="29"/>
      <c r="N28" s="32">
        <f t="shared" si="2"/>
        <v>0</v>
      </c>
      <c r="O28" s="33">
        <f t="shared" si="3"/>
      </c>
    </row>
    <row r="29" spans="2:15" ht="15">
      <c r="B29" s="47" t="s">
        <v>67</v>
      </c>
      <c r="C29" s="23"/>
      <c r="D29" s="24" t="s">
        <v>63</v>
      </c>
      <c r="E29" s="25"/>
      <c r="F29" s="253">
        <f>'Res (100kWh)'!F29</f>
        <v>-0.004</v>
      </c>
      <c r="G29" s="27">
        <f t="shared" si="4"/>
        <v>500</v>
      </c>
      <c r="H29" s="28">
        <f t="shared" si="0"/>
        <v>-2</v>
      </c>
      <c r="I29" s="29"/>
      <c r="J29" s="30">
        <f>'Res (100kWh)'!J29</f>
        <v>0</v>
      </c>
      <c r="K29" s="27">
        <f>$F$18</f>
        <v>500</v>
      </c>
      <c r="L29" s="28">
        <f t="shared" si="1"/>
        <v>0</v>
      </c>
      <c r="M29" s="29"/>
      <c r="N29" s="32">
        <f t="shared" si="2"/>
        <v>2</v>
      </c>
      <c r="O29" s="33">
        <f t="shared" si="3"/>
        <v>-1</v>
      </c>
    </row>
    <row r="30" spans="2:15" ht="15">
      <c r="B30" s="47" t="s">
        <v>103</v>
      </c>
      <c r="C30" s="23"/>
      <c r="D30" s="24" t="s">
        <v>63</v>
      </c>
      <c r="E30" s="25"/>
      <c r="F30" s="26">
        <f>'Res (100kWh)'!F30</f>
        <v>0</v>
      </c>
      <c r="G30" s="27">
        <f t="shared" si="4"/>
        <v>500</v>
      </c>
      <c r="H30" s="249">
        <f t="shared" si="0"/>
        <v>0</v>
      </c>
      <c r="I30" s="29"/>
      <c r="J30" s="30">
        <f>'Res (100kWh)'!J30</f>
        <v>0</v>
      </c>
      <c r="K30" s="27">
        <f>$F$18</f>
        <v>500</v>
      </c>
      <c r="L30" s="249">
        <f>K30*J30</f>
        <v>0</v>
      </c>
      <c r="M30" s="29"/>
      <c r="N30" s="259">
        <f>L30-H30</f>
        <v>0</v>
      </c>
      <c r="O30" s="250">
        <f>IF((H30)=0,"",(N30/H30))</f>
      </c>
    </row>
    <row r="31" spans="2:15" ht="15">
      <c r="B31" s="23" t="s">
        <v>21</v>
      </c>
      <c r="C31" s="23"/>
      <c r="D31" s="24" t="s">
        <v>63</v>
      </c>
      <c r="E31" s="25"/>
      <c r="F31" s="26">
        <f>'Res (100kWh)'!F31</f>
        <v>0.0178</v>
      </c>
      <c r="G31" s="27">
        <f t="shared" si="4"/>
        <v>500</v>
      </c>
      <c r="H31" s="28">
        <f t="shared" si="0"/>
        <v>8.9</v>
      </c>
      <c r="I31" s="29"/>
      <c r="J31" s="30">
        <f>'Res (100kWh)'!J31</f>
        <v>0.018</v>
      </c>
      <c r="K31" s="27">
        <f>$F$18</f>
        <v>500</v>
      </c>
      <c r="L31" s="28">
        <f t="shared" si="1"/>
        <v>9</v>
      </c>
      <c r="M31" s="29"/>
      <c r="N31" s="32">
        <f t="shared" si="2"/>
        <v>0.09999999999999964</v>
      </c>
      <c r="O31" s="33">
        <f>IF((H31)=0,"",(N31/H31))</f>
        <v>0.011235955056179735</v>
      </c>
    </row>
    <row r="32" spans="2:15" ht="15">
      <c r="B32" s="23" t="s">
        <v>22</v>
      </c>
      <c r="C32" s="23"/>
      <c r="D32" s="24"/>
      <c r="E32" s="25"/>
      <c r="F32" s="26"/>
      <c r="G32" s="27">
        <f t="shared" si="4"/>
        <v>500</v>
      </c>
      <c r="H32" s="28">
        <f t="shared" si="0"/>
        <v>0</v>
      </c>
      <c r="I32" s="29"/>
      <c r="J32" s="30"/>
      <c r="K32" s="27">
        <f aca="true" t="shared" si="5" ref="K32:K40">$F$18</f>
        <v>500</v>
      </c>
      <c r="L32" s="28">
        <f t="shared" si="1"/>
        <v>0</v>
      </c>
      <c r="M32" s="29"/>
      <c r="N32" s="32">
        <f t="shared" si="2"/>
        <v>0</v>
      </c>
      <c r="O32" s="33">
        <f t="shared" si="3"/>
      </c>
    </row>
    <row r="33" spans="2:15" ht="15">
      <c r="B33" s="23" t="s">
        <v>124</v>
      </c>
      <c r="C33" s="23"/>
      <c r="D33" s="24" t="s">
        <v>63</v>
      </c>
      <c r="E33" s="25"/>
      <c r="F33" s="26">
        <v>0</v>
      </c>
      <c r="G33" s="27">
        <f t="shared" si="4"/>
        <v>500</v>
      </c>
      <c r="H33" s="249">
        <f t="shared" si="0"/>
        <v>0</v>
      </c>
      <c r="I33" s="29"/>
      <c r="J33" s="30">
        <f>'Res (100kWh)'!$J33</f>
        <v>0.0001</v>
      </c>
      <c r="K33" s="27">
        <f t="shared" si="5"/>
        <v>500</v>
      </c>
      <c r="L33" s="249">
        <f t="shared" si="1"/>
        <v>0.05</v>
      </c>
      <c r="M33" s="29"/>
      <c r="N33" s="32">
        <f t="shared" si="2"/>
        <v>0.05</v>
      </c>
      <c r="O33" s="250">
        <f t="shared" si="3"/>
      </c>
    </row>
    <row r="34" spans="2:15" ht="15" hidden="1">
      <c r="B34" s="34"/>
      <c r="C34" s="23"/>
      <c r="D34" s="24"/>
      <c r="E34" s="25"/>
      <c r="F34" s="26"/>
      <c r="G34" s="27">
        <f aca="true" t="shared" si="6" ref="G34:G40">$F$18</f>
        <v>500</v>
      </c>
      <c r="H34" s="28">
        <f t="shared" si="0"/>
        <v>0</v>
      </c>
      <c r="I34" s="29"/>
      <c r="J34" s="30"/>
      <c r="K34" s="27">
        <f t="shared" si="5"/>
        <v>500</v>
      </c>
      <c r="L34" s="28">
        <f t="shared" si="1"/>
        <v>0</v>
      </c>
      <c r="M34" s="29"/>
      <c r="N34" s="32">
        <f t="shared" si="2"/>
        <v>0</v>
      </c>
      <c r="O34" s="33">
        <f t="shared" si="3"/>
      </c>
    </row>
    <row r="35" spans="2:15" ht="15" hidden="1">
      <c r="B35" s="34"/>
      <c r="C35" s="23"/>
      <c r="D35" s="24"/>
      <c r="E35" s="25"/>
      <c r="F35" s="26"/>
      <c r="G35" s="27">
        <f t="shared" si="6"/>
        <v>500</v>
      </c>
      <c r="H35" s="28">
        <f t="shared" si="0"/>
        <v>0</v>
      </c>
      <c r="I35" s="29"/>
      <c r="J35" s="30"/>
      <c r="K35" s="27">
        <f t="shared" si="5"/>
        <v>500</v>
      </c>
      <c r="L35" s="28">
        <f t="shared" si="1"/>
        <v>0</v>
      </c>
      <c r="M35" s="29"/>
      <c r="N35" s="32">
        <f t="shared" si="2"/>
        <v>0</v>
      </c>
      <c r="O35" s="33">
        <f t="shared" si="3"/>
      </c>
    </row>
    <row r="36" spans="2:15" ht="15" hidden="1">
      <c r="B36" s="34"/>
      <c r="C36" s="23"/>
      <c r="D36" s="24"/>
      <c r="E36" s="25"/>
      <c r="F36" s="26"/>
      <c r="G36" s="27">
        <f t="shared" si="6"/>
        <v>500</v>
      </c>
      <c r="H36" s="28">
        <f t="shared" si="0"/>
        <v>0</v>
      </c>
      <c r="I36" s="29"/>
      <c r="J36" s="30"/>
      <c r="K36" s="27">
        <f t="shared" si="5"/>
        <v>500</v>
      </c>
      <c r="L36" s="28">
        <f t="shared" si="1"/>
        <v>0</v>
      </c>
      <c r="M36" s="29"/>
      <c r="N36" s="32">
        <f t="shared" si="2"/>
        <v>0</v>
      </c>
      <c r="O36" s="33">
        <f t="shared" si="3"/>
      </c>
    </row>
    <row r="37" spans="2:15" ht="15" hidden="1">
      <c r="B37" s="34"/>
      <c r="C37" s="23"/>
      <c r="D37" s="24"/>
      <c r="E37" s="25"/>
      <c r="F37" s="26"/>
      <c r="G37" s="27">
        <f t="shared" si="6"/>
        <v>500</v>
      </c>
      <c r="H37" s="28">
        <f t="shared" si="0"/>
        <v>0</v>
      </c>
      <c r="I37" s="29"/>
      <c r="J37" s="30"/>
      <c r="K37" s="27">
        <f t="shared" si="5"/>
        <v>500</v>
      </c>
      <c r="L37" s="28">
        <f t="shared" si="1"/>
        <v>0</v>
      </c>
      <c r="M37" s="29"/>
      <c r="N37" s="32">
        <f t="shared" si="2"/>
        <v>0</v>
      </c>
      <c r="O37" s="33">
        <f t="shared" si="3"/>
      </c>
    </row>
    <row r="38" spans="2:15" ht="15" hidden="1">
      <c r="B38" s="34"/>
      <c r="C38" s="23"/>
      <c r="D38" s="24"/>
      <c r="E38" s="25"/>
      <c r="F38" s="26"/>
      <c r="G38" s="27">
        <f t="shared" si="6"/>
        <v>500</v>
      </c>
      <c r="H38" s="28">
        <f t="shared" si="0"/>
        <v>0</v>
      </c>
      <c r="I38" s="29"/>
      <c r="J38" s="30"/>
      <c r="K38" s="27">
        <f t="shared" si="5"/>
        <v>500</v>
      </c>
      <c r="L38" s="28">
        <f t="shared" si="1"/>
        <v>0</v>
      </c>
      <c r="M38" s="29"/>
      <c r="N38" s="32">
        <f t="shared" si="2"/>
        <v>0</v>
      </c>
      <c r="O38" s="33">
        <f t="shared" si="3"/>
      </c>
    </row>
    <row r="39" spans="2:15" ht="15" hidden="1">
      <c r="B39" s="34"/>
      <c r="C39" s="23"/>
      <c r="D39" s="24"/>
      <c r="E39" s="25"/>
      <c r="F39" s="26"/>
      <c r="G39" s="27">
        <f t="shared" si="6"/>
        <v>500</v>
      </c>
      <c r="H39" s="28">
        <f t="shared" si="0"/>
        <v>0</v>
      </c>
      <c r="I39" s="29"/>
      <c r="J39" s="30"/>
      <c r="K39" s="27">
        <f t="shared" si="5"/>
        <v>500</v>
      </c>
      <c r="L39" s="28">
        <f t="shared" si="1"/>
        <v>0</v>
      </c>
      <c r="M39" s="29"/>
      <c r="N39" s="32">
        <f t="shared" si="2"/>
        <v>0</v>
      </c>
      <c r="O39" s="33">
        <f t="shared" si="3"/>
      </c>
    </row>
    <row r="40" spans="2:15" ht="15" hidden="1">
      <c r="B40" s="34"/>
      <c r="C40" s="23"/>
      <c r="D40" s="24"/>
      <c r="E40" s="25"/>
      <c r="F40" s="26"/>
      <c r="G40" s="27">
        <f t="shared" si="6"/>
        <v>500</v>
      </c>
      <c r="H40" s="28">
        <f t="shared" si="0"/>
        <v>0</v>
      </c>
      <c r="I40" s="29"/>
      <c r="J40" s="30"/>
      <c r="K40" s="27">
        <f t="shared" si="5"/>
        <v>500</v>
      </c>
      <c r="L40" s="28">
        <f t="shared" si="1"/>
        <v>0</v>
      </c>
      <c r="M40" s="29"/>
      <c r="N40" s="32">
        <f t="shared" si="2"/>
        <v>0</v>
      </c>
      <c r="O40" s="33">
        <f t="shared" si="3"/>
      </c>
    </row>
    <row r="41" spans="2:15" s="35" customFormat="1" ht="15">
      <c r="B41" s="36" t="s">
        <v>24</v>
      </c>
      <c r="C41" s="37"/>
      <c r="D41" s="38"/>
      <c r="E41" s="37"/>
      <c r="F41" s="39"/>
      <c r="G41" s="40"/>
      <c r="H41" s="41">
        <f>SUM(H23:H40)</f>
        <v>22.23</v>
      </c>
      <c r="I41" s="42"/>
      <c r="J41" s="43"/>
      <c r="K41" s="44"/>
      <c r="L41" s="41">
        <f>SUM(L23:L40)</f>
        <v>20.990000000000002</v>
      </c>
      <c r="M41" s="42"/>
      <c r="N41" s="260">
        <f t="shared" si="2"/>
        <v>-1.2399999999999984</v>
      </c>
      <c r="O41" s="46">
        <f t="shared" si="3"/>
        <v>-0.05578047683310834</v>
      </c>
    </row>
    <row r="42" spans="2:15" ht="15" hidden="1">
      <c r="B42" s="177"/>
      <c r="C42" s="23"/>
      <c r="D42" s="57" t="s">
        <v>62</v>
      </c>
      <c r="E42" s="25"/>
      <c r="F42" s="26"/>
      <c r="G42" s="27">
        <v>1</v>
      </c>
      <c r="H42" s="28">
        <f>G42*F42</f>
        <v>0</v>
      </c>
      <c r="I42" s="29"/>
      <c r="J42" s="175"/>
      <c r="K42" s="31">
        <v>1</v>
      </c>
      <c r="L42" s="28">
        <f>K42*J42</f>
        <v>0</v>
      </c>
      <c r="M42" s="29"/>
      <c r="N42" s="32">
        <f>L42-H42</f>
        <v>0</v>
      </c>
      <c r="O42" s="33">
        <f>IF((H42)=0,"",(N42/H42))</f>
      </c>
    </row>
    <row r="43" spans="2:15" ht="25.5">
      <c r="B43" s="47" t="s">
        <v>25</v>
      </c>
      <c r="C43" s="23"/>
      <c r="D43" s="57" t="s">
        <v>63</v>
      </c>
      <c r="E43" s="58"/>
      <c r="F43" s="254">
        <f>'Res (100kWh)'!F43</f>
        <v>-0.002</v>
      </c>
      <c r="G43" s="27">
        <f>$F$18</f>
        <v>500</v>
      </c>
      <c r="H43" s="28">
        <f aca="true" t="shared" si="7" ref="H43:H49">G43*F43</f>
        <v>-1</v>
      </c>
      <c r="I43" s="29"/>
      <c r="J43" s="254">
        <f>'Res (100kWh)'!J43</f>
        <v>-0.0016</v>
      </c>
      <c r="K43" s="27">
        <f>$F$18</f>
        <v>500</v>
      </c>
      <c r="L43" s="28">
        <f aca="true" t="shared" si="8" ref="L43:L49">K43*J43</f>
        <v>-0.8</v>
      </c>
      <c r="M43" s="29"/>
      <c r="N43" s="32">
        <f t="shared" si="2"/>
        <v>0.19999999999999996</v>
      </c>
      <c r="O43" s="33">
        <f t="shared" si="3"/>
        <v>-0.19999999999999996</v>
      </c>
    </row>
    <row r="44" spans="2:15" ht="15" customHeight="1" hidden="1">
      <c r="B44" s="47"/>
      <c r="C44" s="23"/>
      <c r="D44" s="24" t="s">
        <v>63</v>
      </c>
      <c r="E44" s="25"/>
      <c r="F44" s="26"/>
      <c r="G44" s="27">
        <f>$F$18</f>
        <v>500</v>
      </c>
      <c r="H44" s="28">
        <f t="shared" si="7"/>
        <v>0</v>
      </c>
      <c r="I44" s="48"/>
      <c r="J44" s="30"/>
      <c r="K44" s="27">
        <f>$F$18</f>
        <v>500</v>
      </c>
      <c r="L44" s="28">
        <f t="shared" si="8"/>
        <v>0</v>
      </c>
      <c r="M44" s="49"/>
      <c r="N44" s="32">
        <f t="shared" si="2"/>
        <v>0</v>
      </c>
      <c r="O44" s="33">
        <f t="shared" si="3"/>
      </c>
    </row>
    <row r="45" spans="2:15" ht="15" customHeight="1" hidden="1">
      <c r="B45" s="47"/>
      <c r="C45" s="23"/>
      <c r="D45" s="24" t="s">
        <v>63</v>
      </c>
      <c r="E45" s="25"/>
      <c r="F45" s="26"/>
      <c r="G45" s="27">
        <f>$F$18</f>
        <v>500</v>
      </c>
      <c r="H45" s="28">
        <f t="shared" si="7"/>
        <v>0</v>
      </c>
      <c r="I45" s="48"/>
      <c r="J45" s="30"/>
      <c r="K45" s="27">
        <f>$F$18</f>
        <v>500</v>
      </c>
      <c r="L45" s="28">
        <f t="shared" si="8"/>
        <v>0</v>
      </c>
      <c r="M45" s="49"/>
      <c r="N45" s="32">
        <f t="shared" si="2"/>
        <v>0</v>
      </c>
      <c r="O45" s="33">
        <f t="shared" si="3"/>
      </c>
    </row>
    <row r="46" spans="2:15" ht="15" hidden="1">
      <c r="B46" s="47"/>
      <c r="C46" s="23"/>
      <c r="D46" s="24"/>
      <c r="E46" s="25"/>
      <c r="F46" s="26"/>
      <c r="G46" s="27">
        <f>$F$18</f>
        <v>500</v>
      </c>
      <c r="H46" s="28">
        <f t="shared" si="7"/>
        <v>0</v>
      </c>
      <c r="I46" s="48"/>
      <c r="J46" s="30"/>
      <c r="K46" s="27">
        <f>$F$18</f>
        <v>500</v>
      </c>
      <c r="L46" s="28">
        <f t="shared" si="8"/>
        <v>0</v>
      </c>
      <c r="M46" s="49"/>
      <c r="N46" s="32">
        <f t="shared" si="2"/>
        <v>0</v>
      </c>
      <c r="O46" s="33">
        <f t="shared" si="3"/>
      </c>
    </row>
    <row r="47" spans="2:15" ht="15">
      <c r="B47" s="50" t="s">
        <v>26</v>
      </c>
      <c r="C47" s="23"/>
      <c r="D47" s="24" t="s">
        <v>63</v>
      </c>
      <c r="E47" s="25"/>
      <c r="F47" s="26">
        <f>'Res (100kWh)'!F47</f>
        <v>0.0001</v>
      </c>
      <c r="G47" s="27">
        <f>$F$18</f>
        <v>500</v>
      </c>
      <c r="H47" s="28">
        <f t="shared" si="7"/>
        <v>0.05</v>
      </c>
      <c r="I47" s="29"/>
      <c r="J47" s="30">
        <f>'Res (100kWh)'!J47</f>
        <v>0.0001</v>
      </c>
      <c r="K47" s="27">
        <f>$F$18</f>
        <v>500</v>
      </c>
      <c r="L47" s="28">
        <f t="shared" si="8"/>
        <v>0.05</v>
      </c>
      <c r="M47" s="29"/>
      <c r="N47" s="32">
        <f t="shared" si="2"/>
        <v>0</v>
      </c>
      <c r="O47" s="33">
        <f t="shared" si="3"/>
        <v>0</v>
      </c>
    </row>
    <row r="48" spans="2:15" s="35" customFormat="1" ht="15">
      <c r="B48" s="183" t="s">
        <v>27</v>
      </c>
      <c r="C48" s="25"/>
      <c r="D48" s="184" t="s">
        <v>63</v>
      </c>
      <c r="E48" s="25"/>
      <c r="F48" s="185">
        <f>IF(ISBLANK(D16)=TRUE,0,IF(D16="TOU",0.64*$F$58+0.18*$F$59+0.18*$F$60,IF(AND(D16="non-TOU",G62&gt;0),F62,F61)))</f>
        <v>0.08392</v>
      </c>
      <c r="G48" s="27">
        <f>$F$18*(1+$F$77)-$F$18</f>
        <v>16.75</v>
      </c>
      <c r="H48" s="186">
        <f t="shared" si="7"/>
        <v>1.40566</v>
      </c>
      <c r="I48" s="58"/>
      <c r="J48" s="187">
        <f>0.64*$F$58+0.18*$F$59+0.18*$F$60</f>
        <v>0.08392</v>
      </c>
      <c r="K48" s="27">
        <f>$F$18*(1+$J$77)-$F$18</f>
        <v>16.75</v>
      </c>
      <c r="L48" s="186">
        <f t="shared" si="8"/>
        <v>1.40566</v>
      </c>
      <c r="M48" s="58"/>
      <c r="N48" s="188">
        <f t="shared" si="2"/>
        <v>0</v>
      </c>
      <c r="O48" s="189">
        <f t="shared" si="3"/>
        <v>0</v>
      </c>
    </row>
    <row r="49" spans="2:15" ht="15">
      <c r="B49" s="50" t="s">
        <v>28</v>
      </c>
      <c r="C49" s="23"/>
      <c r="D49" s="24" t="s">
        <v>62</v>
      </c>
      <c r="E49" s="25"/>
      <c r="F49" s="180">
        <v>0.79</v>
      </c>
      <c r="G49" s="27">
        <v>1</v>
      </c>
      <c r="H49" s="28">
        <f t="shared" si="7"/>
        <v>0.79</v>
      </c>
      <c r="I49" s="29"/>
      <c r="J49" s="180">
        <v>0.79</v>
      </c>
      <c r="K49" s="27">
        <v>1</v>
      </c>
      <c r="L49" s="28">
        <f t="shared" si="8"/>
        <v>0.79</v>
      </c>
      <c r="M49" s="29"/>
      <c r="N49" s="32">
        <f t="shared" si="2"/>
        <v>0</v>
      </c>
      <c r="O49" s="33"/>
    </row>
    <row r="50" spans="2:15" ht="25.5">
      <c r="B50" s="51" t="s">
        <v>29</v>
      </c>
      <c r="C50" s="52"/>
      <c r="D50" s="52"/>
      <c r="E50" s="52"/>
      <c r="F50" s="53"/>
      <c r="G50" s="54"/>
      <c r="H50" s="55">
        <f>SUM(H42:H49)+H41</f>
        <v>23.47566</v>
      </c>
      <c r="I50" s="42"/>
      <c r="J50" s="54"/>
      <c r="K50" s="56"/>
      <c r="L50" s="55">
        <f>SUM(L42:L49)+L41</f>
        <v>22.435660000000002</v>
      </c>
      <c r="M50" s="42"/>
      <c r="N50" s="260">
        <f t="shared" si="2"/>
        <v>-1.0399999999999991</v>
      </c>
      <c r="O50" s="46">
        <f aca="true" t="shared" si="9" ref="O50:O68">IF((H50)=0,"",(N50/H50))</f>
        <v>-0.044301203885215544</v>
      </c>
    </row>
    <row r="51" spans="2:15" ht="15">
      <c r="B51" s="29" t="s">
        <v>30</v>
      </c>
      <c r="C51" s="29"/>
      <c r="D51" s="57" t="s">
        <v>63</v>
      </c>
      <c r="E51" s="58"/>
      <c r="F51" s="30">
        <f>'Res (100kWh)'!F51</f>
        <v>0.0067</v>
      </c>
      <c r="G51" s="59">
        <f>F18*(1+F77)</f>
        <v>516.75</v>
      </c>
      <c r="H51" s="28">
        <f>G51*F51</f>
        <v>3.462225</v>
      </c>
      <c r="I51" s="29"/>
      <c r="J51" s="30">
        <f>'Res (100kWh)'!J51</f>
        <v>0.0069</v>
      </c>
      <c r="K51" s="60">
        <f>F18*(1+J77)</f>
        <v>516.75</v>
      </c>
      <c r="L51" s="28">
        <f>K51*J51</f>
        <v>3.565575</v>
      </c>
      <c r="M51" s="29"/>
      <c r="N51" s="32">
        <f t="shared" si="2"/>
        <v>0.10334999999999983</v>
      </c>
      <c r="O51" s="33">
        <f t="shared" si="9"/>
        <v>0.029850746268656667</v>
      </c>
    </row>
    <row r="52" spans="2:15" ht="15">
      <c r="B52" s="61" t="s">
        <v>31</v>
      </c>
      <c r="C52" s="29"/>
      <c r="D52" s="57" t="s">
        <v>63</v>
      </c>
      <c r="E52" s="58"/>
      <c r="F52" s="30">
        <f>'Res (100kWh)'!F52</f>
        <v>0.0042</v>
      </c>
      <c r="G52" s="59">
        <f>G51</f>
        <v>516.75</v>
      </c>
      <c r="H52" s="28">
        <f>G52*F52</f>
        <v>2.17035</v>
      </c>
      <c r="I52" s="29"/>
      <c r="J52" s="30">
        <f>'Res (100kWh)'!J52</f>
        <v>0.0043</v>
      </c>
      <c r="K52" s="60">
        <f>K51</f>
        <v>516.75</v>
      </c>
      <c r="L52" s="28">
        <f>K52*J52</f>
        <v>2.222025</v>
      </c>
      <c r="M52" s="29"/>
      <c r="N52" s="32">
        <f t="shared" si="2"/>
        <v>0.051674999999999915</v>
      </c>
      <c r="O52" s="33">
        <f t="shared" si="9"/>
        <v>0.02380952380952377</v>
      </c>
    </row>
    <row r="53" spans="2:15" ht="15">
      <c r="B53" s="51" t="s">
        <v>32</v>
      </c>
      <c r="C53" s="37"/>
      <c r="D53" s="37"/>
      <c r="E53" s="37"/>
      <c r="F53" s="62"/>
      <c r="G53" s="54"/>
      <c r="H53" s="55">
        <f>SUM(H50:H52)</f>
        <v>29.108235</v>
      </c>
      <c r="I53" s="63"/>
      <c r="J53" s="64"/>
      <c r="K53" s="65"/>
      <c r="L53" s="55">
        <f>SUM(L50:L52)</f>
        <v>28.22326</v>
      </c>
      <c r="M53" s="63"/>
      <c r="N53" s="260">
        <f t="shared" si="2"/>
        <v>-0.8849750000000007</v>
      </c>
      <c r="O53" s="46">
        <f t="shared" si="9"/>
        <v>-0.03040290831786952</v>
      </c>
    </row>
    <row r="54" spans="2:15" ht="15">
      <c r="B54" s="66" t="s">
        <v>33</v>
      </c>
      <c r="C54" s="23"/>
      <c r="D54" s="24" t="s">
        <v>63</v>
      </c>
      <c r="E54" s="25"/>
      <c r="F54" s="67">
        <v>0.0044</v>
      </c>
      <c r="G54" s="59">
        <f>G52</f>
        <v>516.75</v>
      </c>
      <c r="H54" s="68">
        <f aca="true" t="shared" si="10" ref="H54:H60">G54*F54</f>
        <v>2.2737000000000003</v>
      </c>
      <c r="I54" s="29"/>
      <c r="J54" s="69">
        <v>0.0044</v>
      </c>
      <c r="K54" s="60">
        <f>K52</f>
        <v>516.75</v>
      </c>
      <c r="L54" s="68">
        <f aca="true" t="shared" si="11" ref="L54:L60">K54*J54</f>
        <v>2.2737000000000003</v>
      </c>
      <c r="M54" s="29"/>
      <c r="N54" s="32">
        <f t="shared" si="2"/>
        <v>0</v>
      </c>
      <c r="O54" s="70">
        <f t="shared" si="9"/>
        <v>0</v>
      </c>
    </row>
    <row r="55" spans="2:15" ht="15">
      <c r="B55" s="66" t="s">
        <v>34</v>
      </c>
      <c r="C55" s="23"/>
      <c r="D55" s="24" t="s">
        <v>63</v>
      </c>
      <c r="E55" s="25"/>
      <c r="F55" s="67">
        <v>0.0013</v>
      </c>
      <c r="G55" s="59">
        <f>G52</f>
        <v>516.75</v>
      </c>
      <c r="H55" s="68">
        <f t="shared" si="10"/>
        <v>0.671775</v>
      </c>
      <c r="I55" s="29"/>
      <c r="J55" s="69">
        <v>0.0013</v>
      </c>
      <c r="K55" s="60">
        <f>K52</f>
        <v>516.75</v>
      </c>
      <c r="L55" s="68">
        <f t="shared" si="11"/>
        <v>0.671775</v>
      </c>
      <c r="M55" s="29"/>
      <c r="N55" s="32">
        <f t="shared" si="2"/>
        <v>0</v>
      </c>
      <c r="O55" s="70">
        <f t="shared" si="9"/>
        <v>0</v>
      </c>
    </row>
    <row r="56" spans="2:15" ht="15">
      <c r="B56" s="23" t="s">
        <v>35</v>
      </c>
      <c r="C56" s="23"/>
      <c r="D56" s="24" t="s">
        <v>62</v>
      </c>
      <c r="E56" s="25"/>
      <c r="F56" s="178">
        <v>0.25</v>
      </c>
      <c r="G56" s="27">
        <v>1</v>
      </c>
      <c r="H56" s="68">
        <f t="shared" si="10"/>
        <v>0.25</v>
      </c>
      <c r="I56" s="29"/>
      <c r="J56" s="179">
        <v>0.25</v>
      </c>
      <c r="K56" s="31">
        <v>1</v>
      </c>
      <c r="L56" s="68">
        <f t="shared" si="11"/>
        <v>0.25</v>
      </c>
      <c r="M56" s="29"/>
      <c r="N56" s="32">
        <f t="shared" si="2"/>
        <v>0</v>
      </c>
      <c r="O56" s="70">
        <f t="shared" si="9"/>
        <v>0</v>
      </c>
    </row>
    <row r="57" spans="2:15" ht="15">
      <c r="B57" s="23" t="s">
        <v>36</v>
      </c>
      <c r="C57" s="23"/>
      <c r="D57" s="24" t="s">
        <v>63</v>
      </c>
      <c r="E57" s="25"/>
      <c r="F57" s="67">
        <v>0.007</v>
      </c>
      <c r="G57" s="71">
        <f>F18</f>
        <v>500</v>
      </c>
      <c r="H57" s="68">
        <f t="shared" si="10"/>
        <v>3.5</v>
      </c>
      <c r="I57" s="29"/>
      <c r="J57" s="69">
        <f>0.007</f>
        <v>0.007</v>
      </c>
      <c r="K57" s="72">
        <f>F18</f>
        <v>500</v>
      </c>
      <c r="L57" s="68">
        <f t="shared" si="11"/>
        <v>3.5</v>
      </c>
      <c r="M57" s="29"/>
      <c r="N57" s="32">
        <f t="shared" si="2"/>
        <v>0</v>
      </c>
      <c r="O57" s="70">
        <f t="shared" si="9"/>
        <v>0</v>
      </c>
    </row>
    <row r="58" spans="2:19" ht="15">
      <c r="B58" s="50" t="s">
        <v>37</v>
      </c>
      <c r="C58" s="23"/>
      <c r="D58" s="24" t="s">
        <v>63</v>
      </c>
      <c r="E58" s="25"/>
      <c r="F58" s="73">
        <v>0.067</v>
      </c>
      <c r="G58" s="71">
        <f>0.64*$F$18</f>
        <v>320</v>
      </c>
      <c r="H58" s="68">
        <f t="shared" si="10"/>
        <v>21.44</v>
      </c>
      <c r="I58" s="29"/>
      <c r="J58" s="67">
        <v>0.067</v>
      </c>
      <c r="K58" s="71">
        <f>G58</f>
        <v>320</v>
      </c>
      <c r="L58" s="68">
        <f t="shared" si="11"/>
        <v>21.44</v>
      </c>
      <c r="M58" s="29"/>
      <c r="N58" s="32">
        <f t="shared" si="2"/>
        <v>0</v>
      </c>
      <c r="O58" s="70">
        <f t="shared" si="9"/>
        <v>0</v>
      </c>
      <c r="S58" s="74"/>
    </row>
    <row r="59" spans="2:19" ht="15">
      <c r="B59" s="50" t="s">
        <v>38</v>
      </c>
      <c r="C59" s="23"/>
      <c r="D59" s="24" t="s">
        <v>63</v>
      </c>
      <c r="E59" s="25"/>
      <c r="F59" s="73">
        <v>0.104</v>
      </c>
      <c r="G59" s="71">
        <f>0.18*$F$18</f>
        <v>90</v>
      </c>
      <c r="H59" s="68">
        <f t="shared" si="10"/>
        <v>9.36</v>
      </c>
      <c r="I59" s="29"/>
      <c r="J59" s="67">
        <v>0.104</v>
      </c>
      <c r="K59" s="71">
        <f>G59</f>
        <v>90</v>
      </c>
      <c r="L59" s="68">
        <f t="shared" si="11"/>
        <v>9.36</v>
      </c>
      <c r="M59" s="29"/>
      <c r="N59" s="32">
        <f t="shared" si="2"/>
        <v>0</v>
      </c>
      <c r="O59" s="70">
        <f t="shared" si="9"/>
        <v>0</v>
      </c>
      <c r="S59" s="74"/>
    </row>
    <row r="60" spans="2:19" ht="15">
      <c r="B60" s="13" t="s">
        <v>39</v>
      </c>
      <c r="C60" s="23"/>
      <c r="D60" s="24" t="s">
        <v>63</v>
      </c>
      <c r="E60" s="25"/>
      <c r="F60" s="73">
        <v>0.124</v>
      </c>
      <c r="G60" s="71">
        <f>0.18*$F$18</f>
        <v>90</v>
      </c>
      <c r="H60" s="68">
        <f t="shared" si="10"/>
        <v>11.16</v>
      </c>
      <c r="I60" s="29"/>
      <c r="J60" s="67">
        <v>0.124</v>
      </c>
      <c r="K60" s="71">
        <f>G60</f>
        <v>90</v>
      </c>
      <c r="L60" s="68">
        <f t="shared" si="11"/>
        <v>11.16</v>
      </c>
      <c r="M60" s="29"/>
      <c r="N60" s="32">
        <f t="shared" si="2"/>
        <v>0</v>
      </c>
      <c r="O60" s="70">
        <f t="shared" si="9"/>
        <v>0</v>
      </c>
      <c r="S60" s="74"/>
    </row>
    <row r="61" spans="2:15" s="75" customFormat="1" ht="15">
      <c r="B61" s="76" t="s">
        <v>40</v>
      </c>
      <c r="C61" s="77"/>
      <c r="D61" s="78" t="s">
        <v>63</v>
      </c>
      <c r="E61" s="79"/>
      <c r="F61" s="73">
        <v>0.075</v>
      </c>
      <c r="G61" s="80">
        <f>IF(AND($T$1=1,F18&gt;=600),600,IF(AND($T$1=1,AND(F18&lt;600,F18&gt;=0)),F18,IF(AND($T$1=2,F18&gt;=1000),1000,IF(AND($T$1=2,AND(F18&lt;1000,F18&gt;=0)),F18))))</f>
        <v>500</v>
      </c>
      <c r="H61" s="68">
        <f>G61*F61</f>
        <v>37.5</v>
      </c>
      <c r="I61" s="81"/>
      <c r="J61" s="67">
        <v>0.075</v>
      </c>
      <c r="K61" s="80">
        <f>G61</f>
        <v>500</v>
      </c>
      <c r="L61" s="68">
        <f>K61*J61</f>
        <v>37.5</v>
      </c>
      <c r="M61" s="81"/>
      <c r="N61" s="82">
        <f t="shared" si="2"/>
        <v>0</v>
      </c>
      <c r="O61" s="70">
        <f t="shared" si="9"/>
        <v>0</v>
      </c>
    </row>
    <row r="62" spans="2:15" s="75" customFormat="1" ht="15.75" thickBot="1">
      <c r="B62" s="76" t="s">
        <v>41</v>
      </c>
      <c r="C62" s="77"/>
      <c r="D62" s="78" t="s">
        <v>63</v>
      </c>
      <c r="E62" s="79"/>
      <c r="F62" s="73">
        <v>0.088</v>
      </c>
      <c r="G62" s="80">
        <f>IF(AND($T$1=1,F18&gt;=600),F18-600,IF(AND($T$1=1,AND(F18&lt;600,F18&gt;=0)),0,IF(AND($T$1=2,F18&gt;=1000),F18-1000,IF(AND($T$1=2,AND(F18&lt;1000,F18&gt;=0)),0))))</f>
        <v>0</v>
      </c>
      <c r="H62" s="68">
        <f>G62*F62</f>
        <v>0</v>
      </c>
      <c r="I62" s="81"/>
      <c r="J62" s="67">
        <v>0.088</v>
      </c>
      <c r="K62" s="80">
        <f>G62</f>
        <v>0</v>
      </c>
      <c r="L62" s="68">
        <f>K62*J62</f>
        <v>0</v>
      </c>
      <c r="M62" s="81"/>
      <c r="N62" s="82">
        <f t="shared" si="2"/>
        <v>0</v>
      </c>
      <c r="O62" s="70">
        <f t="shared" si="9"/>
      </c>
    </row>
    <row r="63" spans="2:15" ht="8.25" customHeight="1" thickBot="1">
      <c r="B63" s="83"/>
      <c r="C63" s="84"/>
      <c r="D63" s="85"/>
      <c r="E63" s="84"/>
      <c r="F63" s="86"/>
      <c r="G63" s="87"/>
      <c r="H63" s="88"/>
      <c r="I63" s="89"/>
      <c r="J63" s="86"/>
      <c r="K63" s="90"/>
      <c r="L63" s="88"/>
      <c r="M63" s="89"/>
      <c r="N63" s="91"/>
      <c r="O63" s="92"/>
    </row>
    <row r="64" spans="2:19" ht="15">
      <c r="B64" s="93" t="s">
        <v>42</v>
      </c>
      <c r="C64" s="23"/>
      <c r="D64" s="23"/>
      <c r="E64" s="23"/>
      <c r="F64" s="94"/>
      <c r="G64" s="95"/>
      <c r="H64" s="96">
        <f>SUM(H54:H60,H53)</f>
        <v>77.76371</v>
      </c>
      <c r="I64" s="97"/>
      <c r="J64" s="98"/>
      <c r="K64" s="98"/>
      <c r="L64" s="192">
        <f>SUM(L54:L60,L53)</f>
        <v>76.87873499999999</v>
      </c>
      <c r="M64" s="99"/>
      <c r="N64" s="266">
        <f>L64-H64</f>
        <v>-0.8849750000000114</v>
      </c>
      <c r="O64" s="101">
        <f>IF((H64)=0,"",(N64/H64))</f>
        <v>-0.011380308372633088</v>
      </c>
      <c r="S64" s="74"/>
    </row>
    <row r="65" spans="2:19" ht="15">
      <c r="B65" s="102" t="s">
        <v>43</v>
      </c>
      <c r="C65" s="23"/>
      <c r="D65" s="23"/>
      <c r="E65" s="23"/>
      <c r="F65" s="103">
        <v>0.13</v>
      </c>
      <c r="G65" s="104"/>
      <c r="H65" s="105">
        <f>H64*F65</f>
        <v>10.1092823</v>
      </c>
      <c r="I65" s="106"/>
      <c r="J65" s="107">
        <v>0.13</v>
      </c>
      <c r="K65" s="106"/>
      <c r="L65" s="108">
        <f>L64*J65</f>
        <v>9.994235549999999</v>
      </c>
      <c r="M65" s="109"/>
      <c r="N65" s="267">
        <f t="shared" si="2"/>
        <v>-0.1150467500000012</v>
      </c>
      <c r="O65" s="111">
        <f t="shared" si="9"/>
        <v>-0.01138030837263306</v>
      </c>
      <c r="S65" s="74"/>
    </row>
    <row r="66" spans="2:19" ht="15">
      <c r="B66" s="112" t="s">
        <v>44</v>
      </c>
      <c r="C66" s="23"/>
      <c r="D66" s="23"/>
      <c r="E66" s="23"/>
      <c r="F66" s="113"/>
      <c r="G66" s="104"/>
      <c r="H66" s="105">
        <f>H64+H65</f>
        <v>87.8729923</v>
      </c>
      <c r="I66" s="106"/>
      <c r="J66" s="106"/>
      <c r="K66" s="106"/>
      <c r="L66" s="108">
        <f>L64+L65</f>
        <v>86.87297054999999</v>
      </c>
      <c r="M66" s="109"/>
      <c r="N66" s="267">
        <f t="shared" si="2"/>
        <v>-1.0000217500000161</v>
      </c>
      <c r="O66" s="111">
        <f t="shared" si="9"/>
        <v>-0.011380308372633124</v>
      </c>
      <c r="S66" s="74"/>
    </row>
    <row r="67" spans="2:15" ht="15.75" customHeight="1">
      <c r="B67" s="333" t="s">
        <v>45</v>
      </c>
      <c r="C67" s="333"/>
      <c r="D67" s="333"/>
      <c r="E67" s="23"/>
      <c r="F67" s="113"/>
      <c r="G67" s="104"/>
      <c r="H67" s="263">
        <f>ROUND(-H66*10%,2)</f>
        <v>-8.79</v>
      </c>
      <c r="I67" s="106"/>
      <c r="J67" s="106"/>
      <c r="K67" s="106"/>
      <c r="L67" s="264">
        <f>ROUND(-L66*10%,2)</f>
        <v>-8.69</v>
      </c>
      <c r="M67" s="109"/>
      <c r="N67" s="265">
        <f t="shared" si="2"/>
        <v>0.09999999999999964</v>
      </c>
      <c r="O67" s="117">
        <f t="shared" si="9"/>
        <v>-0.011376564277588128</v>
      </c>
    </row>
    <row r="68" spans="2:15" ht="15.75" thickBot="1">
      <c r="B68" s="334" t="s">
        <v>46</v>
      </c>
      <c r="C68" s="334"/>
      <c r="D68" s="334"/>
      <c r="E68" s="118"/>
      <c r="F68" s="119"/>
      <c r="G68" s="120"/>
      <c r="H68" s="121">
        <f>H66+H67</f>
        <v>79.0829923</v>
      </c>
      <c r="I68" s="122"/>
      <c r="J68" s="122"/>
      <c r="K68" s="122"/>
      <c r="L68" s="123">
        <f>L66+L67</f>
        <v>78.18297055</v>
      </c>
      <c r="M68" s="124"/>
      <c r="N68" s="268">
        <f t="shared" si="2"/>
        <v>-0.9000217500000076</v>
      </c>
      <c r="O68" s="126">
        <f t="shared" si="9"/>
        <v>-0.011380724525265689</v>
      </c>
    </row>
    <row r="69" spans="2:15" s="75" customFormat="1" ht="8.25" customHeight="1" thickBot="1">
      <c r="B69" s="127"/>
      <c r="C69" s="128"/>
      <c r="D69" s="129"/>
      <c r="E69" s="128"/>
      <c r="F69" s="86"/>
      <c r="G69" s="130"/>
      <c r="H69" s="88"/>
      <c r="I69" s="131"/>
      <c r="J69" s="86"/>
      <c r="K69" s="132"/>
      <c r="L69" s="88"/>
      <c r="M69" s="131"/>
      <c r="N69" s="133"/>
      <c r="O69" s="92"/>
    </row>
    <row r="70" spans="2:15" s="75" customFormat="1" ht="12.75">
      <c r="B70" s="134" t="s">
        <v>47</v>
      </c>
      <c r="C70" s="77"/>
      <c r="D70" s="77"/>
      <c r="E70" s="77"/>
      <c r="F70" s="135"/>
      <c r="G70" s="136"/>
      <c r="H70" s="137">
        <f>SUM(H61:H62,H53,H54:H57)</f>
        <v>73.30371000000001</v>
      </c>
      <c r="I70" s="138"/>
      <c r="J70" s="139"/>
      <c r="K70" s="139"/>
      <c r="L70" s="191">
        <f>SUM(L61:L62,L53,L54:L57)</f>
        <v>72.418735</v>
      </c>
      <c r="M70" s="140"/>
      <c r="N70" s="269">
        <f>L70-H70</f>
        <v>-0.8849750000000114</v>
      </c>
      <c r="O70" s="101">
        <f>IF((H70)=0,"",(N70/H70))</f>
        <v>-0.012072717738297437</v>
      </c>
    </row>
    <row r="71" spans="2:15" s="75" customFormat="1" ht="12.75">
      <c r="B71" s="142" t="s">
        <v>43</v>
      </c>
      <c r="C71" s="77"/>
      <c r="D71" s="77"/>
      <c r="E71" s="77"/>
      <c r="F71" s="143">
        <v>0.13</v>
      </c>
      <c r="G71" s="136"/>
      <c r="H71" s="144">
        <f>H70*F71</f>
        <v>9.529482300000002</v>
      </c>
      <c r="I71" s="145"/>
      <c r="J71" s="146">
        <v>0.13</v>
      </c>
      <c r="K71" s="147"/>
      <c r="L71" s="148">
        <f>L70*J71</f>
        <v>9.41443555</v>
      </c>
      <c r="M71" s="149"/>
      <c r="N71" s="270">
        <f>L71-H71</f>
        <v>-0.1150467500000012</v>
      </c>
      <c r="O71" s="111">
        <f>IF((H71)=0,"",(N71/H71))</f>
        <v>-0.012072717738297408</v>
      </c>
    </row>
    <row r="72" spans="2:15" s="75" customFormat="1" ht="12.75">
      <c r="B72" s="151" t="s">
        <v>44</v>
      </c>
      <c r="C72" s="77"/>
      <c r="D72" s="77"/>
      <c r="E72" s="77"/>
      <c r="F72" s="152"/>
      <c r="G72" s="153"/>
      <c r="H72" s="144">
        <f>H70+H71</f>
        <v>82.83319230000001</v>
      </c>
      <c r="I72" s="145"/>
      <c r="J72" s="145"/>
      <c r="K72" s="145"/>
      <c r="L72" s="148">
        <f>L70+L71</f>
        <v>81.83317055</v>
      </c>
      <c r="M72" s="149"/>
      <c r="N72" s="270">
        <f>L72-H72</f>
        <v>-1.000021750000002</v>
      </c>
      <c r="O72" s="111">
        <f>IF((H72)=0,"",(N72/H72))</f>
        <v>-0.012072717738297305</v>
      </c>
    </row>
    <row r="73" spans="2:15" s="75" customFormat="1" ht="15.75" customHeight="1">
      <c r="B73" s="335" t="s">
        <v>45</v>
      </c>
      <c r="C73" s="335"/>
      <c r="D73" s="335"/>
      <c r="E73" s="77"/>
      <c r="F73" s="152"/>
      <c r="G73" s="153"/>
      <c r="H73" s="256">
        <f>ROUND(-H72*10%,2)</f>
        <v>-8.28</v>
      </c>
      <c r="I73" s="145"/>
      <c r="J73" s="145"/>
      <c r="K73" s="145"/>
      <c r="L73" s="257">
        <f>ROUND(-L72*10%,2)</f>
        <v>-8.18</v>
      </c>
      <c r="M73" s="149"/>
      <c r="N73" s="258">
        <f>L73-H73</f>
        <v>0.09999999999999964</v>
      </c>
      <c r="O73" s="117">
        <f>IF((H73)=0,"",(N73/H73))</f>
        <v>-0.012077294685990296</v>
      </c>
    </row>
    <row r="74" spans="2:15" s="75" customFormat="1" ht="13.5" thickBot="1">
      <c r="B74" s="326" t="s">
        <v>48</v>
      </c>
      <c r="C74" s="326"/>
      <c r="D74" s="326"/>
      <c r="E74" s="157"/>
      <c r="F74" s="158"/>
      <c r="G74" s="159"/>
      <c r="H74" s="160">
        <f>SUM(H72:H73)</f>
        <v>74.5531923</v>
      </c>
      <c r="I74" s="161"/>
      <c r="J74" s="161"/>
      <c r="K74" s="161"/>
      <c r="L74" s="162">
        <f>SUM(L72:L73)</f>
        <v>73.65317055</v>
      </c>
      <c r="M74" s="163"/>
      <c r="N74" s="271">
        <f>L74-H74</f>
        <v>-0.9000217500000076</v>
      </c>
      <c r="O74" s="165">
        <f>IF((H74)=0,"",(N74/H74))</f>
        <v>-0.012072209414968373</v>
      </c>
    </row>
    <row r="75" spans="2:15" s="75" customFormat="1" ht="8.25" customHeight="1" thickBot="1">
      <c r="B75" s="127"/>
      <c r="C75" s="128"/>
      <c r="D75" s="129"/>
      <c r="E75" s="128"/>
      <c r="F75" s="166"/>
      <c r="G75" s="167"/>
      <c r="H75" s="168"/>
      <c r="I75" s="169"/>
      <c r="J75" s="166"/>
      <c r="K75" s="130"/>
      <c r="L75" s="170"/>
      <c r="M75" s="131"/>
      <c r="N75" s="171"/>
      <c r="O75" s="92"/>
    </row>
    <row r="76" ht="10.5" customHeight="1">
      <c r="L76" s="74"/>
    </row>
    <row r="77" spans="2:10" ht="15">
      <c r="B77" s="14" t="s">
        <v>49</v>
      </c>
      <c r="F77" s="172">
        <v>0.0335</v>
      </c>
      <c r="J77" s="172">
        <v>0.0335</v>
      </c>
    </row>
    <row r="78" ht="10.5" customHeight="1"/>
    <row r="79" ht="15">
      <c r="A79" s="173" t="s">
        <v>50</v>
      </c>
    </row>
    <row r="80" ht="10.5" customHeight="1"/>
    <row r="81" ht="15">
      <c r="A81" s="8" t="s">
        <v>51</v>
      </c>
    </row>
    <row r="82" ht="15">
      <c r="A82" s="8" t="s">
        <v>52</v>
      </c>
    </row>
    <row r="84" ht="15">
      <c r="A84" s="13" t="s">
        <v>53</v>
      </c>
    </row>
    <row r="85" ht="15">
      <c r="A85" s="13" t="s">
        <v>54</v>
      </c>
    </row>
    <row r="87" ht="15">
      <c r="A87" s="8" t="s">
        <v>55</v>
      </c>
    </row>
    <row r="88" ht="15">
      <c r="A88" s="8" t="s">
        <v>56</v>
      </c>
    </row>
    <row r="89" ht="15">
      <c r="A89" s="8" t="s">
        <v>57</v>
      </c>
    </row>
    <row r="90" ht="15">
      <c r="A90" s="8" t="s">
        <v>58</v>
      </c>
    </row>
    <row r="91" ht="15">
      <c r="A91" s="8" t="s">
        <v>59</v>
      </c>
    </row>
    <row r="93" spans="1:2" ht="15">
      <c r="A93" s="174"/>
      <c r="B93" s="8" t="s">
        <v>60</v>
      </c>
    </row>
  </sheetData>
  <sheetProtection/>
  <mergeCells count="20">
    <mergeCell ref="N1:O1"/>
    <mergeCell ref="N2:O2"/>
    <mergeCell ref="N7:O7"/>
    <mergeCell ref="A3:K3"/>
    <mergeCell ref="B10:O10"/>
    <mergeCell ref="B11:O11"/>
    <mergeCell ref="D14:O14"/>
    <mergeCell ref="F20:H20"/>
    <mergeCell ref="J20:L20"/>
    <mergeCell ref="N20:O20"/>
    <mergeCell ref="N3:O3"/>
    <mergeCell ref="N4:O4"/>
    <mergeCell ref="N5:O5"/>
    <mergeCell ref="B74:D74"/>
    <mergeCell ref="D21:D22"/>
    <mergeCell ref="N21:N22"/>
    <mergeCell ref="O21:O22"/>
    <mergeCell ref="B67:D67"/>
    <mergeCell ref="B68:D68"/>
    <mergeCell ref="B73:D73"/>
  </mergeCells>
  <dataValidations count="4">
    <dataValidation type="list" allowBlank="1" showInputMessage="1" showErrorMessage="1" sqref="E51:E52 E54:E60 E63 E42:E49 E23:E40">
      <formula1>'Res (500kWh)'!#REF!</formula1>
    </dataValidation>
    <dataValidation type="list" allowBlank="1" showInputMessage="1" showErrorMessage="1" prompt="Select Charge Unit - monthly, per kWh, per kW" sqref="D51:D52 D69 D75 D54:D63 D42:D49 D23:D40">
      <formula1>"Monthly, per kWh, per kW"</formula1>
    </dataValidation>
    <dataValidation type="list" allowBlank="1" showInputMessage="1" showErrorMessage="1" sqref="E75 E69 E61:E62">
      <formula1>'Res (500kWh)'!#REF!</formula1>
    </dataValidation>
    <dataValidation type="list" allowBlank="1" showInputMessage="1" showErrorMessage="1" sqref="D16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93"/>
  <sheetViews>
    <sheetView showGridLines="0" zoomScalePageLayoutView="0" workbookViewId="0" topLeftCell="A65">
      <selection activeCell="J43" sqref="J43"/>
    </sheetView>
  </sheetViews>
  <sheetFormatPr defaultColWidth="9.140625" defaultRowHeight="15"/>
  <cols>
    <col min="1" max="1" width="2.140625" style="8" customWidth="1"/>
    <col min="2" max="2" width="44.5742187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8.57421875" style="8" customWidth="1"/>
    <col min="8" max="8" width="9.7109375" style="8" customWidth="1"/>
    <col min="9" max="9" width="2.8515625" style="8" customWidth="1"/>
    <col min="10" max="10" width="12.140625" style="8" customWidth="1"/>
    <col min="11" max="11" width="8.57421875" style="8" customWidth="1"/>
    <col min="12" max="12" width="9.7109375" style="8" customWidth="1"/>
    <col min="13" max="13" width="2.8515625" style="8" customWidth="1"/>
    <col min="14" max="14" width="12.7109375" style="8" bestFit="1" customWidth="1"/>
    <col min="15" max="15" width="10.8515625" style="8" customWidth="1"/>
    <col min="16" max="16" width="6.2812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42" t="str">
        <f>EBNUMBER</f>
        <v>EB-2013-0116</v>
      </c>
      <c r="O1" s="342"/>
      <c r="T1" s="2">
        <v>1</v>
      </c>
    </row>
    <row r="2" spans="1:16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343">
        <v>8</v>
      </c>
      <c r="O2" s="343"/>
      <c r="P2" s="197"/>
    </row>
    <row r="3" spans="1:16" s="2" customFormat="1" ht="15" customHeight="1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" t="s">
        <v>79</v>
      </c>
      <c r="N3" s="344" t="s">
        <v>80</v>
      </c>
      <c r="O3" s="344"/>
      <c r="P3" s="198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343">
        <v>4</v>
      </c>
      <c r="O4" s="343"/>
      <c r="P4" s="197"/>
    </row>
    <row r="5" spans="3:16" s="2" customFormat="1" ht="15" customHeight="1">
      <c r="C5" s="7"/>
      <c r="D5" s="7"/>
      <c r="E5" s="7"/>
      <c r="L5" s="3" t="s">
        <v>81</v>
      </c>
      <c r="N5" s="345" t="s">
        <v>82</v>
      </c>
      <c r="O5" s="345"/>
      <c r="P5" s="196"/>
    </row>
    <row r="6" spans="12:16" s="2" customFormat="1" ht="9" customHeight="1">
      <c r="L6" s="3"/>
      <c r="N6" s="195"/>
      <c r="O6" s="4"/>
      <c r="P6"/>
    </row>
    <row r="7" spans="12:16" s="2" customFormat="1" ht="15">
      <c r="L7" s="3" t="s">
        <v>83</v>
      </c>
      <c r="N7" s="346">
        <v>41575</v>
      </c>
      <c r="O7" s="346"/>
      <c r="P7" s="194"/>
    </row>
    <row r="8" spans="14:16" s="2" customFormat="1" ht="15" customHeight="1">
      <c r="N8" s="8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337" t="s">
        <v>3</v>
      </c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/>
    </row>
    <row r="11" spans="2:16" ht="18.75" customHeight="1">
      <c r="B11" s="337" t="s">
        <v>4</v>
      </c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338" t="s">
        <v>61</v>
      </c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7" ht="15">
      <c r="B18" s="13"/>
      <c r="D18" s="14" t="s">
        <v>8</v>
      </c>
      <c r="E18" s="14"/>
      <c r="F18" s="15">
        <v>800</v>
      </c>
      <c r="G18" s="14" t="s">
        <v>9</v>
      </c>
    </row>
    <row r="19" ht="15">
      <c r="B19" s="13"/>
    </row>
    <row r="20" spans="2:15" ht="15">
      <c r="B20" s="13"/>
      <c r="D20" s="16"/>
      <c r="E20" s="16"/>
      <c r="F20" s="339" t="s">
        <v>10</v>
      </c>
      <c r="G20" s="340"/>
      <c r="H20" s="341"/>
      <c r="J20" s="339" t="s">
        <v>11</v>
      </c>
      <c r="K20" s="340"/>
      <c r="L20" s="341"/>
      <c r="N20" s="339" t="s">
        <v>12</v>
      </c>
      <c r="O20" s="341"/>
    </row>
    <row r="21" spans="2:15" ht="15">
      <c r="B21" s="13"/>
      <c r="D21" s="327" t="s">
        <v>13</v>
      </c>
      <c r="E21" s="17"/>
      <c r="F21" s="18" t="s">
        <v>14</v>
      </c>
      <c r="G21" s="18" t="s">
        <v>15</v>
      </c>
      <c r="H21" s="19" t="s">
        <v>16</v>
      </c>
      <c r="J21" s="18" t="s">
        <v>14</v>
      </c>
      <c r="K21" s="20" t="s">
        <v>15</v>
      </c>
      <c r="L21" s="19" t="s">
        <v>16</v>
      </c>
      <c r="N21" s="329" t="s">
        <v>17</v>
      </c>
      <c r="O21" s="331" t="s">
        <v>18</v>
      </c>
    </row>
    <row r="22" spans="2:15" ht="15">
      <c r="B22" s="13"/>
      <c r="D22" s="328"/>
      <c r="E22" s="17"/>
      <c r="F22" s="21" t="s">
        <v>19</v>
      </c>
      <c r="G22" s="21"/>
      <c r="H22" s="22" t="s">
        <v>19</v>
      </c>
      <c r="J22" s="21" t="s">
        <v>19</v>
      </c>
      <c r="K22" s="22"/>
      <c r="L22" s="22" t="s">
        <v>19</v>
      </c>
      <c r="N22" s="330"/>
      <c r="O22" s="332"/>
    </row>
    <row r="23" spans="2:15" ht="22.5" customHeight="1">
      <c r="B23" s="23" t="s">
        <v>20</v>
      </c>
      <c r="C23" s="23"/>
      <c r="D23" s="24" t="s">
        <v>62</v>
      </c>
      <c r="E23" s="25"/>
      <c r="F23" s="176">
        <f>'Res (100kWh)'!F23</f>
        <v>11</v>
      </c>
      <c r="G23" s="27">
        <v>1</v>
      </c>
      <c r="H23" s="28">
        <f>G23*F23</f>
        <v>11</v>
      </c>
      <c r="I23" s="29"/>
      <c r="J23" s="175">
        <f>'Res (100kWh)'!J23</f>
        <v>11.15</v>
      </c>
      <c r="K23" s="31">
        <v>1</v>
      </c>
      <c r="L23" s="28">
        <f>K23*J23</f>
        <v>11.15</v>
      </c>
      <c r="M23" s="29"/>
      <c r="N23" s="32">
        <f>L23-H23</f>
        <v>0.15000000000000036</v>
      </c>
      <c r="O23" s="33">
        <f>IF((H23)=0,"",(N23/H23))</f>
        <v>0.013636363636363669</v>
      </c>
    </row>
    <row r="24" spans="2:15" ht="22.5" customHeight="1">
      <c r="B24" s="23" t="s">
        <v>102</v>
      </c>
      <c r="C24" s="23"/>
      <c r="D24" s="24" t="s">
        <v>62</v>
      </c>
      <c r="E24" s="25"/>
      <c r="F24" s="255">
        <f>'Res (100kWh)'!F24</f>
        <v>0</v>
      </c>
      <c r="G24" s="27">
        <v>1</v>
      </c>
      <c r="H24" s="249">
        <f>G24*F24</f>
        <v>0</v>
      </c>
      <c r="I24" s="29"/>
      <c r="J24" s="175">
        <f>'Res (100kWh)'!J24</f>
        <v>0</v>
      </c>
      <c r="K24" s="31">
        <v>1</v>
      </c>
      <c r="L24" s="249">
        <f>K24*J24</f>
        <v>0</v>
      </c>
      <c r="M24" s="29"/>
      <c r="N24" s="32">
        <f>L24-H24</f>
        <v>0</v>
      </c>
      <c r="O24" s="250">
        <f>IF((H24)=0,"",(N24/H24))</f>
      </c>
    </row>
    <row r="25" spans="2:15" ht="36.75" customHeight="1">
      <c r="B25" s="66" t="s">
        <v>125</v>
      </c>
      <c r="C25" s="23"/>
      <c r="D25" s="57" t="s">
        <v>62</v>
      </c>
      <c r="E25" s="25"/>
      <c r="F25" s="272">
        <v>0</v>
      </c>
      <c r="G25" s="27">
        <v>1</v>
      </c>
      <c r="H25" s="249">
        <f>G25*F25</f>
        <v>0</v>
      </c>
      <c r="I25" s="29"/>
      <c r="J25" s="30">
        <f>'Res (100kWh)'!J25</f>
        <v>0.79</v>
      </c>
      <c r="K25" s="31">
        <v>1</v>
      </c>
      <c r="L25" s="249">
        <f>K25*J25</f>
        <v>0.79</v>
      </c>
      <c r="M25" s="29"/>
      <c r="N25" s="32">
        <f>L25-H25</f>
        <v>0.79</v>
      </c>
      <c r="O25" s="250">
        <f>IF((H25)=0,"",(N25/H25))</f>
      </c>
    </row>
    <row r="26" spans="2:15" ht="36.75" customHeight="1">
      <c r="B26" s="177" t="s">
        <v>64</v>
      </c>
      <c r="C26" s="23"/>
      <c r="D26" s="57" t="s">
        <v>62</v>
      </c>
      <c r="E26" s="58"/>
      <c r="F26" s="175">
        <v>0</v>
      </c>
      <c r="G26" s="27">
        <v>1</v>
      </c>
      <c r="H26" s="28">
        <f aca="true" t="shared" si="0" ref="H26:H40">G26*F26</f>
        <v>0</v>
      </c>
      <c r="I26" s="29"/>
      <c r="J26" s="30"/>
      <c r="K26" s="31">
        <v>1</v>
      </c>
      <c r="L26" s="28">
        <f aca="true" t="shared" si="1" ref="L26:L40">K26*J26</f>
        <v>0</v>
      </c>
      <c r="M26" s="29"/>
      <c r="N26" s="32">
        <f aca="true" t="shared" si="2" ref="N26:N68">L26-H26</f>
        <v>0</v>
      </c>
      <c r="O26" s="33">
        <f aca="true" t="shared" si="3" ref="O26:O48">IF((H26)=0,"",(N26/H26))</f>
      </c>
    </row>
    <row r="27" spans="2:15" ht="15">
      <c r="B27" s="177" t="s">
        <v>65</v>
      </c>
      <c r="C27" s="23"/>
      <c r="D27" s="24" t="s">
        <v>62</v>
      </c>
      <c r="E27" s="25"/>
      <c r="F27" s="26">
        <f>'Res (100kWh)'!F27</f>
        <v>4.33</v>
      </c>
      <c r="G27" s="27">
        <v>1</v>
      </c>
      <c r="H27" s="28">
        <f t="shared" si="0"/>
        <v>4.33</v>
      </c>
      <c r="I27" s="29"/>
      <c r="J27" s="175">
        <v>0</v>
      </c>
      <c r="K27" s="31">
        <v>1</v>
      </c>
      <c r="L27" s="28">
        <f t="shared" si="1"/>
        <v>0</v>
      </c>
      <c r="M27" s="29"/>
      <c r="N27" s="259">
        <f t="shared" si="2"/>
        <v>-4.33</v>
      </c>
      <c r="O27" s="33">
        <f t="shared" si="3"/>
        <v>-1</v>
      </c>
    </row>
    <row r="28" spans="2:15" ht="15">
      <c r="B28" s="47" t="s">
        <v>66</v>
      </c>
      <c r="C28" s="23"/>
      <c r="D28" s="24" t="s">
        <v>63</v>
      </c>
      <c r="E28" s="25"/>
      <c r="F28" s="26">
        <v>0</v>
      </c>
      <c r="G28" s="27">
        <f aca="true" t="shared" si="4" ref="G28:G33">$F$18</f>
        <v>800</v>
      </c>
      <c r="H28" s="28">
        <f t="shared" si="0"/>
        <v>0</v>
      </c>
      <c r="I28" s="29"/>
      <c r="J28" s="175"/>
      <c r="K28" s="27">
        <f>$F$18</f>
        <v>800</v>
      </c>
      <c r="L28" s="28">
        <f t="shared" si="1"/>
        <v>0</v>
      </c>
      <c r="M28" s="29"/>
      <c r="N28" s="32">
        <f t="shared" si="2"/>
        <v>0</v>
      </c>
      <c r="O28" s="33">
        <f t="shared" si="3"/>
      </c>
    </row>
    <row r="29" spans="2:15" ht="15" customHeight="1">
      <c r="B29" s="47" t="s">
        <v>67</v>
      </c>
      <c r="C29" s="23"/>
      <c r="D29" s="24" t="s">
        <v>63</v>
      </c>
      <c r="E29" s="25"/>
      <c r="F29" s="253">
        <f>'Res (100kWh)'!F29</f>
        <v>-0.004</v>
      </c>
      <c r="G29" s="27">
        <f t="shared" si="4"/>
        <v>800</v>
      </c>
      <c r="H29" s="28">
        <f t="shared" si="0"/>
        <v>-3.2</v>
      </c>
      <c r="I29" s="29"/>
      <c r="J29" s="30">
        <f>'Res (100kWh)'!J29</f>
        <v>0</v>
      </c>
      <c r="K29" s="27">
        <f>$F$18</f>
        <v>800</v>
      </c>
      <c r="L29" s="28">
        <f t="shared" si="1"/>
        <v>0</v>
      </c>
      <c r="M29" s="29"/>
      <c r="N29" s="32">
        <f t="shared" si="2"/>
        <v>3.2</v>
      </c>
      <c r="O29" s="33">
        <f t="shared" si="3"/>
        <v>-1</v>
      </c>
    </row>
    <row r="30" spans="2:15" ht="15" customHeight="1">
      <c r="B30" s="47" t="s">
        <v>102</v>
      </c>
      <c r="C30" s="23"/>
      <c r="D30" s="24" t="s">
        <v>63</v>
      </c>
      <c r="E30" s="25"/>
      <c r="F30" s="26">
        <f>'Res (100kWh)'!F30</f>
        <v>0</v>
      </c>
      <c r="G30" s="27">
        <f t="shared" si="4"/>
        <v>800</v>
      </c>
      <c r="H30" s="249">
        <f t="shared" si="0"/>
        <v>0</v>
      </c>
      <c r="I30" s="29"/>
      <c r="J30" s="30">
        <f>'Res (100kWh)'!J30</f>
        <v>0</v>
      </c>
      <c r="K30" s="27">
        <f>$F$18</f>
        <v>800</v>
      </c>
      <c r="L30" s="249">
        <f>K30*J30</f>
        <v>0</v>
      </c>
      <c r="M30" s="29"/>
      <c r="N30" s="259">
        <f>L30-H30</f>
        <v>0</v>
      </c>
      <c r="O30" s="250">
        <f>IF((H30)=0,"",(N30/H30))</f>
      </c>
    </row>
    <row r="31" spans="2:15" ht="15">
      <c r="B31" s="23" t="s">
        <v>21</v>
      </c>
      <c r="C31" s="23"/>
      <c r="D31" s="24" t="s">
        <v>63</v>
      </c>
      <c r="E31" s="25"/>
      <c r="F31" s="26">
        <f>'Res (100kWh)'!F31</f>
        <v>0.0178</v>
      </c>
      <c r="G31" s="27">
        <f t="shared" si="4"/>
        <v>800</v>
      </c>
      <c r="H31" s="28">
        <f t="shared" si="0"/>
        <v>14.24</v>
      </c>
      <c r="I31" s="29"/>
      <c r="J31" s="30">
        <f>'Res (100kWh)'!J31</f>
        <v>0.018</v>
      </c>
      <c r="K31" s="27">
        <f>$F$18</f>
        <v>800</v>
      </c>
      <c r="L31" s="28">
        <f t="shared" si="1"/>
        <v>14.399999999999999</v>
      </c>
      <c r="M31" s="29"/>
      <c r="N31" s="32">
        <f t="shared" si="2"/>
        <v>0.15999999999999837</v>
      </c>
      <c r="O31" s="33">
        <f t="shared" si="3"/>
        <v>0.01123595505617966</v>
      </c>
    </row>
    <row r="32" spans="2:15" ht="15">
      <c r="B32" s="23" t="s">
        <v>22</v>
      </c>
      <c r="C32" s="23"/>
      <c r="D32" s="24"/>
      <c r="E32" s="25"/>
      <c r="F32" s="26"/>
      <c r="G32" s="27">
        <f t="shared" si="4"/>
        <v>800</v>
      </c>
      <c r="H32" s="28">
        <f t="shared" si="0"/>
        <v>0</v>
      </c>
      <c r="I32" s="29"/>
      <c r="J32" s="30"/>
      <c r="K32" s="27">
        <f aca="true" t="shared" si="5" ref="K32:K40">$F$18</f>
        <v>800</v>
      </c>
      <c r="L32" s="28">
        <f t="shared" si="1"/>
        <v>0</v>
      </c>
      <c r="M32" s="29"/>
      <c r="N32" s="32">
        <f t="shared" si="2"/>
        <v>0</v>
      </c>
      <c r="O32" s="33">
        <f t="shared" si="3"/>
      </c>
    </row>
    <row r="33" spans="2:15" ht="15">
      <c r="B33" s="23" t="s">
        <v>124</v>
      </c>
      <c r="C33" s="23"/>
      <c r="D33" s="24" t="s">
        <v>63</v>
      </c>
      <c r="E33" s="25"/>
      <c r="F33" s="26">
        <v>0</v>
      </c>
      <c r="G33" s="27">
        <f t="shared" si="4"/>
        <v>800</v>
      </c>
      <c r="H33" s="249">
        <f t="shared" si="0"/>
        <v>0</v>
      </c>
      <c r="I33" s="29"/>
      <c r="J33" s="30">
        <f>'Res (100kWh)'!$J33</f>
        <v>0.0001</v>
      </c>
      <c r="K33" s="27">
        <f t="shared" si="5"/>
        <v>800</v>
      </c>
      <c r="L33" s="249">
        <f t="shared" si="1"/>
        <v>0.08</v>
      </c>
      <c r="M33" s="29"/>
      <c r="N33" s="32">
        <f t="shared" si="2"/>
        <v>0.08</v>
      </c>
      <c r="O33" s="250">
        <f t="shared" si="3"/>
      </c>
    </row>
    <row r="34" spans="2:15" ht="15" hidden="1">
      <c r="B34" s="34"/>
      <c r="C34" s="23"/>
      <c r="D34" s="24"/>
      <c r="E34" s="25"/>
      <c r="F34" s="26"/>
      <c r="G34" s="27">
        <f aca="true" t="shared" si="6" ref="G34:G40">$F$18</f>
        <v>800</v>
      </c>
      <c r="H34" s="28">
        <f t="shared" si="0"/>
        <v>0</v>
      </c>
      <c r="I34" s="29"/>
      <c r="J34" s="30"/>
      <c r="K34" s="27">
        <f t="shared" si="5"/>
        <v>800</v>
      </c>
      <c r="L34" s="28">
        <f t="shared" si="1"/>
        <v>0</v>
      </c>
      <c r="M34" s="29"/>
      <c r="N34" s="32">
        <f t="shared" si="2"/>
        <v>0</v>
      </c>
      <c r="O34" s="33">
        <f t="shared" si="3"/>
      </c>
    </row>
    <row r="35" spans="2:15" ht="15" hidden="1">
      <c r="B35" s="34"/>
      <c r="C35" s="23"/>
      <c r="D35" s="24"/>
      <c r="E35" s="25"/>
      <c r="F35" s="26"/>
      <c r="G35" s="27">
        <f t="shared" si="6"/>
        <v>800</v>
      </c>
      <c r="H35" s="28">
        <f t="shared" si="0"/>
        <v>0</v>
      </c>
      <c r="I35" s="29"/>
      <c r="J35" s="30"/>
      <c r="K35" s="27">
        <f t="shared" si="5"/>
        <v>800</v>
      </c>
      <c r="L35" s="28">
        <f t="shared" si="1"/>
        <v>0</v>
      </c>
      <c r="M35" s="29"/>
      <c r="N35" s="32">
        <f t="shared" si="2"/>
        <v>0</v>
      </c>
      <c r="O35" s="33">
        <f t="shared" si="3"/>
      </c>
    </row>
    <row r="36" spans="2:15" ht="15" hidden="1">
      <c r="B36" s="34"/>
      <c r="C36" s="23"/>
      <c r="D36" s="24"/>
      <c r="E36" s="25"/>
      <c r="F36" s="26"/>
      <c r="G36" s="27">
        <f t="shared" si="6"/>
        <v>800</v>
      </c>
      <c r="H36" s="28">
        <f t="shared" si="0"/>
        <v>0</v>
      </c>
      <c r="I36" s="29"/>
      <c r="J36" s="30"/>
      <c r="K36" s="27">
        <f t="shared" si="5"/>
        <v>800</v>
      </c>
      <c r="L36" s="28">
        <f t="shared" si="1"/>
        <v>0</v>
      </c>
      <c r="M36" s="29"/>
      <c r="N36" s="32">
        <f t="shared" si="2"/>
        <v>0</v>
      </c>
      <c r="O36" s="33">
        <f t="shared" si="3"/>
      </c>
    </row>
    <row r="37" spans="2:15" ht="15" hidden="1">
      <c r="B37" s="34"/>
      <c r="C37" s="23"/>
      <c r="D37" s="24"/>
      <c r="E37" s="25"/>
      <c r="F37" s="26"/>
      <c r="G37" s="27">
        <f t="shared" si="6"/>
        <v>800</v>
      </c>
      <c r="H37" s="28">
        <f t="shared" si="0"/>
        <v>0</v>
      </c>
      <c r="I37" s="29"/>
      <c r="J37" s="30"/>
      <c r="K37" s="27">
        <f t="shared" si="5"/>
        <v>800</v>
      </c>
      <c r="L37" s="28">
        <f t="shared" si="1"/>
        <v>0</v>
      </c>
      <c r="M37" s="29"/>
      <c r="N37" s="32">
        <f t="shared" si="2"/>
        <v>0</v>
      </c>
      <c r="O37" s="33">
        <f t="shared" si="3"/>
      </c>
    </row>
    <row r="38" spans="2:15" ht="15" hidden="1">
      <c r="B38" s="34"/>
      <c r="C38" s="23"/>
      <c r="D38" s="24"/>
      <c r="E38" s="25"/>
      <c r="F38" s="26"/>
      <c r="G38" s="27">
        <f t="shared" si="6"/>
        <v>800</v>
      </c>
      <c r="H38" s="28">
        <f t="shared" si="0"/>
        <v>0</v>
      </c>
      <c r="I38" s="29"/>
      <c r="J38" s="30"/>
      <c r="K38" s="27">
        <f t="shared" si="5"/>
        <v>800</v>
      </c>
      <c r="L38" s="28">
        <f t="shared" si="1"/>
        <v>0</v>
      </c>
      <c r="M38" s="29"/>
      <c r="N38" s="32">
        <f t="shared" si="2"/>
        <v>0</v>
      </c>
      <c r="O38" s="33">
        <f t="shared" si="3"/>
      </c>
    </row>
    <row r="39" spans="2:15" ht="15" hidden="1">
      <c r="B39" s="34"/>
      <c r="C39" s="23"/>
      <c r="D39" s="24"/>
      <c r="E39" s="25"/>
      <c r="F39" s="26"/>
      <c r="G39" s="27">
        <f t="shared" si="6"/>
        <v>800</v>
      </c>
      <c r="H39" s="28">
        <f t="shared" si="0"/>
        <v>0</v>
      </c>
      <c r="I39" s="29"/>
      <c r="J39" s="30"/>
      <c r="K39" s="27">
        <f t="shared" si="5"/>
        <v>800</v>
      </c>
      <c r="L39" s="28">
        <f t="shared" si="1"/>
        <v>0</v>
      </c>
      <c r="M39" s="29"/>
      <c r="N39" s="32">
        <f t="shared" si="2"/>
        <v>0</v>
      </c>
      <c r="O39" s="33">
        <f t="shared" si="3"/>
      </c>
    </row>
    <row r="40" spans="2:15" ht="15" hidden="1">
      <c r="B40" s="34"/>
      <c r="C40" s="23"/>
      <c r="D40" s="24"/>
      <c r="E40" s="25"/>
      <c r="F40" s="26"/>
      <c r="G40" s="27">
        <f t="shared" si="6"/>
        <v>800</v>
      </c>
      <c r="H40" s="28">
        <f t="shared" si="0"/>
        <v>0</v>
      </c>
      <c r="I40" s="29"/>
      <c r="J40" s="30"/>
      <c r="K40" s="27">
        <f t="shared" si="5"/>
        <v>800</v>
      </c>
      <c r="L40" s="28">
        <f t="shared" si="1"/>
        <v>0</v>
      </c>
      <c r="M40" s="29"/>
      <c r="N40" s="32">
        <f t="shared" si="2"/>
        <v>0</v>
      </c>
      <c r="O40" s="33">
        <f t="shared" si="3"/>
      </c>
    </row>
    <row r="41" spans="2:15" s="35" customFormat="1" ht="15">
      <c r="B41" s="36" t="s">
        <v>24</v>
      </c>
      <c r="C41" s="37"/>
      <c r="D41" s="38"/>
      <c r="E41" s="37"/>
      <c r="F41" s="39"/>
      <c r="G41" s="40"/>
      <c r="H41" s="41">
        <f>SUM(H23:H40)</f>
        <v>26.369999999999997</v>
      </c>
      <c r="I41" s="42"/>
      <c r="J41" s="43"/>
      <c r="K41" s="44"/>
      <c r="L41" s="41">
        <f>SUM(L23:L40)</f>
        <v>26.419999999999998</v>
      </c>
      <c r="M41" s="42"/>
      <c r="N41" s="260">
        <f t="shared" si="2"/>
        <v>0.05000000000000071</v>
      </c>
      <c r="O41" s="46">
        <f t="shared" si="3"/>
        <v>0.001896094046264722</v>
      </c>
    </row>
    <row r="42" spans="2:15" ht="15" customHeight="1" hidden="1">
      <c r="B42" s="177"/>
      <c r="C42" s="23"/>
      <c r="D42" s="57" t="s">
        <v>62</v>
      </c>
      <c r="E42" s="25"/>
      <c r="F42" s="26"/>
      <c r="G42" s="27">
        <v>1</v>
      </c>
      <c r="H42" s="28">
        <f>G42*F42</f>
        <v>0</v>
      </c>
      <c r="I42" s="29"/>
      <c r="J42" s="175"/>
      <c r="K42" s="31">
        <v>1</v>
      </c>
      <c r="L42" s="28">
        <f>K42*J42</f>
        <v>0</v>
      </c>
      <c r="M42" s="29"/>
      <c r="N42" s="32">
        <f>L42-H42</f>
        <v>0</v>
      </c>
      <c r="O42" s="33">
        <f>IF((H42)=0,"",(N42/H42))</f>
      </c>
    </row>
    <row r="43" spans="2:15" ht="25.5">
      <c r="B43" s="47" t="s">
        <v>25</v>
      </c>
      <c r="C43" s="23"/>
      <c r="D43" s="57" t="s">
        <v>63</v>
      </c>
      <c r="E43" s="58"/>
      <c r="F43" s="254">
        <f>'Res (100kWh)'!F43</f>
        <v>-0.002</v>
      </c>
      <c r="G43" s="27">
        <f>$F$18</f>
        <v>800</v>
      </c>
      <c r="H43" s="28">
        <f aca="true" t="shared" si="7" ref="H43:H49">G43*F43</f>
        <v>-1.6</v>
      </c>
      <c r="I43" s="29"/>
      <c r="J43" s="254">
        <f>'Res (100kWh)'!J43</f>
        <v>-0.0016</v>
      </c>
      <c r="K43" s="27">
        <f>$F$18</f>
        <v>800</v>
      </c>
      <c r="L43" s="28">
        <f aca="true" t="shared" si="8" ref="L43:L49">K43*J43</f>
        <v>-1.28</v>
      </c>
      <c r="M43" s="29"/>
      <c r="N43" s="32">
        <f t="shared" si="2"/>
        <v>0.32000000000000006</v>
      </c>
      <c r="O43" s="33">
        <f t="shared" si="3"/>
        <v>-0.20000000000000004</v>
      </c>
    </row>
    <row r="44" spans="2:15" ht="15" hidden="1">
      <c r="B44" s="47"/>
      <c r="C44" s="23"/>
      <c r="D44" s="24" t="s">
        <v>63</v>
      </c>
      <c r="E44" s="25"/>
      <c r="F44" s="26"/>
      <c r="G44" s="27">
        <f>$F$18</f>
        <v>800</v>
      </c>
      <c r="H44" s="28">
        <f t="shared" si="7"/>
        <v>0</v>
      </c>
      <c r="I44" s="48"/>
      <c r="J44" s="30"/>
      <c r="K44" s="27">
        <f>$F$18</f>
        <v>800</v>
      </c>
      <c r="L44" s="28">
        <f t="shared" si="8"/>
        <v>0</v>
      </c>
      <c r="M44" s="49"/>
      <c r="N44" s="32">
        <f t="shared" si="2"/>
        <v>0</v>
      </c>
      <c r="O44" s="33">
        <f t="shared" si="3"/>
      </c>
    </row>
    <row r="45" spans="2:15" ht="15" hidden="1">
      <c r="B45" s="47"/>
      <c r="C45" s="23"/>
      <c r="D45" s="24" t="s">
        <v>63</v>
      </c>
      <c r="E45" s="25"/>
      <c r="F45" s="26"/>
      <c r="G45" s="27">
        <f>$F$18</f>
        <v>800</v>
      </c>
      <c r="H45" s="28">
        <f t="shared" si="7"/>
        <v>0</v>
      </c>
      <c r="I45" s="48"/>
      <c r="J45" s="30"/>
      <c r="K45" s="27">
        <f>$F$18</f>
        <v>800</v>
      </c>
      <c r="L45" s="28">
        <f t="shared" si="8"/>
        <v>0</v>
      </c>
      <c r="M45" s="49"/>
      <c r="N45" s="32">
        <f t="shared" si="2"/>
        <v>0</v>
      </c>
      <c r="O45" s="33">
        <f t="shared" si="3"/>
      </c>
    </row>
    <row r="46" spans="2:15" ht="15" hidden="1">
      <c r="B46" s="47"/>
      <c r="C46" s="23"/>
      <c r="D46" s="24"/>
      <c r="E46" s="25"/>
      <c r="F46" s="26"/>
      <c r="G46" s="27">
        <f>$F$18</f>
        <v>800</v>
      </c>
      <c r="H46" s="28">
        <f t="shared" si="7"/>
        <v>0</v>
      </c>
      <c r="I46" s="48"/>
      <c r="J46" s="30"/>
      <c r="K46" s="27">
        <f>$F$18</f>
        <v>800</v>
      </c>
      <c r="L46" s="28">
        <f t="shared" si="8"/>
        <v>0</v>
      </c>
      <c r="M46" s="49"/>
      <c r="N46" s="32">
        <f t="shared" si="2"/>
        <v>0</v>
      </c>
      <c r="O46" s="33">
        <f t="shared" si="3"/>
      </c>
    </row>
    <row r="47" spans="2:15" ht="15">
      <c r="B47" s="50" t="s">
        <v>26</v>
      </c>
      <c r="C47" s="23"/>
      <c r="D47" s="24" t="s">
        <v>63</v>
      </c>
      <c r="E47" s="25"/>
      <c r="F47" s="26">
        <f>'Res (100kWh)'!F47</f>
        <v>0.0001</v>
      </c>
      <c r="G47" s="27">
        <f>$F$18</f>
        <v>800</v>
      </c>
      <c r="H47" s="28">
        <f t="shared" si="7"/>
        <v>0.08</v>
      </c>
      <c r="I47" s="29"/>
      <c r="J47" s="30">
        <f>'Res (100kWh)'!J47</f>
        <v>0.0001</v>
      </c>
      <c r="K47" s="27">
        <f>$F$18</f>
        <v>800</v>
      </c>
      <c r="L47" s="28">
        <f t="shared" si="8"/>
        <v>0.08</v>
      </c>
      <c r="M47" s="29"/>
      <c r="N47" s="32">
        <f t="shared" si="2"/>
        <v>0</v>
      </c>
      <c r="O47" s="33">
        <f t="shared" si="3"/>
        <v>0</v>
      </c>
    </row>
    <row r="48" spans="2:15" s="35" customFormat="1" ht="15">
      <c r="B48" s="183" t="s">
        <v>27</v>
      </c>
      <c r="C48" s="25"/>
      <c r="D48" s="184" t="s">
        <v>63</v>
      </c>
      <c r="E48" s="25"/>
      <c r="F48" s="185">
        <f>IF(ISBLANK(D16)=TRUE,0,IF(D16="TOU",0.64*$F$58+0.18*$F$59+0.18*$F$60,IF(AND(D16="non-TOU",G62&gt;0),F62,F61)))</f>
        <v>0.08392</v>
      </c>
      <c r="G48" s="27">
        <f>$F$18*(1+$F$77)-$F$18</f>
        <v>26.800000000000068</v>
      </c>
      <c r="H48" s="186">
        <f t="shared" si="7"/>
        <v>2.2490560000000057</v>
      </c>
      <c r="I48" s="58"/>
      <c r="J48" s="187">
        <f>0.64*$F$58+0.18*$F$59+0.18*$F$60</f>
        <v>0.08392</v>
      </c>
      <c r="K48" s="27">
        <f>$F$18*(1+$J$77)-$F$18</f>
        <v>26.800000000000068</v>
      </c>
      <c r="L48" s="186">
        <f t="shared" si="8"/>
        <v>2.2490560000000057</v>
      </c>
      <c r="M48" s="58"/>
      <c r="N48" s="188">
        <f t="shared" si="2"/>
        <v>0</v>
      </c>
      <c r="O48" s="189">
        <f t="shared" si="3"/>
        <v>0</v>
      </c>
    </row>
    <row r="49" spans="2:15" ht="15">
      <c r="B49" s="50" t="s">
        <v>28</v>
      </c>
      <c r="C49" s="23"/>
      <c r="D49" s="24" t="s">
        <v>62</v>
      </c>
      <c r="E49" s="25"/>
      <c r="F49" s="180">
        <v>0.79</v>
      </c>
      <c r="G49" s="27">
        <v>1</v>
      </c>
      <c r="H49" s="28">
        <f t="shared" si="7"/>
        <v>0.79</v>
      </c>
      <c r="I49" s="29"/>
      <c r="J49" s="180">
        <v>0.79</v>
      </c>
      <c r="K49" s="27">
        <v>1</v>
      </c>
      <c r="L49" s="28">
        <f t="shared" si="8"/>
        <v>0.79</v>
      </c>
      <c r="M49" s="29"/>
      <c r="N49" s="32">
        <f t="shared" si="2"/>
        <v>0</v>
      </c>
      <c r="O49" s="33"/>
    </row>
    <row r="50" spans="2:15" ht="25.5">
      <c r="B50" s="51" t="s">
        <v>29</v>
      </c>
      <c r="C50" s="52"/>
      <c r="D50" s="52"/>
      <c r="E50" s="52"/>
      <c r="F50" s="53"/>
      <c r="G50" s="54"/>
      <c r="H50" s="55">
        <f>SUM(H42:H49)+H41</f>
        <v>27.889056000000004</v>
      </c>
      <c r="I50" s="42"/>
      <c r="J50" s="54"/>
      <c r="K50" s="56"/>
      <c r="L50" s="55">
        <f>SUM(L42:L49)+L41</f>
        <v>28.259056000000005</v>
      </c>
      <c r="M50" s="42"/>
      <c r="N50" s="45">
        <f t="shared" si="2"/>
        <v>0.370000000000001</v>
      </c>
      <c r="O50" s="46">
        <f aca="true" t="shared" si="9" ref="O50:O68">IF((H50)=0,"",(N50/H50))</f>
        <v>0.01326685277551169</v>
      </c>
    </row>
    <row r="51" spans="2:15" ht="15">
      <c r="B51" s="29" t="s">
        <v>30</v>
      </c>
      <c r="C51" s="29"/>
      <c r="D51" s="57" t="s">
        <v>63</v>
      </c>
      <c r="E51" s="58"/>
      <c r="F51" s="30">
        <f>'Res (100kWh)'!F51</f>
        <v>0.0067</v>
      </c>
      <c r="G51" s="59">
        <f>F18*(1+F77)</f>
        <v>826.8000000000001</v>
      </c>
      <c r="H51" s="28">
        <f>G51*F51</f>
        <v>5.539560000000001</v>
      </c>
      <c r="I51" s="29"/>
      <c r="J51" s="30">
        <f>'Res (100kWh)'!J51</f>
        <v>0.0069</v>
      </c>
      <c r="K51" s="60">
        <f>F18*(1+J77)</f>
        <v>826.8000000000001</v>
      </c>
      <c r="L51" s="28">
        <f>K51*J51</f>
        <v>5.70492</v>
      </c>
      <c r="M51" s="29"/>
      <c r="N51" s="32">
        <f t="shared" si="2"/>
        <v>0.16535999999999973</v>
      </c>
      <c r="O51" s="33">
        <f t="shared" si="9"/>
        <v>0.029850746268656664</v>
      </c>
    </row>
    <row r="52" spans="2:15" ht="15">
      <c r="B52" s="61" t="s">
        <v>31</v>
      </c>
      <c r="C52" s="29"/>
      <c r="D52" s="57" t="s">
        <v>63</v>
      </c>
      <c r="E52" s="58"/>
      <c r="F52" s="30">
        <f>'Res (100kWh)'!F52</f>
        <v>0.0042</v>
      </c>
      <c r="G52" s="59">
        <f>G51</f>
        <v>826.8000000000001</v>
      </c>
      <c r="H52" s="28">
        <f>G52*F52</f>
        <v>3.47256</v>
      </c>
      <c r="I52" s="29"/>
      <c r="J52" s="30">
        <f>'Res (100kWh)'!J52</f>
        <v>0.0043</v>
      </c>
      <c r="K52" s="60">
        <f>K51</f>
        <v>826.8000000000001</v>
      </c>
      <c r="L52" s="28">
        <f>K52*J52</f>
        <v>3.5552400000000004</v>
      </c>
      <c r="M52" s="29"/>
      <c r="N52" s="32">
        <f t="shared" si="2"/>
        <v>0.08268000000000031</v>
      </c>
      <c r="O52" s="33">
        <f t="shared" si="9"/>
        <v>0.0238095238095239</v>
      </c>
    </row>
    <row r="53" spans="2:15" ht="15">
      <c r="B53" s="51" t="s">
        <v>32</v>
      </c>
      <c r="C53" s="37"/>
      <c r="D53" s="37"/>
      <c r="E53" s="37"/>
      <c r="F53" s="62"/>
      <c r="G53" s="54"/>
      <c r="H53" s="55">
        <f>SUM(H50:H52)</f>
        <v>36.90117600000001</v>
      </c>
      <c r="I53" s="63"/>
      <c r="J53" s="64"/>
      <c r="K53" s="65"/>
      <c r="L53" s="55">
        <f>SUM(L50:L52)</f>
        <v>37.519216</v>
      </c>
      <c r="M53" s="63"/>
      <c r="N53" s="45">
        <f t="shared" si="2"/>
        <v>0.6180399999999935</v>
      </c>
      <c r="O53" s="46">
        <f t="shared" si="9"/>
        <v>0.016748517716616763</v>
      </c>
    </row>
    <row r="54" spans="2:15" ht="15">
      <c r="B54" s="66" t="s">
        <v>33</v>
      </c>
      <c r="C54" s="23"/>
      <c r="D54" s="24" t="s">
        <v>63</v>
      </c>
      <c r="E54" s="25"/>
      <c r="F54" s="67">
        <v>0.0044</v>
      </c>
      <c r="G54" s="59">
        <f>G52</f>
        <v>826.8000000000001</v>
      </c>
      <c r="H54" s="68">
        <f aca="true" t="shared" si="10" ref="H54:H60">G54*F54</f>
        <v>3.6379200000000007</v>
      </c>
      <c r="I54" s="29"/>
      <c r="J54" s="69">
        <v>0.0044</v>
      </c>
      <c r="K54" s="60">
        <f>K52</f>
        <v>826.8000000000001</v>
      </c>
      <c r="L54" s="68">
        <f aca="true" t="shared" si="11" ref="L54:L60">K54*J54</f>
        <v>3.6379200000000007</v>
      </c>
      <c r="M54" s="29"/>
      <c r="N54" s="32">
        <f t="shared" si="2"/>
        <v>0</v>
      </c>
      <c r="O54" s="70">
        <f t="shared" si="9"/>
        <v>0</v>
      </c>
    </row>
    <row r="55" spans="2:15" ht="15">
      <c r="B55" s="66" t="s">
        <v>34</v>
      </c>
      <c r="C55" s="23"/>
      <c r="D55" s="24" t="s">
        <v>63</v>
      </c>
      <c r="E55" s="25"/>
      <c r="F55" s="67">
        <v>0.0013</v>
      </c>
      <c r="G55" s="59">
        <f>G52</f>
        <v>826.8000000000001</v>
      </c>
      <c r="H55" s="68">
        <f t="shared" si="10"/>
        <v>1.07484</v>
      </c>
      <c r="I55" s="29"/>
      <c r="J55" s="69">
        <v>0.0013</v>
      </c>
      <c r="K55" s="60">
        <f>K52</f>
        <v>826.8000000000001</v>
      </c>
      <c r="L55" s="68">
        <f t="shared" si="11"/>
        <v>1.07484</v>
      </c>
      <c r="M55" s="29"/>
      <c r="N55" s="32">
        <f t="shared" si="2"/>
        <v>0</v>
      </c>
      <c r="O55" s="70">
        <f t="shared" si="9"/>
        <v>0</v>
      </c>
    </row>
    <row r="56" spans="2:15" ht="15">
      <c r="B56" s="23" t="s">
        <v>35</v>
      </c>
      <c r="C56" s="23"/>
      <c r="D56" s="24" t="s">
        <v>62</v>
      </c>
      <c r="E56" s="25"/>
      <c r="F56" s="178">
        <v>0.25</v>
      </c>
      <c r="G56" s="27">
        <v>1</v>
      </c>
      <c r="H56" s="68">
        <f t="shared" si="10"/>
        <v>0.25</v>
      </c>
      <c r="I56" s="29"/>
      <c r="J56" s="179">
        <v>0.25</v>
      </c>
      <c r="K56" s="31">
        <v>1</v>
      </c>
      <c r="L56" s="68">
        <f t="shared" si="11"/>
        <v>0.25</v>
      </c>
      <c r="M56" s="29"/>
      <c r="N56" s="32">
        <f t="shared" si="2"/>
        <v>0</v>
      </c>
      <c r="O56" s="70">
        <f t="shared" si="9"/>
        <v>0</v>
      </c>
    </row>
    <row r="57" spans="2:15" ht="15">
      <c r="B57" s="23" t="s">
        <v>36</v>
      </c>
      <c r="C57" s="23"/>
      <c r="D57" s="24" t="s">
        <v>63</v>
      </c>
      <c r="E57" s="25"/>
      <c r="F57" s="67">
        <v>0.007</v>
      </c>
      <c r="G57" s="71">
        <f>F18</f>
        <v>800</v>
      </c>
      <c r="H57" s="68">
        <f t="shared" si="10"/>
        <v>5.6000000000000005</v>
      </c>
      <c r="I57" s="29"/>
      <c r="J57" s="69">
        <f>0.007</f>
        <v>0.007</v>
      </c>
      <c r="K57" s="72">
        <f>F18</f>
        <v>800</v>
      </c>
      <c r="L57" s="68">
        <f t="shared" si="11"/>
        <v>5.6000000000000005</v>
      </c>
      <c r="M57" s="29"/>
      <c r="N57" s="32">
        <f t="shared" si="2"/>
        <v>0</v>
      </c>
      <c r="O57" s="70">
        <f t="shared" si="9"/>
        <v>0</v>
      </c>
    </row>
    <row r="58" spans="2:19" ht="15">
      <c r="B58" s="50" t="s">
        <v>37</v>
      </c>
      <c r="C58" s="23"/>
      <c r="D58" s="24" t="s">
        <v>63</v>
      </c>
      <c r="E58" s="25"/>
      <c r="F58" s="73">
        <v>0.067</v>
      </c>
      <c r="G58" s="71">
        <f>0.64*$F$18</f>
        <v>512</v>
      </c>
      <c r="H58" s="68">
        <f t="shared" si="10"/>
        <v>34.304</v>
      </c>
      <c r="I58" s="29"/>
      <c r="J58" s="67">
        <v>0.067</v>
      </c>
      <c r="K58" s="71">
        <f>G58</f>
        <v>512</v>
      </c>
      <c r="L58" s="68">
        <f t="shared" si="11"/>
        <v>34.304</v>
      </c>
      <c r="M58" s="29"/>
      <c r="N58" s="32">
        <f t="shared" si="2"/>
        <v>0</v>
      </c>
      <c r="O58" s="70">
        <f t="shared" si="9"/>
        <v>0</v>
      </c>
      <c r="S58" s="74"/>
    </row>
    <row r="59" spans="2:19" ht="15">
      <c r="B59" s="50" t="s">
        <v>38</v>
      </c>
      <c r="C59" s="23"/>
      <c r="D59" s="24" t="s">
        <v>63</v>
      </c>
      <c r="E59" s="25"/>
      <c r="F59" s="73">
        <v>0.104</v>
      </c>
      <c r="G59" s="71">
        <f>0.18*$F$18</f>
        <v>144</v>
      </c>
      <c r="H59" s="68">
        <f t="shared" si="10"/>
        <v>14.975999999999999</v>
      </c>
      <c r="I59" s="29"/>
      <c r="J59" s="67">
        <v>0.104</v>
      </c>
      <c r="K59" s="71">
        <f>G59</f>
        <v>144</v>
      </c>
      <c r="L59" s="68">
        <f t="shared" si="11"/>
        <v>14.975999999999999</v>
      </c>
      <c r="M59" s="29"/>
      <c r="N59" s="32">
        <f t="shared" si="2"/>
        <v>0</v>
      </c>
      <c r="O59" s="70">
        <f t="shared" si="9"/>
        <v>0</v>
      </c>
      <c r="S59" s="74"/>
    </row>
    <row r="60" spans="2:19" ht="15">
      <c r="B60" s="13" t="s">
        <v>39</v>
      </c>
      <c r="C60" s="23"/>
      <c r="D60" s="24" t="s">
        <v>63</v>
      </c>
      <c r="E60" s="25"/>
      <c r="F60" s="73">
        <v>0.124</v>
      </c>
      <c r="G60" s="71">
        <f>0.18*$F$18</f>
        <v>144</v>
      </c>
      <c r="H60" s="68">
        <f t="shared" si="10"/>
        <v>17.856</v>
      </c>
      <c r="I60" s="29"/>
      <c r="J60" s="67">
        <v>0.124</v>
      </c>
      <c r="K60" s="71">
        <f>G60</f>
        <v>144</v>
      </c>
      <c r="L60" s="68">
        <f t="shared" si="11"/>
        <v>17.856</v>
      </c>
      <c r="M60" s="29"/>
      <c r="N60" s="32">
        <f t="shared" si="2"/>
        <v>0</v>
      </c>
      <c r="O60" s="70">
        <f t="shared" si="9"/>
        <v>0</v>
      </c>
      <c r="S60" s="74"/>
    </row>
    <row r="61" spans="2:15" s="75" customFormat="1" ht="15">
      <c r="B61" s="76" t="s">
        <v>40</v>
      </c>
      <c r="C61" s="77"/>
      <c r="D61" s="78" t="s">
        <v>63</v>
      </c>
      <c r="E61" s="79"/>
      <c r="F61" s="73">
        <v>0.075</v>
      </c>
      <c r="G61" s="80">
        <f>IF(AND($T$1=1,F18&gt;=600),600,IF(AND($T$1=1,AND(F18&lt;600,F18&gt;=0)),F18,IF(AND($T$1=2,F18&gt;=1000),1000,IF(AND($T$1=2,AND(F18&lt;1000,F18&gt;=0)),F18))))</f>
        <v>600</v>
      </c>
      <c r="H61" s="68">
        <f>G61*F61</f>
        <v>45</v>
      </c>
      <c r="I61" s="81"/>
      <c r="J61" s="67">
        <v>0.075</v>
      </c>
      <c r="K61" s="80">
        <f>G61</f>
        <v>600</v>
      </c>
      <c r="L61" s="68">
        <f>K61*J61</f>
        <v>45</v>
      </c>
      <c r="M61" s="81"/>
      <c r="N61" s="82">
        <f t="shared" si="2"/>
        <v>0</v>
      </c>
      <c r="O61" s="70">
        <f t="shared" si="9"/>
        <v>0</v>
      </c>
    </row>
    <row r="62" spans="2:15" s="75" customFormat="1" ht="15.75" thickBot="1">
      <c r="B62" s="76" t="s">
        <v>41</v>
      </c>
      <c r="C62" s="77"/>
      <c r="D62" s="78" t="s">
        <v>63</v>
      </c>
      <c r="E62" s="79"/>
      <c r="F62" s="73">
        <v>0.088</v>
      </c>
      <c r="G62" s="80">
        <f>IF(AND($T$1=1,F18&gt;=600),F18-600,IF(AND($T$1=1,AND(F18&lt;600,F18&gt;=0)),0,IF(AND($T$1=2,F18&gt;=1000),F18-1000,IF(AND($T$1=2,AND(F18&lt;1000,F18&gt;=0)),0))))</f>
        <v>200</v>
      </c>
      <c r="H62" s="68">
        <f>G62*F62</f>
        <v>17.599999999999998</v>
      </c>
      <c r="I62" s="81"/>
      <c r="J62" s="67">
        <v>0.088</v>
      </c>
      <c r="K62" s="80">
        <f>G62</f>
        <v>200</v>
      </c>
      <c r="L62" s="68">
        <f>K62*J62</f>
        <v>17.599999999999998</v>
      </c>
      <c r="M62" s="81"/>
      <c r="N62" s="82">
        <f t="shared" si="2"/>
        <v>0</v>
      </c>
      <c r="O62" s="70">
        <f t="shared" si="9"/>
        <v>0</v>
      </c>
    </row>
    <row r="63" spans="2:15" ht="8.25" customHeight="1" thickBot="1">
      <c r="B63" s="83"/>
      <c r="C63" s="84"/>
      <c r="D63" s="85"/>
      <c r="E63" s="84"/>
      <c r="F63" s="86"/>
      <c r="G63" s="87"/>
      <c r="H63" s="88"/>
      <c r="I63" s="89"/>
      <c r="J63" s="86"/>
      <c r="K63" s="90"/>
      <c r="L63" s="88"/>
      <c r="M63" s="89"/>
      <c r="N63" s="91"/>
      <c r="O63" s="92"/>
    </row>
    <row r="64" spans="2:19" ht="15">
      <c r="B64" s="93" t="s">
        <v>42</v>
      </c>
      <c r="C64" s="23"/>
      <c r="D64" s="23"/>
      <c r="E64" s="23"/>
      <c r="F64" s="94"/>
      <c r="G64" s="95"/>
      <c r="H64" s="96">
        <f>SUM(H54:H60,H53)</f>
        <v>114.599936</v>
      </c>
      <c r="I64" s="97"/>
      <c r="J64" s="98"/>
      <c r="K64" s="98"/>
      <c r="L64" s="192">
        <f>SUM(L54:L60,L53)</f>
        <v>115.217976</v>
      </c>
      <c r="M64" s="99"/>
      <c r="N64" s="100">
        <f>L64-H64</f>
        <v>0.6180399999999935</v>
      </c>
      <c r="O64" s="101">
        <f>IF((H64)=0,"",(N64/H64))</f>
        <v>0.005393022209017582</v>
      </c>
      <c r="S64" s="74"/>
    </row>
    <row r="65" spans="2:19" ht="15">
      <c r="B65" s="102" t="s">
        <v>43</v>
      </c>
      <c r="C65" s="23"/>
      <c r="D65" s="23"/>
      <c r="E65" s="23"/>
      <c r="F65" s="103">
        <v>0.13</v>
      </c>
      <c r="G65" s="104"/>
      <c r="H65" s="105">
        <f>H64*F65</f>
        <v>14.89799168</v>
      </c>
      <c r="I65" s="106"/>
      <c r="J65" s="107">
        <v>0.13</v>
      </c>
      <c r="K65" s="106"/>
      <c r="L65" s="108">
        <f>L64*J65</f>
        <v>14.978336879999999</v>
      </c>
      <c r="M65" s="109"/>
      <c r="N65" s="110">
        <f t="shared" si="2"/>
        <v>0.08034519999999823</v>
      </c>
      <c r="O65" s="111">
        <f t="shared" si="9"/>
        <v>0.005393022209017519</v>
      </c>
      <c r="S65" s="74"/>
    </row>
    <row r="66" spans="2:19" ht="15">
      <c r="B66" s="112" t="s">
        <v>44</v>
      </c>
      <c r="C66" s="23"/>
      <c r="D66" s="23"/>
      <c r="E66" s="23"/>
      <c r="F66" s="113"/>
      <c r="G66" s="104"/>
      <c r="H66" s="105">
        <f>H64+H65</f>
        <v>129.49792768</v>
      </c>
      <c r="I66" s="106"/>
      <c r="J66" s="106"/>
      <c r="K66" s="106"/>
      <c r="L66" s="108">
        <f>L64+L65</f>
        <v>130.19631288</v>
      </c>
      <c r="M66" s="109"/>
      <c r="N66" s="110">
        <f t="shared" si="2"/>
        <v>0.6983851999999899</v>
      </c>
      <c r="O66" s="111">
        <f t="shared" si="9"/>
        <v>0.005393022209017561</v>
      </c>
      <c r="S66" s="74"/>
    </row>
    <row r="67" spans="2:15" ht="15.75" customHeight="1">
      <c r="B67" s="333" t="s">
        <v>45</v>
      </c>
      <c r="C67" s="333"/>
      <c r="D67" s="333"/>
      <c r="E67" s="23"/>
      <c r="F67" s="113"/>
      <c r="G67" s="104"/>
      <c r="H67" s="263">
        <f>ROUND(-H66*10%,2)</f>
        <v>-12.95</v>
      </c>
      <c r="I67" s="106"/>
      <c r="J67" s="106"/>
      <c r="K67" s="106"/>
      <c r="L67" s="264">
        <f>ROUND(-L66*10%,2)</f>
        <v>-13.02</v>
      </c>
      <c r="M67" s="109"/>
      <c r="N67" s="265">
        <f t="shared" si="2"/>
        <v>-0.07000000000000028</v>
      </c>
      <c r="O67" s="117">
        <f t="shared" si="9"/>
        <v>0.005405405405405427</v>
      </c>
    </row>
    <row r="68" spans="2:15" ht="15.75" thickBot="1">
      <c r="B68" s="334" t="s">
        <v>46</v>
      </c>
      <c r="C68" s="334"/>
      <c r="D68" s="334"/>
      <c r="E68" s="118"/>
      <c r="F68" s="119"/>
      <c r="G68" s="120"/>
      <c r="H68" s="121">
        <f>H66+H67</f>
        <v>116.54792768</v>
      </c>
      <c r="I68" s="122"/>
      <c r="J68" s="122"/>
      <c r="K68" s="122"/>
      <c r="L68" s="123">
        <f>L66+L67</f>
        <v>117.17631288</v>
      </c>
      <c r="M68" s="124"/>
      <c r="N68" s="125">
        <f t="shared" si="2"/>
        <v>0.6283851999999968</v>
      </c>
      <c r="O68" s="126">
        <f t="shared" si="9"/>
        <v>0.005391646273843012</v>
      </c>
    </row>
    <row r="69" spans="2:15" s="75" customFormat="1" ht="8.25" customHeight="1" thickBot="1">
      <c r="B69" s="127"/>
      <c r="C69" s="128"/>
      <c r="D69" s="129"/>
      <c r="E69" s="128"/>
      <c r="F69" s="86"/>
      <c r="G69" s="130"/>
      <c r="H69" s="88"/>
      <c r="I69" s="131"/>
      <c r="J69" s="86"/>
      <c r="K69" s="132"/>
      <c r="L69" s="88"/>
      <c r="M69" s="131"/>
      <c r="N69" s="133"/>
      <c r="O69" s="92"/>
    </row>
    <row r="70" spans="2:15" s="75" customFormat="1" ht="12.75">
      <c r="B70" s="134" t="s">
        <v>47</v>
      </c>
      <c r="C70" s="77"/>
      <c r="D70" s="77"/>
      <c r="E70" s="77"/>
      <c r="F70" s="135"/>
      <c r="G70" s="136"/>
      <c r="H70" s="137">
        <f>SUM(H61:H62,H53,H54:H57)</f>
        <v>110.06393599999998</v>
      </c>
      <c r="I70" s="138"/>
      <c r="J70" s="139"/>
      <c r="K70" s="139"/>
      <c r="L70" s="191">
        <f>SUM(L61:L62,L53,L54:L57)</f>
        <v>110.68197599999998</v>
      </c>
      <c r="M70" s="140"/>
      <c r="N70" s="141">
        <f>L70-H70</f>
        <v>0.6180399999999935</v>
      </c>
      <c r="O70" s="101">
        <f>IF((H70)=0,"",(N70/H70))</f>
        <v>0.005615281648659136</v>
      </c>
    </row>
    <row r="71" spans="2:15" s="75" customFormat="1" ht="12.75">
      <c r="B71" s="142" t="s">
        <v>43</v>
      </c>
      <c r="C71" s="77"/>
      <c r="D71" s="77"/>
      <c r="E71" s="77"/>
      <c r="F71" s="143">
        <v>0.13</v>
      </c>
      <c r="G71" s="136"/>
      <c r="H71" s="144">
        <f>H70*F71</f>
        <v>14.30831168</v>
      </c>
      <c r="I71" s="145"/>
      <c r="J71" s="146">
        <v>0.13</v>
      </c>
      <c r="K71" s="147"/>
      <c r="L71" s="148">
        <f>L70*J71</f>
        <v>14.388656879999997</v>
      </c>
      <c r="M71" s="149"/>
      <c r="N71" s="150">
        <f>L71-H71</f>
        <v>0.08034519999999823</v>
      </c>
      <c r="O71" s="111">
        <f>IF((H71)=0,"",(N71/H71))</f>
        <v>0.005615281648659071</v>
      </c>
    </row>
    <row r="72" spans="2:15" s="75" customFormat="1" ht="12.75">
      <c r="B72" s="151" t="s">
        <v>44</v>
      </c>
      <c r="C72" s="77"/>
      <c r="D72" s="77"/>
      <c r="E72" s="77"/>
      <c r="F72" s="152"/>
      <c r="G72" s="153"/>
      <c r="H72" s="144">
        <f>H70+H71</f>
        <v>124.37224767999999</v>
      </c>
      <c r="I72" s="145"/>
      <c r="J72" s="145"/>
      <c r="K72" s="145"/>
      <c r="L72" s="148">
        <f>L70+L71</f>
        <v>125.07063287999998</v>
      </c>
      <c r="M72" s="149"/>
      <c r="N72" s="150">
        <f>L72-H72</f>
        <v>0.6983851999999899</v>
      </c>
      <c r="O72" s="111">
        <f>IF((H72)=0,"",(N72/H72))</f>
        <v>0.005615281648659113</v>
      </c>
    </row>
    <row r="73" spans="2:15" s="75" customFormat="1" ht="15.75" customHeight="1">
      <c r="B73" s="335" t="s">
        <v>45</v>
      </c>
      <c r="C73" s="335"/>
      <c r="D73" s="335"/>
      <c r="E73" s="77"/>
      <c r="F73" s="152"/>
      <c r="G73" s="153"/>
      <c r="H73" s="256">
        <f>ROUND(-H72*10%,2)</f>
        <v>-12.44</v>
      </c>
      <c r="I73" s="145"/>
      <c r="J73" s="145"/>
      <c r="K73" s="145"/>
      <c r="L73" s="257">
        <f>ROUND(-L72*10%,2)</f>
        <v>-12.51</v>
      </c>
      <c r="M73" s="149"/>
      <c r="N73" s="258">
        <f>L73-H73</f>
        <v>-0.07000000000000028</v>
      </c>
      <c r="O73" s="117">
        <f>IF((H73)=0,"",(N73/H73))</f>
        <v>0.0056270096463022735</v>
      </c>
    </row>
    <row r="74" spans="2:15" s="75" customFormat="1" ht="13.5" thickBot="1">
      <c r="B74" s="326" t="s">
        <v>48</v>
      </c>
      <c r="C74" s="326"/>
      <c r="D74" s="326"/>
      <c r="E74" s="157"/>
      <c r="F74" s="158"/>
      <c r="G74" s="159"/>
      <c r="H74" s="160">
        <f>SUM(H72:H73)</f>
        <v>111.93224767999999</v>
      </c>
      <c r="I74" s="161"/>
      <c r="J74" s="161"/>
      <c r="K74" s="161"/>
      <c r="L74" s="162">
        <f>SUM(L72:L73)</f>
        <v>112.56063287999997</v>
      </c>
      <c r="M74" s="163"/>
      <c r="N74" s="164">
        <f>L74-H74</f>
        <v>0.6283851999999825</v>
      </c>
      <c r="O74" s="165">
        <f>IF((H74)=0,"",(N74/H74))</f>
        <v>0.005613978214718386</v>
      </c>
    </row>
    <row r="75" spans="2:15" s="75" customFormat="1" ht="8.25" customHeight="1" thickBot="1">
      <c r="B75" s="127"/>
      <c r="C75" s="128"/>
      <c r="D75" s="129"/>
      <c r="E75" s="128"/>
      <c r="F75" s="166"/>
      <c r="G75" s="167"/>
      <c r="H75" s="168"/>
      <c r="I75" s="169"/>
      <c r="J75" s="166"/>
      <c r="K75" s="130"/>
      <c r="L75" s="170"/>
      <c r="M75" s="131"/>
      <c r="N75" s="171"/>
      <c r="O75" s="92"/>
    </row>
    <row r="76" ht="10.5" customHeight="1">
      <c r="L76" s="74"/>
    </row>
    <row r="77" spans="2:10" ht="15">
      <c r="B77" s="14" t="s">
        <v>49</v>
      </c>
      <c r="F77" s="172">
        <v>0.0335</v>
      </c>
      <c r="J77" s="172">
        <v>0.0335</v>
      </c>
    </row>
    <row r="78" ht="10.5" customHeight="1"/>
    <row r="79" ht="15">
      <c r="A79" s="173" t="s">
        <v>50</v>
      </c>
    </row>
    <row r="80" ht="10.5" customHeight="1"/>
    <row r="81" ht="15">
      <c r="A81" s="8" t="s">
        <v>51</v>
      </c>
    </row>
    <row r="82" ht="15">
      <c r="A82" s="8" t="s">
        <v>52</v>
      </c>
    </row>
    <row r="84" ht="15">
      <c r="A84" s="13" t="s">
        <v>53</v>
      </c>
    </row>
    <row r="85" ht="15">
      <c r="A85" s="13" t="s">
        <v>54</v>
      </c>
    </row>
    <row r="87" ht="15">
      <c r="A87" s="8" t="s">
        <v>55</v>
      </c>
    </row>
    <row r="88" ht="15">
      <c r="A88" s="8" t="s">
        <v>56</v>
      </c>
    </row>
    <row r="89" ht="15">
      <c r="A89" s="8" t="s">
        <v>57</v>
      </c>
    </row>
    <row r="90" ht="15">
      <c r="A90" s="8" t="s">
        <v>58</v>
      </c>
    </row>
    <row r="91" ht="15">
      <c r="A91" s="8" t="s">
        <v>59</v>
      </c>
    </row>
    <row r="93" spans="1:2" ht="15">
      <c r="A93" s="174"/>
      <c r="B93" s="8" t="s">
        <v>60</v>
      </c>
    </row>
  </sheetData>
  <sheetProtection/>
  <mergeCells count="20">
    <mergeCell ref="N1:O1"/>
    <mergeCell ref="N2:O2"/>
    <mergeCell ref="N7:O7"/>
    <mergeCell ref="A3:K3"/>
    <mergeCell ref="B10:O10"/>
    <mergeCell ref="B11:O11"/>
    <mergeCell ref="D14:O14"/>
    <mergeCell ref="F20:H20"/>
    <mergeCell ref="J20:L20"/>
    <mergeCell ref="N20:O20"/>
    <mergeCell ref="N3:O3"/>
    <mergeCell ref="N4:O4"/>
    <mergeCell ref="N5:O5"/>
    <mergeCell ref="B74:D74"/>
    <mergeCell ref="D21:D22"/>
    <mergeCell ref="N21:N22"/>
    <mergeCell ref="O21:O22"/>
    <mergeCell ref="B67:D67"/>
    <mergeCell ref="B68:D68"/>
    <mergeCell ref="B73:D73"/>
  </mergeCells>
  <dataValidations count="4">
    <dataValidation type="list" allowBlank="1" showInputMessage="1" showErrorMessage="1" sqref="D16">
      <formula1>"TOU, non-TOU"</formula1>
    </dataValidation>
    <dataValidation type="list" allowBlank="1" showInputMessage="1" showErrorMessage="1" sqref="E75 E69 E61:E62">
      <formula1>'Res (800kWh)'!#REF!</formula1>
    </dataValidation>
    <dataValidation type="list" allowBlank="1" showInputMessage="1" showErrorMessage="1" prompt="Select Charge Unit - monthly, per kWh, per kW" sqref="D51:D52 D69 D75 D54:D63 D42:D49 D23:D40">
      <formula1>"Monthly, per kWh, per kW"</formula1>
    </dataValidation>
    <dataValidation type="list" allowBlank="1" showInputMessage="1" showErrorMessage="1" sqref="E51:E52 E54:E60 E63 E42:E49 E23:E40">
      <formula1>'Res (800kWh)'!#REF!</formula1>
    </dataValidation>
  </dataValidations>
  <printOptions/>
  <pageMargins left="0.7" right="0.7" top="0.75" bottom="0.75" header="0.3" footer="0.3"/>
  <pageSetup fitToHeight="0" fitToWidth="1" horizontalDpi="600" verticalDpi="600" orientation="portrait" scale="5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93"/>
  <sheetViews>
    <sheetView showGridLines="0" zoomScalePageLayoutView="0" workbookViewId="0" topLeftCell="A12">
      <selection activeCell="J43" sqref="J43"/>
    </sheetView>
  </sheetViews>
  <sheetFormatPr defaultColWidth="9.140625" defaultRowHeight="15"/>
  <cols>
    <col min="1" max="1" width="2.140625" style="8" customWidth="1"/>
    <col min="2" max="2" width="44.5742187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8.57421875" style="8" customWidth="1"/>
    <col min="8" max="8" width="9.7109375" style="8" customWidth="1"/>
    <col min="9" max="9" width="2.8515625" style="8" customWidth="1"/>
    <col min="10" max="10" width="12.140625" style="8" customWidth="1"/>
    <col min="11" max="11" width="8.57421875" style="8" customWidth="1"/>
    <col min="12" max="12" width="9.7109375" style="8" customWidth="1"/>
    <col min="13" max="13" width="2.8515625" style="8" customWidth="1"/>
    <col min="14" max="14" width="12.7109375" style="8" bestFit="1" customWidth="1"/>
    <col min="15" max="15" width="10.8515625" style="8" bestFit="1" customWidth="1"/>
    <col min="16" max="16" width="7.42187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42" t="str">
        <f>EBNUMBER</f>
        <v>EB-2013-0116</v>
      </c>
      <c r="O1" s="342"/>
      <c r="P1" s="194"/>
      <c r="T1" s="2">
        <v>1</v>
      </c>
    </row>
    <row r="2" spans="1:16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343">
        <v>8</v>
      </c>
      <c r="O2" s="343"/>
      <c r="P2" s="197"/>
    </row>
    <row r="3" spans="1:16" s="2" customFormat="1" ht="15" customHeight="1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" t="s">
        <v>79</v>
      </c>
      <c r="N3" s="344" t="s">
        <v>80</v>
      </c>
      <c r="O3" s="344"/>
      <c r="P3" s="198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343">
        <v>5</v>
      </c>
      <c r="O4" s="343"/>
      <c r="P4" s="197"/>
    </row>
    <row r="5" spans="3:16" s="2" customFormat="1" ht="15" customHeight="1">
      <c r="C5" s="7"/>
      <c r="D5" s="7"/>
      <c r="E5" s="7"/>
      <c r="L5" s="3" t="s">
        <v>81</v>
      </c>
      <c r="N5" s="345" t="s">
        <v>87</v>
      </c>
      <c r="O5" s="345"/>
      <c r="P5" s="196"/>
    </row>
    <row r="6" spans="12:16" s="2" customFormat="1" ht="9" customHeight="1">
      <c r="L6" s="3"/>
      <c r="N6" s="195"/>
      <c r="O6" s="4"/>
      <c r="P6" s="199"/>
    </row>
    <row r="7" spans="12:16" s="2" customFormat="1" ht="15">
      <c r="L7" s="3" t="s">
        <v>83</v>
      </c>
      <c r="N7" s="346">
        <v>41575</v>
      </c>
      <c r="O7" s="346"/>
      <c r="P7" s="196"/>
    </row>
    <row r="8" spans="14:16" s="2" customFormat="1" ht="15" customHeight="1">
      <c r="N8" s="8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337" t="s">
        <v>3</v>
      </c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/>
    </row>
    <row r="11" spans="2:16" ht="18.75" customHeight="1">
      <c r="B11" s="337" t="s">
        <v>4</v>
      </c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338" t="s">
        <v>61</v>
      </c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7" ht="15">
      <c r="B18" s="13"/>
      <c r="D18" s="14" t="s">
        <v>8</v>
      </c>
      <c r="E18" s="14"/>
      <c r="F18" s="15">
        <v>1000</v>
      </c>
      <c r="G18" s="14" t="s">
        <v>9</v>
      </c>
    </row>
    <row r="19" ht="15">
      <c r="B19" s="13"/>
    </row>
    <row r="20" spans="2:15" ht="15">
      <c r="B20" s="13"/>
      <c r="D20" s="16"/>
      <c r="E20" s="16"/>
      <c r="F20" s="339" t="s">
        <v>10</v>
      </c>
      <c r="G20" s="340"/>
      <c r="H20" s="341"/>
      <c r="J20" s="339" t="s">
        <v>11</v>
      </c>
      <c r="K20" s="340"/>
      <c r="L20" s="341"/>
      <c r="N20" s="339" t="s">
        <v>12</v>
      </c>
      <c r="O20" s="341"/>
    </row>
    <row r="21" spans="2:15" ht="15">
      <c r="B21" s="13"/>
      <c r="D21" s="327" t="s">
        <v>13</v>
      </c>
      <c r="E21" s="17"/>
      <c r="F21" s="18" t="s">
        <v>14</v>
      </c>
      <c r="G21" s="18" t="s">
        <v>15</v>
      </c>
      <c r="H21" s="19" t="s">
        <v>16</v>
      </c>
      <c r="J21" s="18" t="s">
        <v>14</v>
      </c>
      <c r="K21" s="20" t="s">
        <v>15</v>
      </c>
      <c r="L21" s="19" t="s">
        <v>16</v>
      </c>
      <c r="N21" s="329" t="s">
        <v>17</v>
      </c>
      <c r="O21" s="331" t="s">
        <v>18</v>
      </c>
    </row>
    <row r="22" spans="2:15" ht="15">
      <c r="B22" s="13"/>
      <c r="D22" s="328"/>
      <c r="E22" s="17"/>
      <c r="F22" s="21" t="s">
        <v>19</v>
      </c>
      <c r="G22" s="21"/>
      <c r="H22" s="22" t="s">
        <v>19</v>
      </c>
      <c r="J22" s="21" t="s">
        <v>19</v>
      </c>
      <c r="K22" s="22"/>
      <c r="L22" s="22" t="s">
        <v>19</v>
      </c>
      <c r="N22" s="330"/>
      <c r="O22" s="332"/>
    </row>
    <row r="23" spans="2:15" ht="22.5" customHeight="1">
      <c r="B23" s="23" t="s">
        <v>20</v>
      </c>
      <c r="C23" s="23"/>
      <c r="D23" s="24" t="s">
        <v>62</v>
      </c>
      <c r="E23" s="25"/>
      <c r="F23" s="176">
        <f>'Res (100kWh)'!F23</f>
        <v>11</v>
      </c>
      <c r="G23" s="27">
        <v>1</v>
      </c>
      <c r="H23" s="28">
        <f>G23*F23</f>
        <v>11</v>
      </c>
      <c r="I23" s="29"/>
      <c r="J23" s="175">
        <f>'Res (100kWh)'!J23</f>
        <v>11.15</v>
      </c>
      <c r="K23" s="31">
        <v>1</v>
      </c>
      <c r="L23" s="28">
        <f>K23*J23</f>
        <v>11.15</v>
      </c>
      <c r="M23" s="29"/>
      <c r="N23" s="32">
        <f>L23-H23</f>
        <v>0.15000000000000036</v>
      </c>
      <c r="O23" s="33">
        <f>IF((H23)=0,"",(N23/H23))</f>
        <v>0.013636363636363669</v>
      </c>
    </row>
    <row r="24" spans="2:15" ht="22.5" customHeight="1">
      <c r="B24" s="23" t="s">
        <v>102</v>
      </c>
      <c r="C24" s="23"/>
      <c r="D24" s="24" t="s">
        <v>62</v>
      </c>
      <c r="E24" s="25"/>
      <c r="F24" s="255">
        <f>'Res (100kWh)'!F24</f>
        <v>0</v>
      </c>
      <c r="G24" s="27">
        <v>1</v>
      </c>
      <c r="H24" s="249">
        <f>G24*F24</f>
        <v>0</v>
      </c>
      <c r="I24" s="29"/>
      <c r="J24" s="175">
        <f>'Res (100kWh)'!J24</f>
        <v>0</v>
      </c>
      <c r="K24" s="31">
        <v>1</v>
      </c>
      <c r="L24" s="28">
        <f>K24*J24</f>
        <v>0</v>
      </c>
      <c r="M24" s="29"/>
      <c r="N24" s="32">
        <f>L24-H24</f>
        <v>0</v>
      </c>
      <c r="O24" s="33">
        <f>IF((H24)=0,"",(N24/H24))</f>
      </c>
    </row>
    <row r="25" spans="2:15" ht="36.75" customHeight="1">
      <c r="B25" s="66" t="s">
        <v>125</v>
      </c>
      <c r="C25" s="23"/>
      <c r="D25" s="57" t="s">
        <v>62</v>
      </c>
      <c r="E25" s="25"/>
      <c r="F25" s="272">
        <v>0</v>
      </c>
      <c r="G25" s="27">
        <v>1</v>
      </c>
      <c r="H25" s="249">
        <f>G25*F25</f>
        <v>0</v>
      </c>
      <c r="I25" s="29"/>
      <c r="J25" s="30">
        <f>'Res (100kWh)'!J25</f>
        <v>0.79</v>
      </c>
      <c r="K25" s="31">
        <v>1</v>
      </c>
      <c r="L25" s="249">
        <f>K25*J25</f>
        <v>0.79</v>
      </c>
      <c r="M25" s="29"/>
      <c r="N25" s="32">
        <f>L25-H25</f>
        <v>0.79</v>
      </c>
      <c r="O25" s="250">
        <f>IF((H25)=0,"",(N25/H25))</f>
      </c>
    </row>
    <row r="26" spans="2:15" ht="36.75" customHeight="1">
      <c r="B26" s="177" t="s">
        <v>64</v>
      </c>
      <c r="C26" s="23"/>
      <c r="D26" s="57" t="s">
        <v>62</v>
      </c>
      <c r="E26" s="58"/>
      <c r="F26" s="175">
        <v>0</v>
      </c>
      <c r="G26" s="27">
        <v>1</v>
      </c>
      <c r="H26" s="28">
        <f aca="true" t="shared" si="0" ref="H26:H40">G26*F26</f>
        <v>0</v>
      </c>
      <c r="I26" s="29"/>
      <c r="J26" s="30"/>
      <c r="K26" s="31">
        <v>1</v>
      </c>
      <c r="L26" s="28">
        <f aca="true" t="shared" si="1" ref="L26:L40">K26*J26</f>
        <v>0</v>
      </c>
      <c r="M26" s="29"/>
      <c r="N26" s="32">
        <f aca="true" t="shared" si="2" ref="N26:N68">L26-H26</f>
        <v>0</v>
      </c>
      <c r="O26" s="33">
        <f aca="true" t="shared" si="3" ref="O26:O48">IF((H26)=0,"",(N26/H26))</f>
      </c>
    </row>
    <row r="27" spans="2:15" ht="15">
      <c r="B27" s="177" t="s">
        <v>65</v>
      </c>
      <c r="C27" s="23"/>
      <c r="D27" s="24" t="s">
        <v>62</v>
      </c>
      <c r="E27" s="25"/>
      <c r="F27" s="26">
        <f>'Res (100kWh)'!F27</f>
        <v>4.33</v>
      </c>
      <c r="G27" s="27">
        <v>1</v>
      </c>
      <c r="H27" s="28">
        <f t="shared" si="0"/>
        <v>4.33</v>
      </c>
      <c r="I27" s="29"/>
      <c r="J27" s="175">
        <v>0</v>
      </c>
      <c r="K27" s="31">
        <v>1</v>
      </c>
      <c r="L27" s="28">
        <f t="shared" si="1"/>
        <v>0</v>
      </c>
      <c r="M27" s="29"/>
      <c r="N27" s="259">
        <f t="shared" si="2"/>
        <v>-4.33</v>
      </c>
      <c r="O27" s="33">
        <f t="shared" si="3"/>
        <v>-1</v>
      </c>
    </row>
    <row r="28" spans="2:15" ht="15">
      <c r="B28" s="47" t="s">
        <v>66</v>
      </c>
      <c r="C28" s="23"/>
      <c r="D28" s="24" t="s">
        <v>63</v>
      </c>
      <c r="E28" s="25"/>
      <c r="F28" s="26">
        <v>0</v>
      </c>
      <c r="G28" s="27">
        <f aca="true" t="shared" si="4" ref="G28:G33">$F$18</f>
        <v>1000</v>
      </c>
      <c r="H28" s="28">
        <f t="shared" si="0"/>
        <v>0</v>
      </c>
      <c r="I28" s="29"/>
      <c r="J28" s="175"/>
      <c r="K28" s="27">
        <f>$F$18</f>
        <v>1000</v>
      </c>
      <c r="L28" s="28">
        <f t="shared" si="1"/>
        <v>0</v>
      </c>
      <c r="M28" s="29"/>
      <c r="N28" s="32">
        <f t="shared" si="2"/>
        <v>0</v>
      </c>
      <c r="O28" s="33">
        <f t="shared" si="3"/>
      </c>
    </row>
    <row r="29" spans="2:15" ht="15">
      <c r="B29" s="47" t="s">
        <v>67</v>
      </c>
      <c r="C29" s="23"/>
      <c r="D29" s="24" t="s">
        <v>63</v>
      </c>
      <c r="E29" s="25"/>
      <c r="F29" s="253">
        <f>'Res (100kWh)'!F29</f>
        <v>-0.004</v>
      </c>
      <c r="G29" s="27">
        <f t="shared" si="4"/>
        <v>1000</v>
      </c>
      <c r="H29" s="28">
        <f t="shared" si="0"/>
        <v>-4</v>
      </c>
      <c r="I29" s="29"/>
      <c r="J29" s="30">
        <f>'Res (100kWh)'!J29</f>
        <v>0</v>
      </c>
      <c r="K29" s="27">
        <f>$F$18</f>
        <v>1000</v>
      </c>
      <c r="L29" s="28">
        <f t="shared" si="1"/>
        <v>0</v>
      </c>
      <c r="M29" s="29"/>
      <c r="N29" s="32">
        <f t="shared" si="2"/>
        <v>4</v>
      </c>
      <c r="O29" s="33">
        <f t="shared" si="3"/>
        <v>-1</v>
      </c>
    </row>
    <row r="30" spans="2:15" ht="15">
      <c r="B30" s="47" t="s">
        <v>103</v>
      </c>
      <c r="C30" s="23"/>
      <c r="D30" s="24" t="s">
        <v>63</v>
      </c>
      <c r="E30" s="25"/>
      <c r="F30" s="26">
        <f>'Res (100kWh)'!F30</f>
        <v>0</v>
      </c>
      <c r="G30" s="27">
        <f t="shared" si="4"/>
        <v>1000</v>
      </c>
      <c r="H30" s="249">
        <f t="shared" si="0"/>
        <v>0</v>
      </c>
      <c r="I30" s="29"/>
      <c r="J30" s="30">
        <f>'Res (100kWh)'!J30</f>
        <v>0</v>
      </c>
      <c r="K30" s="27">
        <f>$F$18</f>
        <v>1000</v>
      </c>
      <c r="L30" s="249">
        <f>K30*J30</f>
        <v>0</v>
      </c>
      <c r="M30" s="29"/>
      <c r="N30" s="259">
        <f>L30-H30</f>
        <v>0</v>
      </c>
      <c r="O30" s="250">
        <f>IF((H30)=0,"",(N30/H30))</f>
      </c>
    </row>
    <row r="31" spans="2:15" ht="15">
      <c r="B31" s="23" t="s">
        <v>21</v>
      </c>
      <c r="C31" s="23"/>
      <c r="D31" s="24" t="s">
        <v>63</v>
      </c>
      <c r="E31" s="25"/>
      <c r="F31" s="26">
        <f>'Res (100kWh)'!F31</f>
        <v>0.0178</v>
      </c>
      <c r="G31" s="27">
        <f t="shared" si="4"/>
        <v>1000</v>
      </c>
      <c r="H31" s="28">
        <f t="shared" si="0"/>
        <v>17.8</v>
      </c>
      <c r="I31" s="29"/>
      <c r="J31" s="30">
        <f>'Res (100kWh)'!J31</f>
        <v>0.018</v>
      </c>
      <c r="K31" s="27">
        <f>$F$18</f>
        <v>1000</v>
      </c>
      <c r="L31" s="28">
        <f t="shared" si="1"/>
        <v>18</v>
      </c>
      <c r="M31" s="29"/>
      <c r="N31" s="32">
        <f t="shared" si="2"/>
        <v>0.1999999999999993</v>
      </c>
      <c r="O31" s="33">
        <f t="shared" si="3"/>
        <v>0.011235955056179735</v>
      </c>
    </row>
    <row r="32" spans="2:15" ht="15">
      <c r="B32" s="23" t="s">
        <v>22</v>
      </c>
      <c r="C32" s="23"/>
      <c r="D32" s="24"/>
      <c r="E32" s="25"/>
      <c r="F32" s="26"/>
      <c r="G32" s="27">
        <f t="shared" si="4"/>
        <v>1000</v>
      </c>
      <c r="H32" s="28">
        <f t="shared" si="0"/>
        <v>0</v>
      </c>
      <c r="I32" s="29"/>
      <c r="J32" s="30"/>
      <c r="K32" s="27">
        <f aca="true" t="shared" si="5" ref="K32:K40">$F$18</f>
        <v>1000</v>
      </c>
      <c r="L32" s="28">
        <f t="shared" si="1"/>
        <v>0</v>
      </c>
      <c r="M32" s="29"/>
      <c r="N32" s="32">
        <f t="shared" si="2"/>
        <v>0</v>
      </c>
      <c r="O32" s="33">
        <f t="shared" si="3"/>
      </c>
    </row>
    <row r="33" spans="2:15" ht="15">
      <c r="B33" s="23" t="s">
        <v>124</v>
      </c>
      <c r="C33" s="23"/>
      <c r="D33" s="24" t="s">
        <v>63</v>
      </c>
      <c r="E33" s="25"/>
      <c r="F33" s="26">
        <v>0</v>
      </c>
      <c r="G33" s="27">
        <f t="shared" si="4"/>
        <v>1000</v>
      </c>
      <c r="H33" s="249">
        <f t="shared" si="0"/>
        <v>0</v>
      </c>
      <c r="I33" s="29"/>
      <c r="J33" s="30">
        <f>'Res (100kWh)'!$J33</f>
        <v>0.0001</v>
      </c>
      <c r="K33" s="27">
        <f t="shared" si="5"/>
        <v>1000</v>
      </c>
      <c r="L33" s="249">
        <f t="shared" si="1"/>
        <v>0.1</v>
      </c>
      <c r="M33" s="29"/>
      <c r="N33" s="32">
        <f t="shared" si="2"/>
        <v>0.1</v>
      </c>
      <c r="O33" s="250">
        <f t="shared" si="3"/>
      </c>
    </row>
    <row r="34" spans="2:15" ht="15" hidden="1">
      <c r="B34" s="34"/>
      <c r="C34" s="23"/>
      <c r="D34" s="24"/>
      <c r="E34" s="25"/>
      <c r="F34" s="26"/>
      <c r="G34" s="27">
        <f aca="true" t="shared" si="6" ref="G34:G40">$F$18</f>
        <v>1000</v>
      </c>
      <c r="H34" s="28">
        <f t="shared" si="0"/>
        <v>0</v>
      </c>
      <c r="I34" s="29"/>
      <c r="J34" s="30"/>
      <c r="K34" s="27">
        <f t="shared" si="5"/>
        <v>1000</v>
      </c>
      <c r="L34" s="28">
        <f t="shared" si="1"/>
        <v>0</v>
      </c>
      <c r="M34" s="29"/>
      <c r="N34" s="32">
        <f t="shared" si="2"/>
        <v>0</v>
      </c>
      <c r="O34" s="33">
        <f t="shared" si="3"/>
      </c>
    </row>
    <row r="35" spans="2:15" ht="15" hidden="1">
      <c r="B35" s="34"/>
      <c r="C35" s="23"/>
      <c r="D35" s="24"/>
      <c r="E35" s="25"/>
      <c r="F35" s="26"/>
      <c r="G35" s="27">
        <f t="shared" si="6"/>
        <v>1000</v>
      </c>
      <c r="H35" s="28">
        <f t="shared" si="0"/>
        <v>0</v>
      </c>
      <c r="I35" s="29"/>
      <c r="J35" s="30"/>
      <c r="K35" s="27">
        <f t="shared" si="5"/>
        <v>1000</v>
      </c>
      <c r="L35" s="28">
        <f t="shared" si="1"/>
        <v>0</v>
      </c>
      <c r="M35" s="29"/>
      <c r="N35" s="32">
        <f t="shared" si="2"/>
        <v>0</v>
      </c>
      <c r="O35" s="33">
        <f t="shared" si="3"/>
      </c>
    </row>
    <row r="36" spans="2:15" ht="15" hidden="1">
      <c r="B36" s="34"/>
      <c r="C36" s="23"/>
      <c r="D36" s="24"/>
      <c r="E36" s="25"/>
      <c r="F36" s="26"/>
      <c r="G36" s="27">
        <f t="shared" si="6"/>
        <v>1000</v>
      </c>
      <c r="H36" s="28">
        <f t="shared" si="0"/>
        <v>0</v>
      </c>
      <c r="I36" s="29"/>
      <c r="J36" s="30"/>
      <c r="K36" s="27">
        <f t="shared" si="5"/>
        <v>1000</v>
      </c>
      <c r="L36" s="28">
        <f t="shared" si="1"/>
        <v>0</v>
      </c>
      <c r="M36" s="29"/>
      <c r="N36" s="32">
        <f t="shared" si="2"/>
        <v>0</v>
      </c>
      <c r="O36" s="33">
        <f t="shared" si="3"/>
      </c>
    </row>
    <row r="37" spans="2:15" ht="15" hidden="1">
      <c r="B37" s="34"/>
      <c r="C37" s="23"/>
      <c r="D37" s="24"/>
      <c r="E37" s="25"/>
      <c r="F37" s="26"/>
      <c r="G37" s="27">
        <f t="shared" si="6"/>
        <v>1000</v>
      </c>
      <c r="H37" s="28">
        <f t="shared" si="0"/>
        <v>0</v>
      </c>
      <c r="I37" s="29"/>
      <c r="J37" s="30"/>
      <c r="K37" s="27">
        <f t="shared" si="5"/>
        <v>1000</v>
      </c>
      <c r="L37" s="28">
        <f t="shared" si="1"/>
        <v>0</v>
      </c>
      <c r="M37" s="29"/>
      <c r="N37" s="32">
        <f t="shared" si="2"/>
        <v>0</v>
      </c>
      <c r="O37" s="33">
        <f t="shared" si="3"/>
      </c>
    </row>
    <row r="38" spans="2:15" ht="15" hidden="1">
      <c r="B38" s="34"/>
      <c r="C38" s="23"/>
      <c r="D38" s="24"/>
      <c r="E38" s="25"/>
      <c r="F38" s="26"/>
      <c r="G38" s="27">
        <f t="shared" si="6"/>
        <v>1000</v>
      </c>
      <c r="H38" s="28">
        <f t="shared" si="0"/>
        <v>0</v>
      </c>
      <c r="I38" s="29"/>
      <c r="J38" s="30"/>
      <c r="K38" s="27">
        <f t="shared" si="5"/>
        <v>1000</v>
      </c>
      <c r="L38" s="28">
        <f t="shared" si="1"/>
        <v>0</v>
      </c>
      <c r="M38" s="29"/>
      <c r="N38" s="32">
        <f t="shared" si="2"/>
        <v>0</v>
      </c>
      <c r="O38" s="33">
        <f t="shared" si="3"/>
      </c>
    </row>
    <row r="39" spans="2:15" ht="15" hidden="1">
      <c r="B39" s="34"/>
      <c r="C39" s="23"/>
      <c r="D39" s="24"/>
      <c r="E39" s="25"/>
      <c r="F39" s="26"/>
      <c r="G39" s="27">
        <f t="shared" si="6"/>
        <v>1000</v>
      </c>
      <c r="H39" s="28">
        <f t="shared" si="0"/>
        <v>0</v>
      </c>
      <c r="I39" s="29"/>
      <c r="J39" s="30"/>
      <c r="K39" s="27">
        <f t="shared" si="5"/>
        <v>1000</v>
      </c>
      <c r="L39" s="28">
        <f t="shared" si="1"/>
        <v>0</v>
      </c>
      <c r="M39" s="29"/>
      <c r="N39" s="32">
        <f t="shared" si="2"/>
        <v>0</v>
      </c>
      <c r="O39" s="33">
        <f t="shared" si="3"/>
      </c>
    </row>
    <row r="40" spans="2:15" ht="15" hidden="1">
      <c r="B40" s="34"/>
      <c r="C40" s="23"/>
      <c r="D40" s="24"/>
      <c r="E40" s="25"/>
      <c r="F40" s="26"/>
      <c r="G40" s="27">
        <f t="shared" si="6"/>
        <v>1000</v>
      </c>
      <c r="H40" s="28">
        <f t="shared" si="0"/>
        <v>0</v>
      </c>
      <c r="I40" s="29"/>
      <c r="J40" s="30"/>
      <c r="K40" s="27">
        <f t="shared" si="5"/>
        <v>1000</v>
      </c>
      <c r="L40" s="28">
        <f t="shared" si="1"/>
        <v>0</v>
      </c>
      <c r="M40" s="29"/>
      <c r="N40" s="32">
        <f t="shared" si="2"/>
        <v>0</v>
      </c>
      <c r="O40" s="33">
        <f t="shared" si="3"/>
      </c>
    </row>
    <row r="41" spans="2:15" s="35" customFormat="1" ht="15">
      <c r="B41" s="36" t="s">
        <v>24</v>
      </c>
      <c r="C41" s="37"/>
      <c r="D41" s="38"/>
      <c r="E41" s="37"/>
      <c r="F41" s="39"/>
      <c r="G41" s="40"/>
      <c r="H41" s="41">
        <f>SUM(H23:H40)</f>
        <v>29.130000000000003</v>
      </c>
      <c r="I41" s="42"/>
      <c r="J41" s="43"/>
      <c r="K41" s="44"/>
      <c r="L41" s="41">
        <f>SUM(L23:L40)</f>
        <v>30.040000000000003</v>
      </c>
      <c r="M41" s="42"/>
      <c r="N41" s="45">
        <f t="shared" si="2"/>
        <v>0.9100000000000001</v>
      </c>
      <c r="O41" s="46">
        <f t="shared" si="3"/>
        <v>0.031239272227943704</v>
      </c>
    </row>
    <row r="42" spans="2:15" ht="15" hidden="1">
      <c r="B42" s="177"/>
      <c r="C42" s="23"/>
      <c r="D42" s="57" t="s">
        <v>62</v>
      </c>
      <c r="E42" s="25"/>
      <c r="F42" s="26"/>
      <c r="G42" s="27">
        <v>1</v>
      </c>
      <c r="H42" s="28">
        <f>G42*F42</f>
        <v>0</v>
      </c>
      <c r="I42" s="29"/>
      <c r="J42" s="175"/>
      <c r="K42" s="31">
        <v>1</v>
      </c>
      <c r="L42" s="28">
        <f>K42*J42</f>
        <v>0</v>
      </c>
      <c r="M42" s="29"/>
      <c r="N42" s="32">
        <f>L42-H42</f>
        <v>0</v>
      </c>
      <c r="O42" s="33">
        <f>IF((H42)=0,"",(N42/H42))</f>
      </c>
    </row>
    <row r="43" spans="2:15" ht="25.5">
      <c r="B43" s="47" t="s">
        <v>25</v>
      </c>
      <c r="C43" s="23"/>
      <c r="D43" s="57" t="s">
        <v>63</v>
      </c>
      <c r="E43" s="58"/>
      <c r="F43" s="254">
        <f>'Res (100kWh)'!F43</f>
        <v>-0.002</v>
      </c>
      <c r="G43" s="27">
        <f>$F$18</f>
        <v>1000</v>
      </c>
      <c r="H43" s="28">
        <f aca="true" t="shared" si="7" ref="H43:H49">G43*F43</f>
        <v>-2</v>
      </c>
      <c r="I43" s="29"/>
      <c r="J43" s="254">
        <f>'Res (100kWh)'!J43</f>
        <v>-0.0016</v>
      </c>
      <c r="K43" s="27">
        <f>$F$18</f>
        <v>1000</v>
      </c>
      <c r="L43" s="28">
        <f aca="true" t="shared" si="8" ref="L43:L49">K43*J43</f>
        <v>-1.6</v>
      </c>
      <c r="M43" s="29"/>
      <c r="N43" s="32">
        <f t="shared" si="2"/>
        <v>0.3999999999999999</v>
      </c>
      <c r="O43" s="33">
        <f t="shared" si="3"/>
        <v>-0.19999999999999996</v>
      </c>
    </row>
    <row r="44" spans="2:15" ht="15" hidden="1">
      <c r="B44" s="47"/>
      <c r="C44" s="23"/>
      <c r="D44" s="24" t="s">
        <v>63</v>
      </c>
      <c r="E44" s="25"/>
      <c r="F44" s="26"/>
      <c r="G44" s="27">
        <f>$F$18</f>
        <v>1000</v>
      </c>
      <c r="H44" s="28">
        <f t="shared" si="7"/>
        <v>0</v>
      </c>
      <c r="I44" s="48"/>
      <c r="J44" s="30"/>
      <c r="K44" s="27">
        <f>$F$18</f>
        <v>1000</v>
      </c>
      <c r="L44" s="28">
        <f t="shared" si="8"/>
        <v>0</v>
      </c>
      <c r="M44" s="49"/>
      <c r="N44" s="32">
        <f t="shared" si="2"/>
        <v>0</v>
      </c>
      <c r="O44" s="33">
        <f t="shared" si="3"/>
      </c>
    </row>
    <row r="45" spans="2:15" ht="15" hidden="1">
      <c r="B45" s="47"/>
      <c r="C45" s="23"/>
      <c r="D45" s="24" t="s">
        <v>63</v>
      </c>
      <c r="E45" s="25"/>
      <c r="F45" s="26"/>
      <c r="G45" s="27">
        <f>$F$18</f>
        <v>1000</v>
      </c>
      <c r="H45" s="28">
        <f t="shared" si="7"/>
        <v>0</v>
      </c>
      <c r="I45" s="48"/>
      <c r="J45" s="30"/>
      <c r="K45" s="27">
        <f>$F$18</f>
        <v>1000</v>
      </c>
      <c r="L45" s="28">
        <f t="shared" si="8"/>
        <v>0</v>
      </c>
      <c r="M45" s="49"/>
      <c r="N45" s="32">
        <f t="shared" si="2"/>
        <v>0</v>
      </c>
      <c r="O45" s="33">
        <f t="shared" si="3"/>
      </c>
    </row>
    <row r="46" spans="2:15" ht="15" hidden="1">
      <c r="B46" s="47"/>
      <c r="C46" s="23"/>
      <c r="D46" s="24"/>
      <c r="E46" s="25"/>
      <c r="F46" s="26"/>
      <c r="G46" s="27">
        <f>$F$18</f>
        <v>1000</v>
      </c>
      <c r="H46" s="28">
        <f t="shared" si="7"/>
        <v>0</v>
      </c>
      <c r="I46" s="48"/>
      <c r="J46" s="30"/>
      <c r="K46" s="27">
        <f>$F$18</f>
        <v>1000</v>
      </c>
      <c r="L46" s="28">
        <f t="shared" si="8"/>
        <v>0</v>
      </c>
      <c r="M46" s="49"/>
      <c r="N46" s="32">
        <f t="shared" si="2"/>
        <v>0</v>
      </c>
      <c r="O46" s="33">
        <f t="shared" si="3"/>
      </c>
    </row>
    <row r="47" spans="2:15" ht="15">
      <c r="B47" s="50" t="s">
        <v>26</v>
      </c>
      <c r="C47" s="23"/>
      <c r="D47" s="24" t="s">
        <v>63</v>
      </c>
      <c r="E47" s="25"/>
      <c r="F47" s="26">
        <f>'Res (100kWh)'!F47</f>
        <v>0.0001</v>
      </c>
      <c r="G47" s="27">
        <f>$F$18</f>
        <v>1000</v>
      </c>
      <c r="H47" s="28">
        <f t="shared" si="7"/>
        <v>0.1</v>
      </c>
      <c r="I47" s="29"/>
      <c r="J47" s="30">
        <f>'Res (100kWh)'!J47</f>
        <v>0.0001</v>
      </c>
      <c r="K47" s="27">
        <f>$F$18</f>
        <v>1000</v>
      </c>
      <c r="L47" s="28">
        <f t="shared" si="8"/>
        <v>0.1</v>
      </c>
      <c r="M47" s="29"/>
      <c r="N47" s="32">
        <f t="shared" si="2"/>
        <v>0</v>
      </c>
      <c r="O47" s="33">
        <f t="shared" si="3"/>
        <v>0</v>
      </c>
    </row>
    <row r="48" spans="2:15" s="35" customFormat="1" ht="15">
      <c r="B48" s="183" t="s">
        <v>27</v>
      </c>
      <c r="C48" s="25"/>
      <c r="D48" s="184" t="s">
        <v>63</v>
      </c>
      <c r="E48" s="25"/>
      <c r="F48" s="185">
        <f>IF(ISBLANK(D16)=TRUE,0,IF(D16="TOU",0.64*$F$58+0.18*$F$59+0.18*$F$60,IF(AND(D16="non-TOU",G62&gt;0),F62,F61)))</f>
        <v>0.08392</v>
      </c>
      <c r="G48" s="27">
        <f>$F$18*(1+$F$77)-$F$18</f>
        <v>33.5</v>
      </c>
      <c r="H48" s="186">
        <f t="shared" si="7"/>
        <v>2.81132</v>
      </c>
      <c r="I48" s="58"/>
      <c r="J48" s="187">
        <f>0.64*$F$58+0.18*$F$59+0.18*$F$60</f>
        <v>0.08392</v>
      </c>
      <c r="K48" s="27">
        <f>$F$18*(1+$J$77)-$F$18</f>
        <v>33.5</v>
      </c>
      <c r="L48" s="186">
        <f t="shared" si="8"/>
        <v>2.81132</v>
      </c>
      <c r="M48" s="58"/>
      <c r="N48" s="188">
        <f t="shared" si="2"/>
        <v>0</v>
      </c>
      <c r="O48" s="189">
        <f t="shared" si="3"/>
        <v>0</v>
      </c>
    </row>
    <row r="49" spans="2:15" ht="15">
      <c r="B49" s="50" t="s">
        <v>28</v>
      </c>
      <c r="C49" s="23"/>
      <c r="D49" s="24" t="s">
        <v>62</v>
      </c>
      <c r="E49" s="25"/>
      <c r="F49" s="180">
        <v>0.79</v>
      </c>
      <c r="G49" s="27">
        <v>1</v>
      </c>
      <c r="H49" s="28">
        <f t="shared" si="7"/>
        <v>0.79</v>
      </c>
      <c r="I49" s="29"/>
      <c r="J49" s="180">
        <v>0.79</v>
      </c>
      <c r="K49" s="27">
        <v>1</v>
      </c>
      <c r="L49" s="28">
        <f t="shared" si="8"/>
        <v>0.79</v>
      </c>
      <c r="M49" s="29"/>
      <c r="N49" s="32">
        <f t="shared" si="2"/>
        <v>0</v>
      </c>
      <c r="O49" s="33"/>
    </row>
    <row r="50" spans="2:15" ht="25.5">
      <c r="B50" s="51" t="s">
        <v>29</v>
      </c>
      <c r="C50" s="52"/>
      <c r="D50" s="52"/>
      <c r="E50" s="52"/>
      <c r="F50" s="53"/>
      <c r="G50" s="54"/>
      <c r="H50" s="55">
        <f>SUM(H42:H49)+H41</f>
        <v>30.83132</v>
      </c>
      <c r="I50" s="42"/>
      <c r="J50" s="54"/>
      <c r="K50" s="56"/>
      <c r="L50" s="55">
        <f>SUM(L42:L49)+L41</f>
        <v>32.14132</v>
      </c>
      <c r="M50" s="42"/>
      <c r="N50" s="45">
        <f>L50-H50</f>
        <v>1.3099999999999987</v>
      </c>
      <c r="O50" s="46">
        <f>IF((H50)=0,"",(N50/H50))</f>
        <v>0.042489260920388704</v>
      </c>
    </row>
    <row r="51" spans="2:15" ht="15">
      <c r="B51" s="29" t="s">
        <v>30</v>
      </c>
      <c r="C51" s="29"/>
      <c r="D51" s="57" t="s">
        <v>63</v>
      </c>
      <c r="E51" s="58"/>
      <c r="F51" s="30">
        <f>'Res (100kWh)'!F51</f>
        <v>0.0067</v>
      </c>
      <c r="G51" s="59">
        <f>F18*(1+F77)</f>
        <v>1033.5</v>
      </c>
      <c r="H51" s="28">
        <f>G51*F51</f>
        <v>6.92445</v>
      </c>
      <c r="I51" s="29"/>
      <c r="J51" s="30">
        <f>'Res (100kWh)'!J51</f>
        <v>0.0069</v>
      </c>
      <c r="K51" s="60">
        <f>F18*(1+J77)</f>
        <v>1033.5</v>
      </c>
      <c r="L51" s="28">
        <f>K51*J51</f>
        <v>7.13115</v>
      </c>
      <c r="M51" s="29"/>
      <c r="N51" s="32">
        <f t="shared" si="2"/>
        <v>0.20669999999999966</v>
      </c>
      <c r="O51" s="33">
        <f aca="true" t="shared" si="9" ref="O51:O68">IF((H51)=0,"",(N51/H51))</f>
        <v>0.029850746268656667</v>
      </c>
    </row>
    <row r="52" spans="2:15" ht="15">
      <c r="B52" s="61" t="s">
        <v>31</v>
      </c>
      <c r="C52" s="29"/>
      <c r="D52" s="57" t="s">
        <v>63</v>
      </c>
      <c r="E52" s="58"/>
      <c r="F52" s="30">
        <f>'Res (100kWh)'!F52</f>
        <v>0.0042</v>
      </c>
      <c r="G52" s="59">
        <f>G51</f>
        <v>1033.5</v>
      </c>
      <c r="H52" s="28">
        <f>G52*F52</f>
        <v>4.3407</v>
      </c>
      <c r="I52" s="29"/>
      <c r="J52" s="30">
        <f>'Res (100kWh)'!J52</f>
        <v>0.0043</v>
      </c>
      <c r="K52" s="60">
        <f>K51</f>
        <v>1033.5</v>
      </c>
      <c r="L52" s="28">
        <f>K52*J52</f>
        <v>4.44405</v>
      </c>
      <c r="M52" s="29"/>
      <c r="N52" s="32">
        <f t="shared" si="2"/>
        <v>0.10334999999999983</v>
      </c>
      <c r="O52" s="33">
        <f t="shared" si="9"/>
        <v>0.02380952380952377</v>
      </c>
    </row>
    <row r="53" spans="2:15" ht="15">
      <c r="B53" s="51" t="s">
        <v>32</v>
      </c>
      <c r="C53" s="37"/>
      <c r="D53" s="37"/>
      <c r="E53" s="37"/>
      <c r="F53" s="62"/>
      <c r="G53" s="54"/>
      <c r="H53" s="55">
        <f>SUM(H50:H52)</f>
        <v>42.09647</v>
      </c>
      <c r="I53" s="63"/>
      <c r="J53" s="64"/>
      <c r="K53" s="65"/>
      <c r="L53" s="55">
        <f>SUM(L50:L52)</f>
        <v>43.716519999999996</v>
      </c>
      <c r="M53" s="63"/>
      <c r="N53" s="45">
        <f t="shared" si="2"/>
        <v>1.620049999999999</v>
      </c>
      <c r="O53" s="46">
        <f t="shared" si="9"/>
        <v>0.0384842244492234</v>
      </c>
    </row>
    <row r="54" spans="2:15" ht="15">
      <c r="B54" s="66" t="s">
        <v>33</v>
      </c>
      <c r="C54" s="23"/>
      <c r="D54" s="24" t="s">
        <v>63</v>
      </c>
      <c r="E54" s="25"/>
      <c r="F54" s="67">
        <v>0.0044</v>
      </c>
      <c r="G54" s="59">
        <f>G52</f>
        <v>1033.5</v>
      </c>
      <c r="H54" s="68">
        <f aca="true" t="shared" si="10" ref="H54:H60">G54*F54</f>
        <v>4.5474000000000006</v>
      </c>
      <c r="I54" s="29"/>
      <c r="J54" s="69">
        <v>0.0044</v>
      </c>
      <c r="K54" s="60">
        <f>K52</f>
        <v>1033.5</v>
      </c>
      <c r="L54" s="68">
        <f aca="true" t="shared" si="11" ref="L54:L60">K54*J54</f>
        <v>4.5474000000000006</v>
      </c>
      <c r="M54" s="29"/>
      <c r="N54" s="32">
        <f t="shared" si="2"/>
        <v>0</v>
      </c>
      <c r="O54" s="70">
        <f t="shared" si="9"/>
        <v>0</v>
      </c>
    </row>
    <row r="55" spans="2:15" ht="15">
      <c r="B55" s="66" t="s">
        <v>34</v>
      </c>
      <c r="C55" s="23"/>
      <c r="D55" s="24" t="s">
        <v>63</v>
      </c>
      <c r="E55" s="25"/>
      <c r="F55" s="67">
        <v>0.0013</v>
      </c>
      <c r="G55" s="59">
        <f>G52</f>
        <v>1033.5</v>
      </c>
      <c r="H55" s="68">
        <f t="shared" si="10"/>
        <v>1.34355</v>
      </c>
      <c r="I55" s="29"/>
      <c r="J55" s="69">
        <v>0.0013</v>
      </c>
      <c r="K55" s="60">
        <f>K52</f>
        <v>1033.5</v>
      </c>
      <c r="L55" s="68">
        <f t="shared" si="11"/>
        <v>1.34355</v>
      </c>
      <c r="M55" s="29"/>
      <c r="N55" s="32">
        <f t="shared" si="2"/>
        <v>0</v>
      </c>
      <c r="O55" s="70">
        <f t="shared" si="9"/>
        <v>0</v>
      </c>
    </row>
    <row r="56" spans="2:15" ht="15">
      <c r="B56" s="23" t="s">
        <v>35</v>
      </c>
      <c r="C56" s="23"/>
      <c r="D56" s="24" t="s">
        <v>62</v>
      </c>
      <c r="E56" s="25"/>
      <c r="F56" s="178">
        <v>0.25</v>
      </c>
      <c r="G56" s="27">
        <v>1</v>
      </c>
      <c r="H56" s="68">
        <f t="shared" si="10"/>
        <v>0.25</v>
      </c>
      <c r="I56" s="29"/>
      <c r="J56" s="179">
        <v>0.25</v>
      </c>
      <c r="K56" s="31">
        <v>1</v>
      </c>
      <c r="L56" s="68">
        <f t="shared" si="11"/>
        <v>0.25</v>
      </c>
      <c r="M56" s="29"/>
      <c r="N56" s="32">
        <f t="shared" si="2"/>
        <v>0</v>
      </c>
      <c r="O56" s="70">
        <f t="shared" si="9"/>
        <v>0</v>
      </c>
    </row>
    <row r="57" spans="2:15" ht="15">
      <c r="B57" s="23" t="s">
        <v>36</v>
      </c>
      <c r="C57" s="23"/>
      <c r="D57" s="24" t="s">
        <v>63</v>
      </c>
      <c r="E57" s="25"/>
      <c r="F57" s="67">
        <v>0.007</v>
      </c>
      <c r="G57" s="71">
        <f>F18</f>
        <v>1000</v>
      </c>
      <c r="H57" s="68">
        <f t="shared" si="10"/>
        <v>7</v>
      </c>
      <c r="I57" s="29"/>
      <c r="J57" s="69">
        <f>0.007</f>
        <v>0.007</v>
      </c>
      <c r="K57" s="72">
        <f>F18</f>
        <v>1000</v>
      </c>
      <c r="L57" s="68">
        <f t="shared" si="11"/>
        <v>7</v>
      </c>
      <c r="M57" s="29"/>
      <c r="N57" s="32">
        <f t="shared" si="2"/>
        <v>0</v>
      </c>
      <c r="O57" s="70">
        <f t="shared" si="9"/>
        <v>0</v>
      </c>
    </row>
    <row r="58" spans="2:19" ht="15">
      <c r="B58" s="50" t="s">
        <v>37</v>
      </c>
      <c r="C58" s="23"/>
      <c r="D58" s="24" t="s">
        <v>63</v>
      </c>
      <c r="E58" s="25"/>
      <c r="F58" s="73">
        <v>0.067</v>
      </c>
      <c r="G58" s="71">
        <f>0.64*$F$18</f>
        <v>640</v>
      </c>
      <c r="H58" s="68">
        <f t="shared" si="10"/>
        <v>42.88</v>
      </c>
      <c r="I58" s="29"/>
      <c r="J58" s="67">
        <v>0.067</v>
      </c>
      <c r="K58" s="71">
        <f>G58</f>
        <v>640</v>
      </c>
      <c r="L58" s="68">
        <f t="shared" si="11"/>
        <v>42.88</v>
      </c>
      <c r="M58" s="29"/>
      <c r="N58" s="32">
        <f t="shared" si="2"/>
        <v>0</v>
      </c>
      <c r="O58" s="70">
        <f t="shared" si="9"/>
        <v>0</v>
      </c>
      <c r="S58" s="74"/>
    </row>
    <row r="59" spans="2:19" ht="15">
      <c r="B59" s="50" t="s">
        <v>38</v>
      </c>
      <c r="C59" s="23"/>
      <c r="D59" s="24" t="s">
        <v>63</v>
      </c>
      <c r="E59" s="25"/>
      <c r="F59" s="73">
        <v>0.104</v>
      </c>
      <c r="G59" s="71">
        <f>0.18*$F$18</f>
        <v>180</v>
      </c>
      <c r="H59" s="68">
        <f t="shared" si="10"/>
        <v>18.72</v>
      </c>
      <c r="I59" s="29"/>
      <c r="J59" s="67">
        <v>0.104</v>
      </c>
      <c r="K59" s="71">
        <f>G59</f>
        <v>180</v>
      </c>
      <c r="L59" s="68">
        <f t="shared" si="11"/>
        <v>18.72</v>
      </c>
      <c r="M59" s="29"/>
      <c r="N59" s="32">
        <f t="shared" si="2"/>
        <v>0</v>
      </c>
      <c r="O59" s="70">
        <f t="shared" si="9"/>
        <v>0</v>
      </c>
      <c r="S59" s="74"/>
    </row>
    <row r="60" spans="2:19" ht="15">
      <c r="B60" s="13" t="s">
        <v>39</v>
      </c>
      <c r="C60" s="23"/>
      <c r="D60" s="24" t="s">
        <v>63</v>
      </c>
      <c r="E60" s="25"/>
      <c r="F60" s="73">
        <v>0.124</v>
      </c>
      <c r="G60" s="71">
        <f>0.18*$F$18</f>
        <v>180</v>
      </c>
      <c r="H60" s="68">
        <f t="shared" si="10"/>
        <v>22.32</v>
      </c>
      <c r="I60" s="29"/>
      <c r="J60" s="67">
        <v>0.124</v>
      </c>
      <c r="K60" s="71">
        <f>G60</f>
        <v>180</v>
      </c>
      <c r="L60" s="68">
        <f t="shared" si="11"/>
        <v>22.32</v>
      </c>
      <c r="M60" s="29"/>
      <c r="N60" s="32">
        <f t="shared" si="2"/>
        <v>0</v>
      </c>
      <c r="O60" s="70">
        <f t="shared" si="9"/>
        <v>0</v>
      </c>
      <c r="S60" s="74"/>
    </row>
    <row r="61" spans="2:15" s="75" customFormat="1" ht="15">
      <c r="B61" s="76" t="s">
        <v>40</v>
      </c>
      <c r="C61" s="77"/>
      <c r="D61" s="78" t="s">
        <v>63</v>
      </c>
      <c r="E61" s="79"/>
      <c r="F61" s="73">
        <v>0.075</v>
      </c>
      <c r="G61" s="80">
        <f>IF(AND($T$1=1,F18&gt;=600),600,IF(AND($T$1=1,AND(F18&lt;600,F18&gt;=0)),F18,IF(AND($T$1=2,F18&gt;=1000),1000,IF(AND($T$1=2,AND(F18&lt;1000,F18&gt;=0)),F18))))</f>
        <v>600</v>
      </c>
      <c r="H61" s="68">
        <f>G61*F61</f>
        <v>45</v>
      </c>
      <c r="I61" s="81"/>
      <c r="J61" s="67">
        <v>0.075</v>
      </c>
      <c r="K61" s="80">
        <f>G61</f>
        <v>600</v>
      </c>
      <c r="L61" s="68">
        <f>K61*J61</f>
        <v>45</v>
      </c>
      <c r="M61" s="81"/>
      <c r="N61" s="82">
        <f t="shared" si="2"/>
        <v>0</v>
      </c>
      <c r="O61" s="70">
        <f t="shared" si="9"/>
        <v>0</v>
      </c>
    </row>
    <row r="62" spans="2:15" s="75" customFormat="1" ht="15.75" thickBot="1">
      <c r="B62" s="76" t="s">
        <v>41</v>
      </c>
      <c r="C62" s="77"/>
      <c r="D62" s="78" t="s">
        <v>63</v>
      </c>
      <c r="E62" s="79"/>
      <c r="F62" s="73">
        <v>0.088</v>
      </c>
      <c r="G62" s="80">
        <f>IF(AND($T$1=1,F18&gt;=600),F18-600,IF(AND($T$1=1,AND(F18&lt;600,F18&gt;=0)),0,IF(AND($T$1=2,F18&gt;=1000),F18-1000,IF(AND($T$1=2,AND(F18&lt;1000,F18&gt;=0)),0))))</f>
        <v>400</v>
      </c>
      <c r="H62" s="68">
        <f>G62*F62</f>
        <v>35.199999999999996</v>
      </c>
      <c r="I62" s="81"/>
      <c r="J62" s="67">
        <v>0.088</v>
      </c>
      <c r="K62" s="80">
        <f>G62</f>
        <v>400</v>
      </c>
      <c r="L62" s="68">
        <f>K62*J62</f>
        <v>35.199999999999996</v>
      </c>
      <c r="M62" s="81"/>
      <c r="N62" s="82">
        <f t="shared" si="2"/>
        <v>0</v>
      </c>
      <c r="O62" s="70">
        <f t="shared" si="9"/>
        <v>0</v>
      </c>
    </row>
    <row r="63" spans="2:15" ht="8.25" customHeight="1" thickBot="1">
      <c r="B63" s="83"/>
      <c r="C63" s="84"/>
      <c r="D63" s="85"/>
      <c r="E63" s="84"/>
      <c r="F63" s="86"/>
      <c r="G63" s="87"/>
      <c r="H63" s="88"/>
      <c r="I63" s="89"/>
      <c r="J63" s="86"/>
      <c r="K63" s="90"/>
      <c r="L63" s="88"/>
      <c r="M63" s="89"/>
      <c r="N63" s="91"/>
      <c r="O63" s="92"/>
    </row>
    <row r="64" spans="2:19" ht="15">
      <c r="B64" s="93" t="s">
        <v>42</v>
      </c>
      <c r="C64" s="23"/>
      <c r="D64" s="23"/>
      <c r="E64" s="23"/>
      <c r="F64" s="94"/>
      <c r="G64" s="95"/>
      <c r="H64" s="96">
        <f>SUM(H54:H60,H53)</f>
        <v>139.15742</v>
      </c>
      <c r="I64" s="97"/>
      <c r="J64" s="98"/>
      <c r="K64" s="98"/>
      <c r="L64" s="192">
        <f>SUM(L54:L60,L53)</f>
        <v>140.77747</v>
      </c>
      <c r="M64" s="99"/>
      <c r="N64" s="100">
        <f>L64-H64</f>
        <v>1.620049999999992</v>
      </c>
      <c r="O64" s="101">
        <f>IF((H64)=0,"",(N64/H64))</f>
        <v>0.011641851365166097</v>
      </c>
      <c r="S64" s="74"/>
    </row>
    <row r="65" spans="2:19" ht="15">
      <c r="B65" s="102" t="s">
        <v>43</v>
      </c>
      <c r="C65" s="23"/>
      <c r="D65" s="23"/>
      <c r="E65" s="23"/>
      <c r="F65" s="103">
        <v>0.13</v>
      </c>
      <c r="G65" s="104"/>
      <c r="H65" s="105">
        <f>H64*F65</f>
        <v>18.0904646</v>
      </c>
      <c r="I65" s="106"/>
      <c r="J65" s="107">
        <v>0.13</v>
      </c>
      <c r="K65" s="106"/>
      <c r="L65" s="108">
        <f>L64*J65</f>
        <v>18.3010711</v>
      </c>
      <c r="M65" s="109"/>
      <c r="N65" s="110">
        <f t="shared" si="2"/>
        <v>0.2106065000000008</v>
      </c>
      <c r="O65" s="111">
        <f t="shared" si="9"/>
        <v>0.0116418513651662</v>
      </c>
      <c r="S65" s="74"/>
    </row>
    <row r="66" spans="2:19" ht="15">
      <c r="B66" s="112" t="s">
        <v>44</v>
      </c>
      <c r="C66" s="23"/>
      <c r="D66" s="23"/>
      <c r="E66" s="23"/>
      <c r="F66" s="113"/>
      <c r="G66" s="104"/>
      <c r="H66" s="105">
        <f>H64+H65</f>
        <v>157.2478846</v>
      </c>
      <c r="I66" s="106"/>
      <c r="J66" s="106"/>
      <c r="K66" s="106"/>
      <c r="L66" s="108">
        <f>L64+L65</f>
        <v>159.0785411</v>
      </c>
      <c r="M66" s="109"/>
      <c r="N66" s="110">
        <f t="shared" si="2"/>
        <v>1.8306565000000035</v>
      </c>
      <c r="O66" s="111">
        <f t="shared" si="9"/>
        <v>0.011641851365166177</v>
      </c>
      <c r="S66" s="74"/>
    </row>
    <row r="67" spans="2:15" ht="15.75" customHeight="1">
      <c r="B67" s="333" t="s">
        <v>45</v>
      </c>
      <c r="C67" s="333"/>
      <c r="D67" s="333"/>
      <c r="E67" s="23"/>
      <c r="F67" s="113"/>
      <c r="G67" s="104"/>
      <c r="H67" s="263">
        <f>ROUND(-H66*10%,2)</f>
        <v>-15.72</v>
      </c>
      <c r="I67" s="106"/>
      <c r="J67" s="106"/>
      <c r="K67" s="106"/>
      <c r="L67" s="264">
        <f>ROUND(-L66*10%,2)</f>
        <v>-15.91</v>
      </c>
      <c r="M67" s="109"/>
      <c r="N67" s="265">
        <f t="shared" si="2"/>
        <v>-0.1899999999999995</v>
      </c>
      <c r="O67" s="117">
        <f t="shared" si="9"/>
        <v>0.012086513994910909</v>
      </c>
    </row>
    <row r="68" spans="2:15" ht="15.75" thickBot="1">
      <c r="B68" s="334" t="s">
        <v>46</v>
      </c>
      <c r="C68" s="334"/>
      <c r="D68" s="334"/>
      <c r="E68" s="118"/>
      <c r="F68" s="119"/>
      <c r="G68" s="120"/>
      <c r="H68" s="121">
        <f>H66+H67</f>
        <v>141.5278846</v>
      </c>
      <c r="I68" s="122"/>
      <c r="J68" s="122"/>
      <c r="K68" s="122"/>
      <c r="L68" s="123">
        <f>L66+L67</f>
        <v>143.1685411</v>
      </c>
      <c r="M68" s="124"/>
      <c r="N68" s="125">
        <f t="shared" si="2"/>
        <v>1.6406565000000057</v>
      </c>
      <c r="O68" s="126">
        <f t="shared" si="9"/>
        <v>0.011592461122675509</v>
      </c>
    </row>
    <row r="69" spans="2:15" s="75" customFormat="1" ht="8.25" customHeight="1" thickBot="1">
      <c r="B69" s="127"/>
      <c r="C69" s="128"/>
      <c r="D69" s="129"/>
      <c r="E69" s="128"/>
      <c r="F69" s="86"/>
      <c r="G69" s="130"/>
      <c r="H69" s="88"/>
      <c r="I69" s="131"/>
      <c r="J69" s="86"/>
      <c r="K69" s="132"/>
      <c r="L69" s="88"/>
      <c r="M69" s="131"/>
      <c r="N69" s="133"/>
      <c r="O69" s="92"/>
    </row>
    <row r="70" spans="2:15" s="75" customFormat="1" ht="12.75">
      <c r="B70" s="134" t="s">
        <v>47</v>
      </c>
      <c r="C70" s="77"/>
      <c r="D70" s="77"/>
      <c r="E70" s="77"/>
      <c r="F70" s="135"/>
      <c r="G70" s="136"/>
      <c r="H70" s="137">
        <f>SUM(H61:H62,H53,H54:H57)</f>
        <v>135.43741999999997</v>
      </c>
      <c r="I70" s="138"/>
      <c r="J70" s="139"/>
      <c r="K70" s="139"/>
      <c r="L70" s="191">
        <f>SUM(L61:L62,L53,L54:L57)</f>
        <v>137.05747</v>
      </c>
      <c r="M70" s="140"/>
      <c r="N70" s="141">
        <f>L70-H70</f>
        <v>1.6200500000000204</v>
      </c>
      <c r="O70" s="101">
        <f>IF((H70)=0,"",(N70/H70))</f>
        <v>0.011961612972249624</v>
      </c>
    </row>
    <row r="71" spans="2:15" s="75" customFormat="1" ht="12.75">
      <c r="B71" s="142" t="s">
        <v>43</v>
      </c>
      <c r="C71" s="77"/>
      <c r="D71" s="77"/>
      <c r="E71" s="77"/>
      <c r="F71" s="143">
        <v>0.13</v>
      </c>
      <c r="G71" s="136"/>
      <c r="H71" s="144">
        <f>H70*F71</f>
        <v>17.606864599999998</v>
      </c>
      <c r="I71" s="145"/>
      <c r="J71" s="146">
        <v>0.13</v>
      </c>
      <c r="K71" s="147"/>
      <c r="L71" s="148">
        <f>L70*J71</f>
        <v>17.8174711</v>
      </c>
      <c r="M71" s="149"/>
      <c r="N71" s="150">
        <f>L71-H71</f>
        <v>0.2106065000000008</v>
      </c>
      <c r="O71" s="111">
        <f>IF((H71)=0,"",(N71/H71))</f>
        <v>0.011961612972249519</v>
      </c>
    </row>
    <row r="72" spans="2:15" s="75" customFormat="1" ht="12.75">
      <c r="B72" s="151" t="s">
        <v>44</v>
      </c>
      <c r="C72" s="77"/>
      <c r="D72" s="77"/>
      <c r="E72" s="77"/>
      <c r="F72" s="152"/>
      <c r="G72" s="153"/>
      <c r="H72" s="144">
        <f>H70+H71</f>
        <v>153.04428459999997</v>
      </c>
      <c r="I72" s="145"/>
      <c r="J72" s="145"/>
      <c r="K72" s="145"/>
      <c r="L72" s="148">
        <f>L70+L71</f>
        <v>154.8749411</v>
      </c>
      <c r="M72" s="149"/>
      <c r="N72" s="150">
        <f>L72-H72</f>
        <v>1.8306565000000319</v>
      </c>
      <c r="O72" s="111">
        <f>IF((H72)=0,"",(N72/H72))</f>
        <v>0.011961612972249682</v>
      </c>
    </row>
    <row r="73" spans="2:15" s="75" customFormat="1" ht="15.75" customHeight="1">
      <c r="B73" s="335" t="s">
        <v>45</v>
      </c>
      <c r="C73" s="335"/>
      <c r="D73" s="335"/>
      <c r="E73" s="77"/>
      <c r="F73" s="152"/>
      <c r="G73" s="153"/>
      <c r="H73" s="256">
        <f>ROUND(-H72*10%,2)</f>
        <v>-15.3</v>
      </c>
      <c r="I73" s="145"/>
      <c r="J73" s="145"/>
      <c r="K73" s="145"/>
      <c r="L73" s="257">
        <f>ROUND(-L72*10%,2)</f>
        <v>-15.49</v>
      </c>
      <c r="M73" s="149"/>
      <c r="N73" s="258">
        <f>L73-H73</f>
        <v>-0.1899999999999995</v>
      </c>
      <c r="O73" s="117">
        <f>IF((H73)=0,"",(N73/H73))</f>
        <v>0.012418300653594738</v>
      </c>
    </row>
    <row r="74" spans="2:15" s="75" customFormat="1" ht="13.5" thickBot="1">
      <c r="B74" s="326" t="s">
        <v>48</v>
      </c>
      <c r="C74" s="326"/>
      <c r="D74" s="326"/>
      <c r="E74" s="157"/>
      <c r="F74" s="158"/>
      <c r="G74" s="159"/>
      <c r="H74" s="160">
        <f>SUM(H72:H73)</f>
        <v>137.74428459999996</v>
      </c>
      <c r="I74" s="161"/>
      <c r="J74" s="161"/>
      <c r="K74" s="161"/>
      <c r="L74" s="162">
        <f>SUM(L72:L73)</f>
        <v>139.3849411</v>
      </c>
      <c r="M74" s="163"/>
      <c r="N74" s="164">
        <f>L74-H74</f>
        <v>1.6406565000000342</v>
      </c>
      <c r="O74" s="165">
        <f>IF((H74)=0,"",(N74/H74))</f>
        <v>0.011910886210374456</v>
      </c>
    </row>
    <row r="75" spans="2:15" s="75" customFormat="1" ht="8.25" customHeight="1" thickBot="1">
      <c r="B75" s="127"/>
      <c r="C75" s="128"/>
      <c r="D75" s="129"/>
      <c r="E75" s="128"/>
      <c r="F75" s="166"/>
      <c r="G75" s="167"/>
      <c r="H75" s="168"/>
      <c r="I75" s="169"/>
      <c r="J75" s="166"/>
      <c r="K75" s="130"/>
      <c r="L75" s="170"/>
      <c r="M75" s="131"/>
      <c r="N75" s="171"/>
      <c r="O75" s="92"/>
    </row>
    <row r="76" ht="10.5" customHeight="1">
      <c r="L76" s="74"/>
    </row>
    <row r="77" spans="2:10" ht="15">
      <c r="B77" s="14" t="s">
        <v>49</v>
      </c>
      <c r="F77" s="172">
        <v>0.0335</v>
      </c>
      <c r="J77" s="172">
        <v>0.0335</v>
      </c>
    </row>
    <row r="78" ht="10.5" customHeight="1"/>
    <row r="79" ht="15">
      <c r="A79" s="173" t="s">
        <v>50</v>
      </c>
    </row>
    <row r="80" ht="10.5" customHeight="1"/>
    <row r="81" ht="15">
      <c r="A81" s="8" t="s">
        <v>51</v>
      </c>
    </row>
    <row r="82" ht="15">
      <c r="A82" s="8" t="s">
        <v>52</v>
      </c>
    </row>
    <row r="84" ht="15">
      <c r="A84" s="13" t="s">
        <v>53</v>
      </c>
    </row>
    <row r="85" ht="15">
      <c r="A85" s="13" t="s">
        <v>54</v>
      </c>
    </row>
    <row r="87" ht="15">
      <c r="A87" s="8" t="s">
        <v>55</v>
      </c>
    </row>
    <row r="88" ht="15">
      <c r="A88" s="8" t="s">
        <v>56</v>
      </c>
    </row>
    <row r="89" ht="15">
      <c r="A89" s="8" t="s">
        <v>57</v>
      </c>
    </row>
    <row r="90" ht="15">
      <c r="A90" s="8" t="s">
        <v>58</v>
      </c>
    </row>
    <row r="91" ht="15">
      <c r="A91" s="8" t="s">
        <v>59</v>
      </c>
    </row>
    <row r="93" spans="1:2" ht="15">
      <c r="A93" s="174"/>
      <c r="B93" s="8" t="s">
        <v>60</v>
      </c>
    </row>
  </sheetData>
  <sheetProtection/>
  <mergeCells count="20">
    <mergeCell ref="N1:O1"/>
    <mergeCell ref="N2:O2"/>
    <mergeCell ref="N7:O7"/>
    <mergeCell ref="A3:K3"/>
    <mergeCell ref="B10:O10"/>
    <mergeCell ref="B11:O11"/>
    <mergeCell ref="D14:O14"/>
    <mergeCell ref="F20:H20"/>
    <mergeCell ref="J20:L20"/>
    <mergeCell ref="N20:O20"/>
    <mergeCell ref="N3:O3"/>
    <mergeCell ref="N4:O4"/>
    <mergeCell ref="N5:O5"/>
    <mergeCell ref="B74:D74"/>
    <mergeCell ref="D21:D22"/>
    <mergeCell ref="N21:N22"/>
    <mergeCell ref="O21:O22"/>
    <mergeCell ref="B67:D67"/>
    <mergeCell ref="B68:D68"/>
    <mergeCell ref="B73:D73"/>
  </mergeCells>
  <dataValidations count="4">
    <dataValidation type="list" allowBlank="1" showInputMessage="1" showErrorMessage="1" sqref="E51:E52 E54:E60 E63 E42:E49 E23:E40">
      <formula1>'Res (1,000kWh)'!#REF!</formula1>
    </dataValidation>
    <dataValidation type="list" allowBlank="1" showInputMessage="1" showErrorMessage="1" prompt="Select Charge Unit - monthly, per kWh, per kW" sqref="D51:D52 D69 D75 D54:D63 D42:D49 D23:D40">
      <formula1>"Monthly, per kWh, per kW"</formula1>
    </dataValidation>
    <dataValidation type="list" allowBlank="1" showInputMessage="1" showErrorMessage="1" sqref="E75 E69 E61:E62">
      <formula1>'Res (1,000kWh)'!#REF!</formula1>
    </dataValidation>
    <dataValidation type="list" allowBlank="1" showInputMessage="1" showErrorMessage="1" sqref="D16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93"/>
  <sheetViews>
    <sheetView showGridLines="0" zoomScalePageLayoutView="0" workbookViewId="0" topLeftCell="A15">
      <selection activeCell="J43" sqref="J43"/>
    </sheetView>
  </sheetViews>
  <sheetFormatPr defaultColWidth="9.140625" defaultRowHeight="15"/>
  <cols>
    <col min="1" max="1" width="2.140625" style="8" customWidth="1"/>
    <col min="2" max="2" width="44.5742187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8.57421875" style="8" customWidth="1"/>
    <col min="8" max="8" width="9.7109375" style="8" customWidth="1"/>
    <col min="9" max="9" width="2.8515625" style="8" customWidth="1"/>
    <col min="10" max="10" width="12.140625" style="8" customWidth="1"/>
    <col min="11" max="11" width="8.57421875" style="8" customWidth="1"/>
    <col min="12" max="12" width="9.7109375" style="8" customWidth="1"/>
    <col min="13" max="13" width="2.8515625" style="8" customWidth="1"/>
    <col min="14" max="14" width="12.7109375" style="8" bestFit="1" customWidth="1"/>
    <col min="15" max="15" width="10.8515625" style="8" bestFit="1" customWidth="1"/>
    <col min="16" max="16" width="7.5742187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42" t="str">
        <f>EBNUMBER</f>
        <v>EB-2013-0116</v>
      </c>
      <c r="O1" s="342"/>
      <c r="P1" s="196"/>
      <c r="T1" s="2">
        <v>1</v>
      </c>
    </row>
    <row r="2" spans="1:16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343">
        <v>8</v>
      </c>
      <c r="O2" s="343"/>
      <c r="P2" s="197"/>
    </row>
    <row r="3" spans="1:16" s="2" customFormat="1" ht="15" customHeight="1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" t="s">
        <v>79</v>
      </c>
      <c r="N3" s="344" t="s">
        <v>80</v>
      </c>
      <c r="O3" s="344"/>
      <c r="P3" s="198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343">
        <v>6</v>
      </c>
      <c r="O4" s="343"/>
      <c r="P4" s="197"/>
    </row>
    <row r="5" spans="3:16" s="2" customFormat="1" ht="15" customHeight="1">
      <c r="C5" s="7"/>
      <c r="D5" s="7"/>
      <c r="E5" s="7"/>
      <c r="L5" s="3" t="s">
        <v>81</v>
      </c>
      <c r="N5" s="345" t="s">
        <v>88</v>
      </c>
      <c r="O5" s="345"/>
      <c r="P5" s="196"/>
    </row>
    <row r="6" spans="12:16" s="2" customFormat="1" ht="9" customHeight="1">
      <c r="L6" s="3"/>
      <c r="N6" s="347"/>
      <c r="O6" s="347"/>
      <c r="P6" s="199"/>
    </row>
    <row r="7" spans="12:16" s="2" customFormat="1" ht="15">
      <c r="L7" s="3" t="s">
        <v>83</v>
      </c>
      <c r="N7" s="346">
        <v>41575</v>
      </c>
      <c r="O7" s="346"/>
      <c r="P7" s="196"/>
    </row>
    <row r="8" spans="14:16" s="2" customFormat="1" ht="15" customHeight="1">
      <c r="N8" s="8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337" t="s">
        <v>3</v>
      </c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/>
    </row>
    <row r="11" spans="2:16" ht="18.75" customHeight="1">
      <c r="B11" s="337" t="s">
        <v>4</v>
      </c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338" t="s">
        <v>61</v>
      </c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7" ht="15">
      <c r="B18" s="13"/>
      <c r="D18" s="14" t="s">
        <v>8</v>
      </c>
      <c r="E18" s="14"/>
      <c r="F18" s="15">
        <v>1500</v>
      </c>
      <c r="G18" s="14" t="s">
        <v>9</v>
      </c>
    </row>
    <row r="19" ht="15">
      <c r="B19" s="13"/>
    </row>
    <row r="20" spans="2:15" ht="15">
      <c r="B20" s="13"/>
      <c r="D20" s="16"/>
      <c r="E20" s="16"/>
      <c r="F20" s="339" t="s">
        <v>10</v>
      </c>
      <c r="G20" s="340"/>
      <c r="H20" s="341"/>
      <c r="J20" s="339" t="s">
        <v>11</v>
      </c>
      <c r="K20" s="340"/>
      <c r="L20" s="341"/>
      <c r="N20" s="339" t="s">
        <v>12</v>
      </c>
      <c r="O20" s="341"/>
    </row>
    <row r="21" spans="2:15" ht="15">
      <c r="B21" s="13"/>
      <c r="D21" s="327" t="s">
        <v>13</v>
      </c>
      <c r="E21" s="17"/>
      <c r="F21" s="18" t="s">
        <v>14</v>
      </c>
      <c r="G21" s="18" t="s">
        <v>15</v>
      </c>
      <c r="H21" s="19" t="s">
        <v>16</v>
      </c>
      <c r="J21" s="18" t="s">
        <v>14</v>
      </c>
      <c r="K21" s="20" t="s">
        <v>15</v>
      </c>
      <c r="L21" s="19" t="s">
        <v>16</v>
      </c>
      <c r="N21" s="329" t="s">
        <v>17</v>
      </c>
      <c r="O21" s="331" t="s">
        <v>18</v>
      </c>
    </row>
    <row r="22" spans="2:15" ht="15">
      <c r="B22" s="13"/>
      <c r="D22" s="328"/>
      <c r="E22" s="17"/>
      <c r="F22" s="21" t="s">
        <v>19</v>
      </c>
      <c r="G22" s="21"/>
      <c r="H22" s="22" t="s">
        <v>19</v>
      </c>
      <c r="J22" s="21" t="s">
        <v>19</v>
      </c>
      <c r="K22" s="22"/>
      <c r="L22" s="22" t="s">
        <v>19</v>
      </c>
      <c r="N22" s="330"/>
      <c r="O22" s="332"/>
    </row>
    <row r="23" spans="2:15" ht="22.5" customHeight="1">
      <c r="B23" s="23" t="s">
        <v>20</v>
      </c>
      <c r="C23" s="23"/>
      <c r="D23" s="24" t="s">
        <v>62</v>
      </c>
      <c r="E23" s="25"/>
      <c r="F23" s="176">
        <f>'Res (100kWh)'!F23</f>
        <v>11</v>
      </c>
      <c r="G23" s="27">
        <v>1</v>
      </c>
      <c r="H23" s="28">
        <f>G23*F23</f>
        <v>11</v>
      </c>
      <c r="I23" s="29"/>
      <c r="J23" s="175">
        <f>'Res (100kWh)'!J23</f>
        <v>11.15</v>
      </c>
      <c r="K23" s="31">
        <v>1</v>
      </c>
      <c r="L23" s="28">
        <f>K23*J23</f>
        <v>11.15</v>
      </c>
      <c r="M23" s="29"/>
      <c r="N23" s="32">
        <f>L23-H23</f>
        <v>0.15000000000000036</v>
      </c>
      <c r="O23" s="33">
        <f>IF((H23)=0,"",(N23/H23))</f>
        <v>0.013636363636363669</v>
      </c>
    </row>
    <row r="24" spans="2:15" ht="22.5" customHeight="1">
      <c r="B24" s="23" t="s">
        <v>102</v>
      </c>
      <c r="C24" s="23"/>
      <c r="D24" s="24" t="s">
        <v>62</v>
      </c>
      <c r="E24" s="25"/>
      <c r="F24" s="255">
        <f>'Res (100kWh)'!F24</f>
        <v>0</v>
      </c>
      <c r="G24" s="27">
        <v>1</v>
      </c>
      <c r="H24" s="249">
        <f>G24*F24</f>
        <v>0</v>
      </c>
      <c r="I24" s="29"/>
      <c r="J24" s="175">
        <f>'Res (100kWh)'!J24</f>
        <v>0</v>
      </c>
      <c r="K24" s="31">
        <v>1</v>
      </c>
      <c r="L24" s="28">
        <f>K24*J24</f>
        <v>0</v>
      </c>
      <c r="M24" s="29"/>
      <c r="N24" s="32">
        <f>L24-H24</f>
        <v>0</v>
      </c>
      <c r="O24" s="33">
        <f>IF((H24)=0,"",(N24/H24))</f>
      </c>
    </row>
    <row r="25" spans="2:15" ht="36.75" customHeight="1">
      <c r="B25" s="66" t="s">
        <v>125</v>
      </c>
      <c r="C25" s="23"/>
      <c r="D25" s="57" t="s">
        <v>62</v>
      </c>
      <c r="E25" s="25"/>
      <c r="F25" s="272">
        <v>0</v>
      </c>
      <c r="G25" s="27">
        <v>1</v>
      </c>
      <c r="H25" s="249">
        <f>G25*F25</f>
        <v>0</v>
      </c>
      <c r="I25" s="29"/>
      <c r="J25" s="30">
        <f>'Res (100kWh)'!J25</f>
        <v>0.79</v>
      </c>
      <c r="K25" s="31">
        <v>1</v>
      </c>
      <c r="L25" s="249">
        <f>K25*J25</f>
        <v>0.79</v>
      </c>
      <c r="M25" s="29"/>
      <c r="N25" s="32">
        <f>L25-H25</f>
        <v>0.79</v>
      </c>
      <c r="O25" s="250">
        <f>IF((H25)=0,"",(N25/H25))</f>
      </c>
    </row>
    <row r="26" spans="2:15" ht="36.75" customHeight="1">
      <c r="B26" s="177" t="s">
        <v>64</v>
      </c>
      <c r="C26" s="23"/>
      <c r="D26" s="57" t="s">
        <v>62</v>
      </c>
      <c r="E26" s="58"/>
      <c r="F26" s="175">
        <v>0</v>
      </c>
      <c r="G26" s="27">
        <v>1</v>
      </c>
      <c r="H26" s="28">
        <f aca="true" t="shared" si="0" ref="H26:H40">G26*F26</f>
        <v>0</v>
      </c>
      <c r="I26" s="29"/>
      <c r="J26" s="30"/>
      <c r="K26" s="31">
        <v>1</v>
      </c>
      <c r="L26" s="28">
        <f aca="true" t="shared" si="1" ref="L26:L40">K26*J26</f>
        <v>0</v>
      </c>
      <c r="M26" s="29"/>
      <c r="N26" s="32">
        <f aca="true" t="shared" si="2" ref="N26:N68">L26-H26</f>
        <v>0</v>
      </c>
      <c r="O26" s="33">
        <f aca="true" t="shared" si="3" ref="O26:O48">IF((H26)=0,"",(N26/H26))</f>
      </c>
    </row>
    <row r="27" spans="2:15" ht="15">
      <c r="B27" s="177" t="s">
        <v>65</v>
      </c>
      <c r="C27" s="23"/>
      <c r="D27" s="24" t="s">
        <v>62</v>
      </c>
      <c r="E27" s="25"/>
      <c r="F27" s="26">
        <f>'Res (100kWh)'!F27</f>
        <v>4.33</v>
      </c>
      <c r="G27" s="27">
        <v>1</v>
      </c>
      <c r="H27" s="28">
        <f t="shared" si="0"/>
        <v>4.33</v>
      </c>
      <c r="I27" s="29"/>
      <c r="J27" s="175">
        <v>0</v>
      </c>
      <c r="K27" s="31">
        <v>1</v>
      </c>
      <c r="L27" s="28">
        <f t="shared" si="1"/>
        <v>0</v>
      </c>
      <c r="M27" s="29"/>
      <c r="N27" s="259">
        <f t="shared" si="2"/>
        <v>-4.33</v>
      </c>
      <c r="O27" s="33">
        <f t="shared" si="3"/>
        <v>-1</v>
      </c>
    </row>
    <row r="28" spans="2:15" ht="15">
      <c r="B28" s="47" t="s">
        <v>66</v>
      </c>
      <c r="C28" s="23"/>
      <c r="D28" s="24" t="s">
        <v>63</v>
      </c>
      <c r="E28" s="25"/>
      <c r="F28" s="26">
        <v>0</v>
      </c>
      <c r="G28" s="27">
        <f aca="true" t="shared" si="4" ref="G28:G33">$F$18</f>
        <v>1500</v>
      </c>
      <c r="H28" s="28">
        <f t="shared" si="0"/>
        <v>0</v>
      </c>
      <c r="I28" s="29"/>
      <c r="J28" s="175"/>
      <c r="K28" s="27">
        <f>$F$18</f>
        <v>1500</v>
      </c>
      <c r="L28" s="28">
        <f t="shared" si="1"/>
        <v>0</v>
      </c>
      <c r="M28" s="29"/>
      <c r="N28" s="32">
        <f t="shared" si="2"/>
        <v>0</v>
      </c>
      <c r="O28" s="33">
        <f t="shared" si="3"/>
      </c>
    </row>
    <row r="29" spans="2:15" ht="15">
      <c r="B29" s="47" t="s">
        <v>67</v>
      </c>
      <c r="C29" s="23"/>
      <c r="D29" s="24" t="s">
        <v>63</v>
      </c>
      <c r="E29" s="25"/>
      <c r="F29" s="253">
        <f>'Res (100kWh)'!F29</f>
        <v>-0.004</v>
      </c>
      <c r="G29" s="27">
        <f t="shared" si="4"/>
        <v>1500</v>
      </c>
      <c r="H29" s="28">
        <f t="shared" si="0"/>
        <v>-6</v>
      </c>
      <c r="I29" s="29"/>
      <c r="J29" s="30">
        <f>'Res (100kWh)'!J29</f>
        <v>0</v>
      </c>
      <c r="K29" s="27">
        <f>$F$18</f>
        <v>1500</v>
      </c>
      <c r="L29" s="28">
        <f t="shared" si="1"/>
        <v>0</v>
      </c>
      <c r="M29" s="29"/>
      <c r="N29" s="32">
        <f t="shared" si="2"/>
        <v>6</v>
      </c>
      <c r="O29" s="33">
        <f t="shared" si="3"/>
        <v>-1</v>
      </c>
    </row>
    <row r="30" spans="2:15" ht="15">
      <c r="B30" s="47" t="s">
        <v>103</v>
      </c>
      <c r="C30" s="23"/>
      <c r="D30" s="24" t="s">
        <v>63</v>
      </c>
      <c r="E30" s="25"/>
      <c r="F30" s="26">
        <f>'Res (100kWh)'!F30</f>
        <v>0</v>
      </c>
      <c r="G30" s="27">
        <f t="shared" si="4"/>
        <v>1500</v>
      </c>
      <c r="H30" s="249">
        <f>G30*F30</f>
        <v>0</v>
      </c>
      <c r="I30" s="29"/>
      <c r="J30" s="30">
        <f>'Res (100kWh)'!J30</f>
        <v>0</v>
      </c>
      <c r="K30" s="27">
        <f>$F$18</f>
        <v>1500</v>
      </c>
      <c r="L30" s="249">
        <f>K30*J30</f>
        <v>0</v>
      </c>
      <c r="M30" s="29"/>
      <c r="N30" s="259">
        <f>L30-H30</f>
        <v>0</v>
      </c>
      <c r="O30" s="250">
        <f>IF((H30)=0,"",(N30/H30))</f>
      </c>
    </row>
    <row r="31" spans="2:15" ht="15">
      <c r="B31" s="23" t="s">
        <v>21</v>
      </c>
      <c r="C31" s="23"/>
      <c r="D31" s="24" t="s">
        <v>63</v>
      </c>
      <c r="E31" s="25"/>
      <c r="F31" s="26">
        <f>'Res (100kWh)'!F31</f>
        <v>0.0178</v>
      </c>
      <c r="G31" s="27">
        <f t="shared" si="4"/>
        <v>1500</v>
      </c>
      <c r="H31" s="28">
        <f t="shared" si="0"/>
        <v>26.7</v>
      </c>
      <c r="I31" s="29"/>
      <c r="J31" s="30">
        <f>'Res (100kWh)'!J31</f>
        <v>0.018</v>
      </c>
      <c r="K31" s="27">
        <f>$F$18</f>
        <v>1500</v>
      </c>
      <c r="L31" s="28">
        <f t="shared" si="1"/>
        <v>26.999999999999996</v>
      </c>
      <c r="M31" s="29"/>
      <c r="N31" s="32">
        <f t="shared" si="2"/>
        <v>0.29999999999999716</v>
      </c>
      <c r="O31" s="33">
        <f t="shared" si="3"/>
        <v>0.01123595505617967</v>
      </c>
    </row>
    <row r="32" spans="2:15" ht="15">
      <c r="B32" s="23" t="s">
        <v>22</v>
      </c>
      <c r="C32" s="23"/>
      <c r="D32" s="24"/>
      <c r="E32" s="25"/>
      <c r="F32" s="26"/>
      <c r="G32" s="27">
        <f t="shared" si="4"/>
        <v>1500</v>
      </c>
      <c r="H32" s="28">
        <f t="shared" si="0"/>
        <v>0</v>
      </c>
      <c r="I32" s="29"/>
      <c r="J32" s="30"/>
      <c r="K32" s="27">
        <f aca="true" t="shared" si="5" ref="K32:K40">$F$18</f>
        <v>1500</v>
      </c>
      <c r="L32" s="28">
        <f t="shared" si="1"/>
        <v>0</v>
      </c>
      <c r="M32" s="29"/>
      <c r="N32" s="32">
        <f t="shared" si="2"/>
        <v>0</v>
      </c>
      <c r="O32" s="33">
        <f t="shared" si="3"/>
      </c>
    </row>
    <row r="33" spans="2:15" ht="15">
      <c r="B33" s="23" t="s">
        <v>124</v>
      </c>
      <c r="C33" s="23"/>
      <c r="D33" s="24" t="s">
        <v>63</v>
      </c>
      <c r="E33" s="25"/>
      <c r="F33" s="26">
        <v>0</v>
      </c>
      <c r="G33" s="27">
        <f t="shared" si="4"/>
        <v>1500</v>
      </c>
      <c r="H33" s="249">
        <f t="shared" si="0"/>
        <v>0</v>
      </c>
      <c r="I33" s="29"/>
      <c r="J33" s="30">
        <f>'Res (100kWh)'!$J33</f>
        <v>0.0001</v>
      </c>
      <c r="K33" s="27">
        <f t="shared" si="5"/>
        <v>1500</v>
      </c>
      <c r="L33" s="249">
        <f t="shared" si="1"/>
        <v>0.15</v>
      </c>
      <c r="M33" s="29"/>
      <c r="N33" s="32">
        <f t="shared" si="2"/>
        <v>0.15</v>
      </c>
      <c r="O33" s="250">
        <f t="shared" si="3"/>
      </c>
    </row>
    <row r="34" spans="2:15" ht="15" hidden="1">
      <c r="B34" s="34"/>
      <c r="C34" s="23"/>
      <c r="D34" s="24"/>
      <c r="E34" s="25"/>
      <c r="F34" s="26"/>
      <c r="G34" s="27">
        <f aca="true" t="shared" si="6" ref="G34:G40">$F$18</f>
        <v>1500</v>
      </c>
      <c r="H34" s="28">
        <f t="shared" si="0"/>
        <v>0</v>
      </c>
      <c r="I34" s="29"/>
      <c r="J34" s="30"/>
      <c r="K34" s="27">
        <f t="shared" si="5"/>
        <v>1500</v>
      </c>
      <c r="L34" s="28">
        <f t="shared" si="1"/>
        <v>0</v>
      </c>
      <c r="M34" s="29"/>
      <c r="N34" s="32">
        <f t="shared" si="2"/>
        <v>0</v>
      </c>
      <c r="O34" s="33">
        <f t="shared" si="3"/>
      </c>
    </row>
    <row r="35" spans="2:15" ht="15" hidden="1">
      <c r="B35" s="34"/>
      <c r="C35" s="23"/>
      <c r="D35" s="24"/>
      <c r="E35" s="25"/>
      <c r="F35" s="26"/>
      <c r="G35" s="27">
        <f t="shared" si="6"/>
        <v>1500</v>
      </c>
      <c r="H35" s="28">
        <f t="shared" si="0"/>
        <v>0</v>
      </c>
      <c r="I35" s="29"/>
      <c r="J35" s="30"/>
      <c r="K35" s="27">
        <f t="shared" si="5"/>
        <v>1500</v>
      </c>
      <c r="L35" s="28">
        <f t="shared" si="1"/>
        <v>0</v>
      </c>
      <c r="M35" s="29"/>
      <c r="N35" s="32">
        <f t="shared" si="2"/>
        <v>0</v>
      </c>
      <c r="O35" s="33">
        <f t="shared" si="3"/>
      </c>
    </row>
    <row r="36" spans="2:15" ht="15" hidden="1">
      <c r="B36" s="34"/>
      <c r="C36" s="23"/>
      <c r="D36" s="24"/>
      <c r="E36" s="25"/>
      <c r="F36" s="26"/>
      <c r="G36" s="27">
        <f t="shared" si="6"/>
        <v>1500</v>
      </c>
      <c r="H36" s="28">
        <f t="shared" si="0"/>
        <v>0</v>
      </c>
      <c r="I36" s="29"/>
      <c r="J36" s="30"/>
      <c r="K36" s="27">
        <f t="shared" si="5"/>
        <v>1500</v>
      </c>
      <c r="L36" s="28">
        <f t="shared" si="1"/>
        <v>0</v>
      </c>
      <c r="M36" s="29"/>
      <c r="N36" s="32">
        <f t="shared" si="2"/>
        <v>0</v>
      </c>
      <c r="O36" s="33">
        <f t="shared" si="3"/>
      </c>
    </row>
    <row r="37" spans="2:15" ht="15" hidden="1">
      <c r="B37" s="34"/>
      <c r="C37" s="23"/>
      <c r="D37" s="24"/>
      <c r="E37" s="25"/>
      <c r="F37" s="26"/>
      <c r="G37" s="27">
        <f t="shared" si="6"/>
        <v>1500</v>
      </c>
      <c r="H37" s="28">
        <f t="shared" si="0"/>
        <v>0</v>
      </c>
      <c r="I37" s="29"/>
      <c r="J37" s="30"/>
      <c r="K37" s="27">
        <f t="shared" si="5"/>
        <v>1500</v>
      </c>
      <c r="L37" s="28">
        <f t="shared" si="1"/>
        <v>0</v>
      </c>
      <c r="M37" s="29"/>
      <c r="N37" s="32">
        <f t="shared" si="2"/>
        <v>0</v>
      </c>
      <c r="O37" s="33">
        <f t="shared" si="3"/>
      </c>
    </row>
    <row r="38" spans="2:15" ht="15" hidden="1">
      <c r="B38" s="34"/>
      <c r="C38" s="23"/>
      <c r="D38" s="24"/>
      <c r="E38" s="25"/>
      <c r="F38" s="26"/>
      <c r="G38" s="27">
        <f t="shared" si="6"/>
        <v>1500</v>
      </c>
      <c r="H38" s="28">
        <f t="shared" si="0"/>
        <v>0</v>
      </c>
      <c r="I38" s="29"/>
      <c r="J38" s="30"/>
      <c r="K38" s="27">
        <f t="shared" si="5"/>
        <v>1500</v>
      </c>
      <c r="L38" s="28">
        <f t="shared" si="1"/>
        <v>0</v>
      </c>
      <c r="M38" s="29"/>
      <c r="N38" s="32">
        <f t="shared" si="2"/>
        <v>0</v>
      </c>
      <c r="O38" s="33">
        <f t="shared" si="3"/>
      </c>
    </row>
    <row r="39" spans="2:15" ht="15" hidden="1">
      <c r="B39" s="34"/>
      <c r="C39" s="23"/>
      <c r="D39" s="24"/>
      <c r="E39" s="25"/>
      <c r="F39" s="26"/>
      <c r="G39" s="27">
        <f t="shared" si="6"/>
        <v>1500</v>
      </c>
      <c r="H39" s="28">
        <f t="shared" si="0"/>
        <v>0</v>
      </c>
      <c r="I39" s="29"/>
      <c r="J39" s="30"/>
      <c r="K39" s="27">
        <f t="shared" si="5"/>
        <v>1500</v>
      </c>
      <c r="L39" s="28">
        <f t="shared" si="1"/>
        <v>0</v>
      </c>
      <c r="M39" s="29"/>
      <c r="N39" s="32">
        <f t="shared" si="2"/>
        <v>0</v>
      </c>
      <c r="O39" s="33">
        <f t="shared" si="3"/>
      </c>
    </row>
    <row r="40" spans="2:15" ht="15" hidden="1">
      <c r="B40" s="34"/>
      <c r="C40" s="23"/>
      <c r="D40" s="24"/>
      <c r="E40" s="25"/>
      <c r="F40" s="26"/>
      <c r="G40" s="27">
        <f t="shared" si="6"/>
        <v>1500</v>
      </c>
      <c r="H40" s="28">
        <f t="shared" si="0"/>
        <v>0</v>
      </c>
      <c r="I40" s="29"/>
      <c r="J40" s="30"/>
      <c r="K40" s="27">
        <f t="shared" si="5"/>
        <v>1500</v>
      </c>
      <c r="L40" s="28">
        <f t="shared" si="1"/>
        <v>0</v>
      </c>
      <c r="M40" s="29"/>
      <c r="N40" s="32">
        <f t="shared" si="2"/>
        <v>0</v>
      </c>
      <c r="O40" s="33">
        <f t="shared" si="3"/>
      </c>
    </row>
    <row r="41" spans="2:15" s="35" customFormat="1" ht="15">
      <c r="B41" s="36" t="s">
        <v>24</v>
      </c>
      <c r="C41" s="37"/>
      <c r="D41" s="38"/>
      <c r="E41" s="37"/>
      <c r="F41" s="39"/>
      <c r="G41" s="40"/>
      <c r="H41" s="41">
        <f>SUM(H23:H40)</f>
        <v>36.03</v>
      </c>
      <c r="I41" s="42"/>
      <c r="J41" s="43"/>
      <c r="K41" s="44"/>
      <c r="L41" s="41">
        <f>SUM(L23:L40)</f>
        <v>39.089999999999996</v>
      </c>
      <c r="M41" s="42"/>
      <c r="N41" s="45">
        <f t="shared" si="2"/>
        <v>3.059999999999995</v>
      </c>
      <c r="O41" s="46">
        <f t="shared" si="3"/>
        <v>0.08492922564529545</v>
      </c>
    </row>
    <row r="42" spans="2:15" ht="15" hidden="1">
      <c r="B42" s="177"/>
      <c r="C42" s="23"/>
      <c r="D42" s="57" t="s">
        <v>62</v>
      </c>
      <c r="E42" s="25"/>
      <c r="F42" s="26"/>
      <c r="G42" s="27">
        <v>1</v>
      </c>
      <c r="H42" s="28">
        <f>G42*F42</f>
        <v>0</v>
      </c>
      <c r="I42" s="29"/>
      <c r="J42" s="175"/>
      <c r="K42" s="31">
        <v>1</v>
      </c>
      <c r="L42" s="28">
        <f>K42*J42</f>
        <v>0</v>
      </c>
      <c r="M42" s="29"/>
      <c r="N42" s="32">
        <f>L42-H42</f>
        <v>0</v>
      </c>
      <c r="O42" s="33">
        <f>IF((H42)=0,"",(N42/H42))</f>
      </c>
    </row>
    <row r="43" spans="2:15" ht="25.5">
      <c r="B43" s="47" t="s">
        <v>25</v>
      </c>
      <c r="C43" s="23"/>
      <c r="D43" s="57" t="s">
        <v>63</v>
      </c>
      <c r="E43" s="58"/>
      <c r="F43" s="254">
        <f>'Res (100kWh)'!F43</f>
        <v>-0.002</v>
      </c>
      <c r="G43" s="27">
        <f>$F$18</f>
        <v>1500</v>
      </c>
      <c r="H43" s="28">
        <f aca="true" t="shared" si="7" ref="H43:H49">G43*F43</f>
        <v>-3</v>
      </c>
      <c r="I43" s="29"/>
      <c r="J43" s="254">
        <f>'Res (100kWh)'!J43</f>
        <v>-0.0016</v>
      </c>
      <c r="K43" s="27">
        <f>$F$18</f>
        <v>1500</v>
      </c>
      <c r="L43" s="28">
        <f aca="true" t="shared" si="8" ref="L43:L49">K43*J43</f>
        <v>-2.4</v>
      </c>
      <c r="M43" s="29"/>
      <c r="N43" s="32">
        <f t="shared" si="2"/>
        <v>0.6000000000000001</v>
      </c>
      <c r="O43" s="33">
        <f t="shared" si="3"/>
        <v>-0.20000000000000004</v>
      </c>
    </row>
    <row r="44" spans="2:15" ht="15" hidden="1">
      <c r="B44" s="47"/>
      <c r="C44" s="23"/>
      <c r="D44" s="24" t="s">
        <v>63</v>
      </c>
      <c r="E44" s="25"/>
      <c r="F44" s="26"/>
      <c r="G44" s="27">
        <f>$F$18</f>
        <v>1500</v>
      </c>
      <c r="H44" s="28">
        <f t="shared" si="7"/>
        <v>0</v>
      </c>
      <c r="I44" s="48"/>
      <c r="J44" s="30"/>
      <c r="K44" s="27">
        <f>$F$18</f>
        <v>1500</v>
      </c>
      <c r="L44" s="28">
        <f t="shared" si="8"/>
        <v>0</v>
      </c>
      <c r="M44" s="49"/>
      <c r="N44" s="32">
        <f t="shared" si="2"/>
        <v>0</v>
      </c>
      <c r="O44" s="33">
        <f t="shared" si="3"/>
      </c>
    </row>
    <row r="45" spans="2:15" ht="15" hidden="1">
      <c r="B45" s="47"/>
      <c r="C45" s="23"/>
      <c r="D45" s="24" t="s">
        <v>63</v>
      </c>
      <c r="E45" s="25"/>
      <c r="F45" s="26"/>
      <c r="G45" s="27">
        <f>$F$18</f>
        <v>1500</v>
      </c>
      <c r="H45" s="28">
        <f t="shared" si="7"/>
        <v>0</v>
      </c>
      <c r="I45" s="48"/>
      <c r="J45" s="30"/>
      <c r="K45" s="27">
        <f>$F$18</f>
        <v>1500</v>
      </c>
      <c r="L45" s="28">
        <f t="shared" si="8"/>
        <v>0</v>
      </c>
      <c r="M45" s="49"/>
      <c r="N45" s="32">
        <f t="shared" si="2"/>
        <v>0</v>
      </c>
      <c r="O45" s="33">
        <f t="shared" si="3"/>
      </c>
    </row>
    <row r="46" spans="2:15" ht="15" hidden="1">
      <c r="B46" s="47"/>
      <c r="C46" s="23"/>
      <c r="D46" s="24"/>
      <c r="E46" s="25"/>
      <c r="F46" s="26"/>
      <c r="G46" s="27">
        <f>$F$18</f>
        <v>1500</v>
      </c>
      <c r="H46" s="28">
        <f t="shared" si="7"/>
        <v>0</v>
      </c>
      <c r="I46" s="48"/>
      <c r="J46" s="30"/>
      <c r="K46" s="27">
        <f>$F$18</f>
        <v>1500</v>
      </c>
      <c r="L46" s="28">
        <f t="shared" si="8"/>
        <v>0</v>
      </c>
      <c r="M46" s="49"/>
      <c r="N46" s="32">
        <f t="shared" si="2"/>
        <v>0</v>
      </c>
      <c r="O46" s="33">
        <f t="shared" si="3"/>
      </c>
    </row>
    <row r="47" spans="2:15" ht="15">
      <c r="B47" s="50" t="s">
        <v>26</v>
      </c>
      <c r="C47" s="23"/>
      <c r="D47" s="24" t="s">
        <v>63</v>
      </c>
      <c r="E47" s="25"/>
      <c r="F47" s="26">
        <f>'Res (100kWh)'!F47</f>
        <v>0.0001</v>
      </c>
      <c r="G47" s="27">
        <f>$F$18</f>
        <v>1500</v>
      </c>
      <c r="H47" s="28">
        <f t="shared" si="7"/>
        <v>0.15</v>
      </c>
      <c r="I47" s="29"/>
      <c r="J47" s="30">
        <f>'Res (100kWh)'!J47</f>
        <v>0.0001</v>
      </c>
      <c r="K47" s="27">
        <f>$F$18</f>
        <v>1500</v>
      </c>
      <c r="L47" s="28">
        <f t="shared" si="8"/>
        <v>0.15</v>
      </c>
      <c r="M47" s="29"/>
      <c r="N47" s="32">
        <f t="shared" si="2"/>
        <v>0</v>
      </c>
      <c r="O47" s="33">
        <f t="shared" si="3"/>
        <v>0</v>
      </c>
    </row>
    <row r="48" spans="2:15" s="35" customFormat="1" ht="15">
      <c r="B48" s="183" t="s">
        <v>27</v>
      </c>
      <c r="C48" s="25"/>
      <c r="D48" s="184" t="s">
        <v>63</v>
      </c>
      <c r="E48" s="25"/>
      <c r="F48" s="185">
        <f>IF(ISBLANK(D16)=TRUE,0,IF(D16="TOU",0.64*$F$58+0.18*$F$59+0.18*$F$60,IF(AND(D16="non-TOU",G62&gt;0),F62,F61)))</f>
        <v>0.08392</v>
      </c>
      <c r="G48" s="27">
        <f>$F$18*(1+$F$77)-$F$18</f>
        <v>50.25000000000023</v>
      </c>
      <c r="H48" s="186">
        <f t="shared" si="7"/>
        <v>4.216980000000019</v>
      </c>
      <c r="I48" s="58"/>
      <c r="J48" s="187">
        <f>0.64*$F$58+0.18*$F$59+0.18*$F$60</f>
        <v>0.08392</v>
      </c>
      <c r="K48" s="27">
        <f>$F$18*(1+$J$77)-$F$18</f>
        <v>50.25000000000023</v>
      </c>
      <c r="L48" s="186">
        <f t="shared" si="8"/>
        <v>4.216980000000019</v>
      </c>
      <c r="M48" s="58"/>
      <c r="N48" s="188">
        <f t="shared" si="2"/>
        <v>0</v>
      </c>
      <c r="O48" s="189">
        <f t="shared" si="3"/>
        <v>0</v>
      </c>
    </row>
    <row r="49" spans="2:15" ht="15">
      <c r="B49" s="50" t="s">
        <v>28</v>
      </c>
      <c r="C49" s="23"/>
      <c r="D49" s="24" t="s">
        <v>62</v>
      </c>
      <c r="E49" s="25"/>
      <c r="F49" s="180">
        <v>0.79</v>
      </c>
      <c r="G49" s="27">
        <v>1</v>
      </c>
      <c r="H49" s="28">
        <f t="shared" si="7"/>
        <v>0.79</v>
      </c>
      <c r="I49" s="29"/>
      <c r="J49" s="180">
        <v>0.79</v>
      </c>
      <c r="K49" s="27">
        <v>1</v>
      </c>
      <c r="L49" s="28">
        <f t="shared" si="8"/>
        <v>0.79</v>
      </c>
      <c r="M49" s="29"/>
      <c r="N49" s="32">
        <f t="shared" si="2"/>
        <v>0</v>
      </c>
      <c r="O49" s="33"/>
    </row>
    <row r="50" spans="2:15" ht="25.5">
      <c r="B50" s="51" t="s">
        <v>29</v>
      </c>
      <c r="C50" s="52"/>
      <c r="D50" s="52"/>
      <c r="E50" s="52"/>
      <c r="F50" s="53"/>
      <c r="G50" s="54"/>
      <c r="H50" s="55">
        <f>SUM(H42:H49)+H41</f>
        <v>38.18698000000002</v>
      </c>
      <c r="I50" s="42"/>
      <c r="J50" s="54"/>
      <c r="K50" s="56"/>
      <c r="L50" s="55">
        <f>SUM(L42:L49)+L41</f>
        <v>41.846980000000016</v>
      </c>
      <c r="M50" s="42"/>
      <c r="N50" s="45">
        <f t="shared" si="2"/>
        <v>3.6599999999999966</v>
      </c>
      <c r="O50" s="46">
        <f aca="true" t="shared" si="9" ref="O50:O68">IF((H50)=0,"",(N50/H50))</f>
        <v>0.09584418563604649</v>
      </c>
    </row>
    <row r="51" spans="2:15" ht="15">
      <c r="B51" s="29" t="s">
        <v>30</v>
      </c>
      <c r="C51" s="29"/>
      <c r="D51" s="57" t="s">
        <v>63</v>
      </c>
      <c r="E51" s="58"/>
      <c r="F51" s="30">
        <f>'Res (100kWh)'!F51</f>
        <v>0.0067</v>
      </c>
      <c r="G51" s="59">
        <f>F18*(1+F77)</f>
        <v>1550.2500000000002</v>
      </c>
      <c r="H51" s="28">
        <f>G51*F51</f>
        <v>10.386675000000002</v>
      </c>
      <c r="I51" s="29"/>
      <c r="J51" s="30">
        <f>'Res (100kWh)'!J51</f>
        <v>0.0069</v>
      </c>
      <c r="K51" s="60">
        <f>F18*(1+J77)</f>
        <v>1550.2500000000002</v>
      </c>
      <c r="L51" s="28">
        <f>K51*J51</f>
        <v>10.696725</v>
      </c>
      <c r="M51" s="29"/>
      <c r="N51" s="32">
        <f t="shared" si="2"/>
        <v>0.3100499999999986</v>
      </c>
      <c r="O51" s="33">
        <f t="shared" si="9"/>
        <v>0.029850746268656577</v>
      </c>
    </row>
    <row r="52" spans="2:15" ht="15">
      <c r="B52" s="61" t="s">
        <v>31</v>
      </c>
      <c r="C52" s="29"/>
      <c r="D52" s="57" t="s">
        <v>63</v>
      </c>
      <c r="E52" s="58"/>
      <c r="F52" s="30">
        <f>'Res (100kWh)'!F52</f>
        <v>0.0042</v>
      </c>
      <c r="G52" s="59">
        <f>G51</f>
        <v>1550.2500000000002</v>
      </c>
      <c r="H52" s="28">
        <f>G52*F52</f>
        <v>6.511050000000001</v>
      </c>
      <c r="I52" s="29"/>
      <c r="J52" s="30">
        <f>'Res (100kWh)'!J52</f>
        <v>0.0043</v>
      </c>
      <c r="K52" s="60">
        <f>K51</f>
        <v>1550.2500000000002</v>
      </c>
      <c r="L52" s="28">
        <f>K52*J52</f>
        <v>6.666075000000001</v>
      </c>
      <c r="M52" s="29"/>
      <c r="N52" s="32">
        <f t="shared" si="2"/>
        <v>0.1550250000000002</v>
      </c>
      <c r="O52" s="33">
        <f t="shared" si="9"/>
        <v>0.023809523809523836</v>
      </c>
    </row>
    <row r="53" spans="2:15" ht="15">
      <c r="B53" s="51" t="s">
        <v>32</v>
      </c>
      <c r="C53" s="37"/>
      <c r="D53" s="37"/>
      <c r="E53" s="37"/>
      <c r="F53" s="62"/>
      <c r="G53" s="54"/>
      <c r="H53" s="55">
        <f>SUM(H50:H52)</f>
        <v>55.08470500000003</v>
      </c>
      <c r="I53" s="63"/>
      <c r="J53" s="64"/>
      <c r="K53" s="65"/>
      <c r="L53" s="55">
        <f>SUM(L50:L52)</f>
        <v>59.209780000000016</v>
      </c>
      <c r="M53" s="63"/>
      <c r="N53" s="45">
        <f t="shared" si="2"/>
        <v>4.125074999999988</v>
      </c>
      <c r="O53" s="46">
        <f t="shared" si="9"/>
        <v>0.0748860323387406</v>
      </c>
    </row>
    <row r="54" spans="2:15" ht="15">
      <c r="B54" s="66" t="s">
        <v>33</v>
      </c>
      <c r="C54" s="23"/>
      <c r="D54" s="24" t="s">
        <v>63</v>
      </c>
      <c r="E54" s="25"/>
      <c r="F54" s="67">
        <v>0.0044</v>
      </c>
      <c r="G54" s="59">
        <f>G52</f>
        <v>1550.2500000000002</v>
      </c>
      <c r="H54" s="68">
        <f aca="true" t="shared" si="10" ref="H54:H60">G54*F54</f>
        <v>6.821100000000001</v>
      </c>
      <c r="I54" s="29"/>
      <c r="J54" s="69">
        <v>0.0044</v>
      </c>
      <c r="K54" s="60">
        <f>K52</f>
        <v>1550.2500000000002</v>
      </c>
      <c r="L54" s="68">
        <f aca="true" t="shared" si="11" ref="L54:L60">K54*J54</f>
        <v>6.821100000000001</v>
      </c>
      <c r="M54" s="29"/>
      <c r="N54" s="32">
        <f t="shared" si="2"/>
        <v>0</v>
      </c>
      <c r="O54" s="70">
        <f t="shared" si="9"/>
        <v>0</v>
      </c>
    </row>
    <row r="55" spans="2:15" ht="15">
      <c r="B55" s="66" t="s">
        <v>34</v>
      </c>
      <c r="C55" s="23"/>
      <c r="D55" s="24" t="s">
        <v>63</v>
      </c>
      <c r="E55" s="25"/>
      <c r="F55" s="67">
        <v>0.0013</v>
      </c>
      <c r="G55" s="59">
        <f>G52</f>
        <v>1550.2500000000002</v>
      </c>
      <c r="H55" s="68">
        <f t="shared" si="10"/>
        <v>2.0153250000000003</v>
      </c>
      <c r="I55" s="29"/>
      <c r="J55" s="69">
        <v>0.0013</v>
      </c>
      <c r="K55" s="60">
        <f>K52</f>
        <v>1550.2500000000002</v>
      </c>
      <c r="L55" s="68">
        <f t="shared" si="11"/>
        <v>2.0153250000000003</v>
      </c>
      <c r="M55" s="29"/>
      <c r="N55" s="32">
        <f t="shared" si="2"/>
        <v>0</v>
      </c>
      <c r="O55" s="70">
        <f t="shared" si="9"/>
        <v>0</v>
      </c>
    </row>
    <row r="56" spans="2:15" ht="15">
      <c r="B56" s="23" t="s">
        <v>35</v>
      </c>
      <c r="C56" s="23"/>
      <c r="D56" s="24" t="s">
        <v>62</v>
      </c>
      <c r="E56" s="25"/>
      <c r="F56" s="178">
        <v>0.25</v>
      </c>
      <c r="G56" s="27">
        <v>1</v>
      </c>
      <c r="H56" s="68">
        <f t="shared" si="10"/>
        <v>0.25</v>
      </c>
      <c r="I56" s="29"/>
      <c r="J56" s="179">
        <v>0.25</v>
      </c>
      <c r="K56" s="31">
        <v>1</v>
      </c>
      <c r="L56" s="68">
        <f t="shared" si="11"/>
        <v>0.25</v>
      </c>
      <c r="M56" s="29"/>
      <c r="N56" s="32">
        <f t="shared" si="2"/>
        <v>0</v>
      </c>
      <c r="O56" s="70">
        <f t="shared" si="9"/>
        <v>0</v>
      </c>
    </row>
    <row r="57" spans="2:15" ht="15">
      <c r="B57" s="23" t="s">
        <v>36</v>
      </c>
      <c r="C57" s="23"/>
      <c r="D57" s="24" t="s">
        <v>63</v>
      </c>
      <c r="E57" s="25"/>
      <c r="F57" s="67">
        <v>0.007</v>
      </c>
      <c r="G57" s="71">
        <f>F18</f>
        <v>1500</v>
      </c>
      <c r="H57" s="68">
        <f t="shared" si="10"/>
        <v>10.5</v>
      </c>
      <c r="I57" s="29"/>
      <c r="J57" s="69">
        <f>0.007</f>
        <v>0.007</v>
      </c>
      <c r="K57" s="72">
        <f>F18</f>
        <v>1500</v>
      </c>
      <c r="L57" s="68">
        <f t="shared" si="11"/>
        <v>10.5</v>
      </c>
      <c r="M57" s="29"/>
      <c r="N57" s="32">
        <f t="shared" si="2"/>
        <v>0</v>
      </c>
      <c r="O57" s="70">
        <f t="shared" si="9"/>
        <v>0</v>
      </c>
    </row>
    <row r="58" spans="2:19" ht="15">
      <c r="B58" s="50" t="s">
        <v>37</v>
      </c>
      <c r="C58" s="23"/>
      <c r="D58" s="24" t="s">
        <v>63</v>
      </c>
      <c r="E58" s="25"/>
      <c r="F58" s="73">
        <v>0.067</v>
      </c>
      <c r="G58" s="71">
        <f>0.64*$F$18</f>
        <v>960</v>
      </c>
      <c r="H58" s="68">
        <f t="shared" si="10"/>
        <v>64.32000000000001</v>
      </c>
      <c r="I58" s="29"/>
      <c r="J58" s="67">
        <v>0.067</v>
      </c>
      <c r="K58" s="71">
        <f>G58</f>
        <v>960</v>
      </c>
      <c r="L58" s="68">
        <f t="shared" si="11"/>
        <v>64.32000000000001</v>
      </c>
      <c r="M58" s="29"/>
      <c r="N58" s="32">
        <f t="shared" si="2"/>
        <v>0</v>
      </c>
      <c r="O58" s="70">
        <f t="shared" si="9"/>
        <v>0</v>
      </c>
      <c r="S58" s="74"/>
    </row>
    <row r="59" spans="2:19" ht="15">
      <c r="B59" s="50" t="s">
        <v>38</v>
      </c>
      <c r="C59" s="23"/>
      <c r="D59" s="24" t="s">
        <v>63</v>
      </c>
      <c r="E59" s="25"/>
      <c r="F59" s="73">
        <v>0.104</v>
      </c>
      <c r="G59" s="71">
        <f>0.18*$F$18</f>
        <v>270</v>
      </c>
      <c r="H59" s="68">
        <f t="shared" si="10"/>
        <v>28.08</v>
      </c>
      <c r="I59" s="29"/>
      <c r="J59" s="67">
        <v>0.104</v>
      </c>
      <c r="K59" s="71">
        <f>G59</f>
        <v>270</v>
      </c>
      <c r="L59" s="68">
        <f t="shared" si="11"/>
        <v>28.08</v>
      </c>
      <c r="M59" s="29"/>
      <c r="N59" s="32">
        <f t="shared" si="2"/>
        <v>0</v>
      </c>
      <c r="O59" s="70">
        <f t="shared" si="9"/>
        <v>0</v>
      </c>
      <c r="S59" s="74"/>
    </row>
    <row r="60" spans="2:19" ht="15">
      <c r="B60" s="13" t="s">
        <v>39</v>
      </c>
      <c r="C60" s="23"/>
      <c r="D60" s="24" t="s">
        <v>63</v>
      </c>
      <c r="E60" s="25"/>
      <c r="F60" s="73">
        <v>0.124</v>
      </c>
      <c r="G60" s="71">
        <f>0.18*$F$18</f>
        <v>270</v>
      </c>
      <c r="H60" s="68">
        <f t="shared" si="10"/>
        <v>33.48</v>
      </c>
      <c r="I60" s="29"/>
      <c r="J60" s="67">
        <v>0.124</v>
      </c>
      <c r="K60" s="71">
        <f>G60</f>
        <v>270</v>
      </c>
      <c r="L60" s="68">
        <f t="shared" si="11"/>
        <v>33.48</v>
      </c>
      <c r="M60" s="29"/>
      <c r="N60" s="32">
        <f t="shared" si="2"/>
        <v>0</v>
      </c>
      <c r="O60" s="70">
        <f t="shared" si="9"/>
        <v>0</v>
      </c>
      <c r="S60" s="74"/>
    </row>
    <row r="61" spans="2:15" s="75" customFormat="1" ht="15">
      <c r="B61" s="76" t="s">
        <v>40</v>
      </c>
      <c r="C61" s="77"/>
      <c r="D61" s="78" t="s">
        <v>63</v>
      </c>
      <c r="E61" s="79"/>
      <c r="F61" s="73">
        <v>0.075</v>
      </c>
      <c r="G61" s="80">
        <f>IF(AND($T$1=1,F18&gt;=600),600,IF(AND($T$1=1,AND(F18&lt;600,F18&gt;=0)),F18,IF(AND($T$1=2,F18&gt;=1000),1000,IF(AND($T$1=2,AND(F18&lt;1000,F18&gt;=0)),F18))))</f>
        <v>600</v>
      </c>
      <c r="H61" s="68">
        <f>G61*F61</f>
        <v>45</v>
      </c>
      <c r="I61" s="81"/>
      <c r="J61" s="67">
        <v>0.075</v>
      </c>
      <c r="K61" s="80">
        <f>G61</f>
        <v>600</v>
      </c>
      <c r="L61" s="68">
        <f>K61*J61</f>
        <v>45</v>
      </c>
      <c r="M61" s="81"/>
      <c r="N61" s="82">
        <f t="shared" si="2"/>
        <v>0</v>
      </c>
      <c r="O61" s="70">
        <f t="shared" si="9"/>
        <v>0</v>
      </c>
    </row>
    <row r="62" spans="2:15" s="75" customFormat="1" ht="15.75" thickBot="1">
      <c r="B62" s="76" t="s">
        <v>41</v>
      </c>
      <c r="C62" s="77"/>
      <c r="D62" s="78" t="s">
        <v>63</v>
      </c>
      <c r="E62" s="79"/>
      <c r="F62" s="73">
        <v>0.088</v>
      </c>
      <c r="G62" s="80">
        <f>IF(AND($T$1=1,F18&gt;=600),F18-600,IF(AND($T$1=1,AND(F18&lt;600,F18&gt;=0)),0,IF(AND($T$1=2,F18&gt;=1000),F18-1000,IF(AND($T$1=2,AND(F18&lt;1000,F18&gt;=0)),0))))</f>
        <v>900</v>
      </c>
      <c r="H62" s="68">
        <f>G62*F62</f>
        <v>79.19999999999999</v>
      </c>
      <c r="I62" s="81"/>
      <c r="J62" s="67">
        <v>0.088</v>
      </c>
      <c r="K62" s="80">
        <f>G62</f>
        <v>900</v>
      </c>
      <c r="L62" s="68">
        <f>K62*J62</f>
        <v>79.19999999999999</v>
      </c>
      <c r="M62" s="81"/>
      <c r="N62" s="82">
        <f t="shared" si="2"/>
        <v>0</v>
      </c>
      <c r="O62" s="70">
        <f t="shared" si="9"/>
        <v>0</v>
      </c>
    </row>
    <row r="63" spans="2:15" ht="8.25" customHeight="1" thickBot="1">
      <c r="B63" s="83"/>
      <c r="C63" s="84"/>
      <c r="D63" s="85"/>
      <c r="E63" s="84"/>
      <c r="F63" s="86"/>
      <c r="G63" s="87"/>
      <c r="H63" s="88"/>
      <c r="I63" s="89"/>
      <c r="J63" s="86"/>
      <c r="K63" s="90"/>
      <c r="L63" s="88"/>
      <c r="M63" s="89"/>
      <c r="N63" s="91"/>
      <c r="O63" s="92"/>
    </row>
    <row r="64" spans="2:19" ht="15">
      <c r="B64" s="93" t="s">
        <v>42</v>
      </c>
      <c r="C64" s="23"/>
      <c r="D64" s="23"/>
      <c r="E64" s="23"/>
      <c r="F64" s="94"/>
      <c r="G64" s="95"/>
      <c r="H64" s="96">
        <f>SUM(H54:H60,H53)</f>
        <v>200.55113000000006</v>
      </c>
      <c r="I64" s="97"/>
      <c r="J64" s="98"/>
      <c r="K64" s="98"/>
      <c r="L64" s="192">
        <f>SUM(L54:L60,L53)</f>
        <v>204.67620500000004</v>
      </c>
      <c r="M64" s="99"/>
      <c r="N64" s="100">
        <f>L64-H64</f>
        <v>4.125074999999981</v>
      </c>
      <c r="O64" s="101">
        <f>IF((H64)=0,"",(N64/H64))</f>
        <v>0.02056869487596495</v>
      </c>
      <c r="S64" s="74"/>
    </row>
    <row r="65" spans="2:19" ht="15">
      <c r="B65" s="102" t="s">
        <v>43</v>
      </c>
      <c r="C65" s="23"/>
      <c r="D65" s="23"/>
      <c r="E65" s="23"/>
      <c r="F65" s="103">
        <v>0.13</v>
      </c>
      <c r="G65" s="104"/>
      <c r="H65" s="105">
        <f>H64*F65</f>
        <v>26.071646900000008</v>
      </c>
      <c r="I65" s="106"/>
      <c r="J65" s="107">
        <v>0.13</v>
      </c>
      <c r="K65" s="106"/>
      <c r="L65" s="108">
        <f>L64*J65</f>
        <v>26.607906650000007</v>
      </c>
      <c r="M65" s="109"/>
      <c r="N65" s="110">
        <f t="shared" si="2"/>
        <v>0.5362597499999993</v>
      </c>
      <c r="O65" s="111">
        <f t="shared" si="9"/>
        <v>0.02056869487596501</v>
      </c>
      <c r="S65" s="74"/>
    </row>
    <row r="66" spans="2:19" ht="15">
      <c r="B66" s="112" t="s">
        <v>44</v>
      </c>
      <c r="C66" s="23"/>
      <c r="D66" s="23"/>
      <c r="E66" s="23"/>
      <c r="F66" s="113"/>
      <c r="G66" s="104"/>
      <c r="H66" s="105">
        <f>H64+H65</f>
        <v>226.62277690000008</v>
      </c>
      <c r="I66" s="106"/>
      <c r="J66" s="106"/>
      <c r="K66" s="106"/>
      <c r="L66" s="108">
        <f>L64+L65</f>
        <v>231.28411165000006</v>
      </c>
      <c r="M66" s="109"/>
      <c r="N66" s="110">
        <f t="shared" si="2"/>
        <v>4.66133474999998</v>
      </c>
      <c r="O66" s="111">
        <f t="shared" si="9"/>
        <v>0.020568694875964955</v>
      </c>
      <c r="S66" s="74"/>
    </row>
    <row r="67" spans="2:15" ht="15.75" customHeight="1">
      <c r="B67" s="333" t="s">
        <v>45</v>
      </c>
      <c r="C67" s="333"/>
      <c r="D67" s="333"/>
      <c r="E67" s="23"/>
      <c r="F67" s="113"/>
      <c r="G67" s="104"/>
      <c r="H67" s="263">
        <f>ROUND(-H66*10%,2)</f>
        <v>-22.66</v>
      </c>
      <c r="I67" s="106"/>
      <c r="J67" s="106"/>
      <c r="K67" s="106"/>
      <c r="L67" s="264">
        <f>ROUND(-L66*10%,2)</f>
        <v>-23.13</v>
      </c>
      <c r="M67" s="109"/>
      <c r="N67" s="265">
        <f t="shared" si="2"/>
        <v>-0.46999999999999886</v>
      </c>
      <c r="O67" s="117">
        <f t="shared" si="9"/>
        <v>0.020741394527802246</v>
      </c>
    </row>
    <row r="68" spans="2:15" ht="15.75" thickBot="1">
      <c r="B68" s="334" t="s">
        <v>46</v>
      </c>
      <c r="C68" s="334"/>
      <c r="D68" s="334"/>
      <c r="E68" s="118"/>
      <c r="F68" s="119"/>
      <c r="G68" s="120"/>
      <c r="H68" s="121">
        <f>H66+H67</f>
        <v>203.96277690000008</v>
      </c>
      <c r="I68" s="122"/>
      <c r="J68" s="122"/>
      <c r="K68" s="122"/>
      <c r="L68" s="123">
        <f>L66+L67</f>
        <v>208.15411165000006</v>
      </c>
      <c r="M68" s="124"/>
      <c r="N68" s="125">
        <f t="shared" si="2"/>
        <v>4.191334749999982</v>
      </c>
      <c r="O68" s="126">
        <f t="shared" si="9"/>
        <v>0.020549508168615154</v>
      </c>
    </row>
    <row r="69" spans="2:15" s="75" customFormat="1" ht="8.25" customHeight="1" thickBot="1">
      <c r="B69" s="127"/>
      <c r="C69" s="128"/>
      <c r="D69" s="129"/>
      <c r="E69" s="128"/>
      <c r="F69" s="86"/>
      <c r="G69" s="130"/>
      <c r="H69" s="88"/>
      <c r="I69" s="131"/>
      <c r="J69" s="86"/>
      <c r="K69" s="132"/>
      <c r="L69" s="88"/>
      <c r="M69" s="131"/>
      <c r="N69" s="133"/>
      <c r="O69" s="92"/>
    </row>
    <row r="70" spans="2:15" s="75" customFormat="1" ht="12.75">
      <c r="B70" s="134" t="s">
        <v>47</v>
      </c>
      <c r="C70" s="77"/>
      <c r="D70" s="77"/>
      <c r="E70" s="77"/>
      <c r="F70" s="135"/>
      <c r="G70" s="136"/>
      <c r="H70" s="137">
        <f>SUM(H61:H62,H53,H54:H57)</f>
        <v>198.87113000000002</v>
      </c>
      <c r="I70" s="138"/>
      <c r="J70" s="139"/>
      <c r="K70" s="139"/>
      <c r="L70" s="191">
        <f>SUM(L61:L62,L53,L54:L57)</f>
        <v>202.996205</v>
      </c>
      <c r="M70" s="140"/>
      <c r="N70" s="141">
        <f>L70-H70</f>
        <v>4.125074999999981</v>
      </c>
      <c r="O70" s="101">
        <f>IF((H70)=0,"",(N70/H70))</f>
        <v>0.02074245266268654</v>
      </c>
    </row>
    <row r="71" spans="2:15" s="75" customFormat="1" ht="12.75">
      <c r="B71" s="142" t="s">
        <v>43</v>
      </c>
      <c r="C71" s="77"/>
      <c r="D71" s="77"/>
      <c r="E71" s="77"/>
      <c r="F71" s="143">
        <v>0.13</v>
      </c>
      <c r="G71" s="136"/>
      <c r="H71" s="144">
        <f>H70*F71</f>
        <v>25.853246900000002</v>
      </c>
      <c r="I71" s="145"/>
      <c r="J71" s="146">
        <v>0.13</v>
      </c>
      <c r="K71" s="147"/>
      <c r="L71" s="148">
        <f>L70*J71</f>
        <v>26.38950665</v>
      </c>
      <c r="M71" s="149"/>
      <c r="N71" s="150">
        <f>L71-H71</f>
        <v>0.5362597499999993</v>
      </c>
      <c r="O71" s="111">
        <f>IF((H71)=0,"",(N71/H71))</f>
        <v>0.020742452662686605</v>
      </c>
    </row>
    <row r="72" spans="2:15" s="75" customFormat="1" ht="12.75">
      <c r="B72" s="151" t="s">
        <v>44</v>
      </c>
      <c r="C72" s="77"/>
      <c r="D72" s="77"/>
      <c r="E72" s="77"/>
      <c r="F72" s="152"/>
      <c r="G72" s="153"/>
      <c r="H72" s="144">
        <f>H70+H71</f>
        <v>224.72437690000004</v>
      </c>
      <c r="I72" s="145"/>
      <c r="J72" s="145"/>
      <c r="K72" s="145"/>
      <c r="L72" s="148">
        <f>L70+L71</f>
        <v>229.38571165000002</v>
      </c>
      <c r="M72" s="149"/>
      <c r="N72" s="150">
        <f>L72-H72</f>
        <v>4.66133474999998</v>
      </c>
      <c r="O72" s="111">
        <f>IF((H72)=0,"",(N72/H72))</f>
        <v>0.020742452662686546</v>
      </c>
    </row>
    <row r="73" spans="2:15" s="75" customFormat="1" ht="15.75" customHeight="1">
      <c r="B73" s="335" t="s">
        <v>45</v>
      </c>
      <c r="C73" s="335"/>
      <c r="D73" s="335"/>
      <c r="E73" s="77"/>
      <c r="F73" s="152"/>
      <c r="G73" s="153"/>
      <c r="H73" s="256">
        <f>ROUND(-H72*10%,2)</f>
        <v>-22.47</v>
      </c>
      <c r="I73" s="145"/>
      <c r="J73" s="145"/>
      <c r="K73" s="145"/>
      <c r="L73" s="257">
        <f>ROUND(-L72*10%,2)</f>
        <v>-22.94</v>
      </c>
      <c r="M73" s="149"/>
      <c r="N73" s="258">
        <f>L73-H73</f>
        <v>-0.4700000000000024</v>
      </c>
      <c r="O73" s="117">
        <f>IF((H73)=0,"",(N73/H73))</f>
        <v>0.020916777926123828</v>
      </c>
    </row>
    <row r="74" spans="2:15" s="75" customFormat="1" ht="13.5" thickBot="1">
      <c r="B74" s="326" t="s">
        <v>48</v>
      </c>
      <c r="C74" s="326"/>
      <c r="D74" s="326"/>
      <c r="E74" s="157"/>
      <c r="F74" s="158"/>
      <c r="G74" s="159"/>
      <c r="H74" s="160">
        <f>SUM(H72:H73)</f>
        <v>202.25437690000004</v>
      </c>
      <c r="I74" s="161"/>
      <c r="J74" s="161"/>
      <c r="K74" s="161"/>
      <c r="L74" s="162">
        <f>SUM(L72:L73)</f>
        <v>206.44571165000002</v>
      </c>
      <c r="M74" s="163"/>
      <c r="N74" s="164">
        <f>L74-H74</f>
        <v>4.191334749999982</v>
      </c>
      <c r="O74" s="165">
        <f>IF((H74)=0,"",(N74/H74))</f>
        <v>0.02072308552349544</v>
      </c>
    </row>
    <row r="75" spans="2:15" s="75" customFormat="1" ht="8.25" customHeight="1" thickBot="1">
      <c r="B75" s="127"/>
      <c r="C75" s="128"/>
      <c r="D75" s="129"/>
      <c r="E75" s="128"/>
      <c r="F75" s="166"/>
      <c r="G75" s="167"/>
      <c r="H75" s="168"/>
      <c r="I75" s="169"/>
      <c r="J75" s="166"/>
      <c r="K75" s="130"/>
      <c r="L75" s="170"/>
      <c r="M75" s="131"/>
      <c r="N75" s="171"/>
      <c r="O75" s="92"/>
    </row>
    <row r="76" ht="10.5" customHeight="1">
      <c r="L76" s="74"/>
    </row>
    <row r="77" spans="2:10" ht="15">
      <c r="B77" s="14" t="s">
        <v>49</v>
      </c>
      <c r="F77" s="172">
        <v>0.0335</v>
      </c>
      <c r="J77" s="172">
        <v>0.0335</v>
      </c>
    </row>
    <row r="78" ht="10.5" customHeight="1"/>
    <row r="79" ht="15">
      <c r="A79" s="173" t="s">
        <v>50</v>
      </c>
    </row>
    <row r="80" ht="10.5" customHeight="1"/>
    <row r="81" ht="15">
      <c r="A81" s="8" t="s">
        <v>51</v>
      </c>
    </row>
    <row r="82" ht="15">
      <c r="A82" s="8" t="s">
        <v>52</v>
      </c>
    </row>
    <row r="84" ht="15">
      <c r="A84" s="13" t="s">
        <v>53</v>
      </c>
    </row>
    <row r="85" ht="15">
      <c r="A85" s="13" t="s">
        <v>54</v>
      </c>
    </row>
    <row r="87" ht="15">
      <c r="A87" s="8" t="s">
        <v>55</v>
      </c>
    </row>
    <row r="88" ht="15">
      <c r="A88" s="8" t="s">
        <v>56</v>
      </c>
    </row>
    <row r="89" ht="15">
      <c r="A89" s="8" t="s">
        <v>57</v>
      </c>
    </row>
    <row r="90" ht="15">
      <c r="A90" s="8" t="s">
        <v>58</v>
      </c>
    </row>
    <row r="91" ht="15">
      <c r="A91" s="8" t="s">
        <v>59</v>
      </c>
    </row>
    <row r="93" spans="1:2" ht="15">
      <c r="A93" s="174"/>
      <c r="B93" s="8" t="s">
        <v>60</v>
      </c>
    </row>
  </sheetData>
  <sheetProtection/>
  <mergeCells count="21">
    <mergeCell ref="N1:O1"/>
    <mergeCell ref="N2:O2"/>
    <mergeCell ref="N6:O6"/>
    <mergeCell ref="N7:O7"/>
    <mergeCell ref="A3:K3"/>
    <mergeCell ref="B10:O10"/>
    <mergeCell ref="B11:O11"/>
    <mergeCell ref="D14:O14"/>
    <mergeCell ref="F20:H20"/>
    <mergeCell ref="J20:L20"/>
    <mergeCell ref="N20:O20"/>
    <mergeCell ref="N3:O3"/>
    <mergeCell ref="N4:O4"/>
    <mergeCell ref="N5:O5"/>
    <mergeCell ref="B74:D74"/>
    <mergeCell ref="D21:D22"/>
    <mergeCell ref="N21:N22"/>
    <mergeCell ref="O21:O22"/>
    <mergeCell ref="B67:D67"/>
    <mergeCell ref="B68:D68"/>
    <mergeCell ref="B73:D73"/>
  </mergeCells>
  <dataValidations count="4">
    <dataValidation type="list" allowBlank="1" showInputMessage="1" showErrorMessage="1" sqref="D16">
      <formula1>"TOU, non-TOU"</formula1>
    </dataValidation>
    <dataValidation type="list" allowBlank="1" showInputMessage="1" showErrorMessage="1" sqref="E75 E69 E61:E62">
      <formula1>'Res (1,500kWh)'!#REF!</formula1>
    </dataValidation>
    <dataValidation type="list" allowBlank="1" showInputMessage="1" showErrorMessage="1" prompt="Select Charge Unit - monthly, per kWh, per kW" sqref="D51:D52 D69 D75 D54:D63 D42:D49 D23:D40">
      <formula1>"Monthly, per kWh, per kW"</formula1>
    </dataValidation>
    <dataValidation type="list" allowBlank="1" showInputMessage="1" showErrorMessage="1" sqref="E51:E52 E54:E60 E63 E42:E49 E23:E40">
      <formula1>'Res (1,500kWh)'!#REF!</formula1>
    </dataValidation>
  </dataValidations>
  <printOptions/>
  <pageMargins left="0.7" right="0.7" top="0.75" bottom="0.75" header="0.3" footer="0.3"/>
  <pageSetup fitToHeight="0" fitToWidth="1" horizontalDpi="600" verticalDpi="600" orientation="portrait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Cambridge and North Dumfries Hydro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Colleen Calhoun</dc:creator>
  <cp:keywords/>
  <dc:description/>
  <cp:lastModifiedBy>Grant Brooker</cp:lastModifiedBy>
  <cp:lastPrinted>2014-10-11T12:49:10Z</cp:lastPrinted>
  <dcterms:created xsi:type="dcterms:W3CDTF">2013-08-28T15:11:04Z</dcterms:created>
  <dcterms:modified xsi:type="dcterms:W3CDTF">2014-10-11T13:25:39Z</dcterms:modified>
  <cp:category/>
  <cp:version/>
  <cp:contentType/>
  <cp:contentStatus/>
</cp:coreProperties>
</file>