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0" yWindow="60" windowWidth="19320" windowHeight="9210"/>
  </bookViews>
  <sheets>
    <sheet name="Master" sheetId="1" r:id="rId1"/>
  </sheets>
  <calcPr calcId="145621"/>
</workbook>
</file>

<file path=xl/calcChain.xml><?xml version="1.0" encoding="utf-8"?>
<calcChain xmlns="http://schemas.openxmlformats.org/spreadsheetml/2006/main">
  <c r="D27" i="1" l="1"/>
  <c r="D13" i="1"/>
  <c r="F4" i="1" l="1"/>
  <c r="F3" i="1"/>
  <c r="I30" i="1" l="1"/>
  <c r="K16" i="1"/>
  <c r="I37" i="1"/>
  <c r="K23" i="1"/>
  <c r="O2" i="1"/>
  <c r="H40" i="1" l="1"/>
  <c r="H39" i="1"/>
  <c r="H38" i="1"/>
  <c r="J26" i="1"/>
  <c r="J25" i="1"/>
  <c r="J24" i="1"/>
  <c r="C13" i="1" l="1"/>
  <c r="K12" i="1" l="1"/>
  <c r="K11" i="1"/>
  <c r="K10" i="1"/>
  <c r="K9" i="1"/>
  <c r="K8" i="1"/>
  <c r="K7" i="1"/>
  <c r="K6" i="1"/>
  <c r="K5" i="1"/>
  <c r="K4" i="1"/>
  <c r="K3" i="1"/>
  <c r="F13" i="1"/>
  <c r="E11" i="1" l="1"/>
  <c r="J11" i="1" s="1"/>
  <c r="C27" i="1"/>
  <c r="G11" i="1" l="1"/>
  <c r="I11" i="1" s="1"/>
  <c r="H11" i="1" l="1"/>
  <c r="L11" i="1" s="1"/>
  <c r="D41" i="1"/>
  <c r="M11" i="1" l="1"/>
  <c r="O11" i="1" s="1"/>
  <c r="H27" i="1"/>
  <c r="E12" i="1"/>
  <c r="J12" i="1" s="1"/>
  <c r="E10" i="1"/>
  <c r="J10" i="1" s="1"/>
  <c r="E9" i="1"/>
  <c r="J9" i="1" s="1"/>
  <c r="E8" i="1"/>
  <c r="J8" i="1" s="1"/>
  <c r="E7" i="1"/>
  <c r="J7" i="1" s="1"/>
  <c r="E6" i="1"/>
  <c r="J6" i="1" s="1"/>
  <c r="E5" i="1"/>
  <c r="J5" i="1" s="1"/>
  <c r="E4" i="1"/>
  <c r="J4" i="1" s="1"/>
  <c r="E3" i="1"/>
  <c r="J3" i="1" s="1"/>
  <c r="C41" i="1"/>
  <c r="E25" i="1"/>
  <c r="F25" i="1" s="1"/>
  <c r="G4" i="1"/>
  <c r="E32" i="1" l="1"/>
  <c r="F32" i="1" s="1"/>
  <c r="G32" i="1" s="1"/>
  <c r="I32" i="1" s="1"/>
  <c r="H4" i="1"/>
  <c r="I4" i="1"/>
  <c r="E13" i="1"/>
  <c r="E31" i="1"/>
  <c r="F31" i="1" s="1"/>
  <c r="G31" i="1" s="1"/>
  <c r="I31" i="1" s="1"/>
  <c r="E37" i="1"/>
  <c r="F37" i="1" s="1"/>
  <c r="E33" i="1"/>
  <c r="F33" i="1" s="1"/>
  <c r="G33" i="1" s="1"/>
  <c r="I33" i="1" s="1"/>
  <c r="E39" i="1"/>
  <c r="F39" i="1" s="1"/>
  <c r="G39" i="1" s="1"/>
  <c r="I39" i="1" s="1"/>
  <c r="E35" i="1"/>
  <c r="F35" i="1" s="1"/>
  <c r="G35" i="1" s="1"/>
  <c r="I35" i="1" s="1"/>
  <c r="E40" i="1"/>
  <c r="F40" i="1" s="1"/>
  <c r="G40" i="1" s="1"/>
  <c r="I40" i="1" s="1"/>
  <c r="E38" i="1"/>
  <c r="F38" i="1" s="1"/>
  <c r="G38" i="1" s="1"/>
  <c r="I38" i="1" s="1"/>
  <c r="E36" i="1"/>
  <c r="F36" i="1" s="1"/>
  <c r="G36" i="1" s="1"/>
  <c r="I36" i="1" s="1"/>
  <c r="E34" i="1"/>
  <c r="F34" i="1" s="1"/>
  <c r="G34" i="1" s="1"/>
  <c r="I34" i="1" s="1"/>
  <c r="G25" i="1"/>
  <c r="H25" i="1" s="1"/>
  <c r="I25" i="1" s="1"/>
  <c r="K25" i="1" s="1"/>
  <c r="G3" i="1"/>
  <c r="G7" i="1"/>
  <c r="I7" i="1" s="1"/>
  <c r="E18" i="1"/>
  <c r="E20" i="1"/>
  <c r="E22" i="1"/>
  <c r="E24" i="1"/>
  <c r="E26" i="1"/>
  <c r="E17" i="1"/>
  <c r="E19" i="1"/>
  <c r="E21" i="1"/>
  <c r="E23" i="1"/>
  <c r="G12" i="1"/>
  <c r="G9" i="1"/>
  <c r="G5" i="1"/>
  <c r="G10" i="1"/>
  <c r="G8" i="1"/>
  <c r="G6" i="1"/>
  <c r="L4" i="1" l="1"/>
  <c r="M4" i="1" s="1"/>
  <c r="O4" i="1" s="1"/>
  <c r="H3" i="1"/>
  <c r="I3" i="1"/>
  <c r="H10" i="1"/>
  <c r="I10" i="1"/>
  <c r="H5" i="1"/>
  <c r="I5" i="1"/>
  <c r="H7" i="1"/>
  <c r="H9" i="1"/>
  <c r="I9" i="1"/>
  <c r="H6" i="1"/>
  <c r="I6" i="1"/>
  <c r="H8" i="1"/>
  <c r="I8" i="1"/>
  <c r="H12" i="1"/>
  <c r="I12" i="1"/>
  <c r="F17" i="1"/>
  <c r="G17" i="1"/>
  <c r="G13" i="1"/>
  <c r="E41" i="1"/>
  <c r="G24" i="1"/>
  <c r="F24" i="1"/>
  <c r="G20" i="1"/>
  <c r="F20" i="1"/>
  <c r="F23" i="1"/>
  <c r="G23" i="1"/>
  <c r="F19" i="1"/>
  <c r="G19" i="1"/>
  <c r="G26" i="1"/>
  <c r="F26" i="1"/>
  <c r="G22" i="1"/>
  <c r="F22" i="1"/>
  <c r="G18" i="1"/>
  <c r="F18" i="1"/>
  <c r="F21" i="1"/>
  <c r="G21" i="1"/>
  <c r="E27" i="1"/>
  <c r="L12" i="1" l="1"/>
  <c r="M12" i="1" s="1"/>
  <c r="O12" i="1" s="1"/>
  <c r="L6" i="1"/>
  <c r="M6" i="1" s="1"/>
  <c r="O6" i="1" s="1"/>
  <c r="L7" i="1"/>
  <c r="M7" i="1" s="1"/>
  <c r="O7" i="1" s="1"/>
  <c r="L10" i="1"/>
  <c r="M10" i="1" s="1"/>
  <c r="O10" i="1" s="1"/>
  <c r="L8" i="1"/>
  <c r="M8" i="1" s="1"/>
  <c r="O8" i="1" s="1"/>
  <c r="L9" i="1"/>
  <c r="M9" i="1" s="1"/>
  <c r="O9" i="1" s="1"/>
  <c r="L5" i="1"/>
  <c r="M5" i="1" s="1"/>
  <c r="O5" i="1" s="1"/>
  <c r="L3" i="1"/>
  <c r="H17" i="1"/>
  <c r="I17" i="1" s="1"/>
  <c r="K17" i="1" s="1"/>
  <c r="H18" i="1"/>
  <c r="I18" i="1" s="1"/>
  <c r="H22" i="1"/>
  <c r="I22" i="1" s="1"/>
  <c r="K22" i="1" s="1"/>
  <c r="H26" i="1"/>
  <c r="I26" i="1" s="1"/>
  <c r="K26" i="1" s="1"/>
  <c r="H20" i="1"/>
  <c r="I20" i="1" s="1"/>
  <c r="K20" i="1" s="1"/>
  <c r="H24" i="1"/>
  <c r="I24" i="1" s="1"/>
  <c r="K24" i="1" s="1"/>
  <c r="H21" i="1"/>
  <c r="I21" i="1" s="1"/>
  <c r="K21" i="1" s="1"/>
  <c r="H19" i="1"/>
  <c r="I19" i="1" s="1"/>
  <c r="K19" i="1" s="1"/>
  <c r="H23" i="1"/>
  <c r="K18" i="1" l="1"/>
  <c r="M3" i="1"/>
  <c r="O3" i="1" s="1"/>
  <c r="L13" i="1"/>
</calcChain>
</file>

<file path=xl/sharedStrings.xml><?xml version="1.0" encoding="utf-8"?>
<sst xmlns="http://schemas.openxmlformats.org/spreadsheetml/2006/main" count="102" uniqueCount="41">
  <si>
    <t>Rate Class</t>
  </si>
  <si>
    <t>Residential</t>
  </si>
  <si>
    <t>Large Use - Regular</t>
  </si>
  <si>
    <t>Large Use - 3TS</t>
  </si>
  <si>
    <t>Sentinel Lighting</t>
  </si>
  <si>
    <t>Street Lighting</t>
  </si>
  <si>
    <t>Total</t>
  </si>
  <si>
    <t>% kWh</t>
  </si>
  <si>
    <t>$/kWh</t>
  </si>
  <si>
    <t>$/kW</t>
  </si>
  <si>
    <t>Metered kW
(include WMP)</t>
  </si>
  <si>
    <t>Total $</t>
  </si>
  <si>
    <t>Rate Rider inc WMP</t>
  </si>
  <si>
    <t>Rate Rider excl WMP</t>
  </si>
  <si>
    <t>Connection Count</t>
  </si>
  <si>
    <t>Rate Rider for Deferral/Variance Acount Disposition excluding WMP</t>
  </si>
  <si>
    <t>Rate Rider for Global Adjustment Sub-Account Disposition applicable only for Non-RPP Customers (non WMP)</t>
  </si>
  <si>
    <t>GA Rate Rider Non RPP, excl WMP</t>
  </si>
  <si>
    <t>1584 (based on % kWh)</t>
  </si>
  <si>
    <t>1586 (based on % kWh)</t>
  </si>
  <si>
    <t>1580 (based on % kWh)</t>
  </si>
  <si>
    <t>1588 (ex GA) (based on % kWh)</t>
  </si>
  <si>
    <t>Intermediate</t>
  </si>
  <si>
    <t>GS &gt; 50 kW</t>
  </si>
  <si>
    <t>GS &lt; 50 kW</t>
  </si>
  <si>
    <t>USL</t>
  </si>
  <si>
    <t>Large Use - FA</t>
  </si>
  <si>
    <t>1 year</t>
  </si>
  <si>
    <t>1595 (based on share proportion)</t>
  </si>
  <si>
    <t>1589(GA)
(based on % kWh)</t>
  </si>
  <si>
    <t>1595 Recovery Share Proportion</t>
  </si>
  <si>
    <t>1551 (% of Accounts)</t>
  </si>
  <si>
    <t>1551 (based on % of Accounts)</t>
  </si>
  <si>
    <t>Rate Rider for Deferral/Variance Acount Disposition (All)</t>
  </si>
  <si>
    <t>Metered kWh (include WMP)</t>
  </si>
  <si>
    <t>Metered kWh (exclude WMP)</t>
  </si>
  <si>
    <t>Metered kW (exclude WMP)</t>
  </si>
  <si>
    <t>Metered non-RPP kWh (exclude WMP)</t>
  </si>
  <si>
    <t>Metered non-RPP kW (exclude WMP)</t>
  </si>
  <si>
    <t>9 months (Aug -April)</t>
  </si>
  <si>
    <t>Connection Counts for Sentinel Lights correct at 645.  The rate model has the value incorrectly hard coded at 606.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</si>
</sst>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#,##0_ ;\-#,##0\ "/>
    <numFmt numFmtId="166" formatCode="0.0000"/>
    <numFmt numFmtId="167" formatCode="_-* #,##0.0000_-;\-* #,##0.0000_-;_-* &quot;-&quot;??_-;_-@_-"/>
    <numFmt numFmtId="168" formatCode="&quot;$&quot;#,##0_);\(&quot;$&quot;#,##0\)"/>
    <numFmt numFmtId="169" formatCode="_(* #,##0.0_);_(* \(#,##0.0\);_(* &quot;-&quot;??_);_(@_)"/>
    <numFmt numFmtId="170" formatCode="#,##0.0"/>
    <numFmt numFmtId="171" formatCode="mm/dd/yyyy"/>
    <numFmt numFmtId="172" formatCode="0\-0"/>
    <numFmt numFmtId="173" formatCode="##\-#"/>
    <numFmt numFmtId="174" formatCode="_(* #,##0_);_(* \(#,##0\);_(* &quot;-&quot;??_);_(@_)"/>
    <numFmt numFmtId="175" formatCode="&quot;£ &quot;#,##0.00;[Red]\-&quot;£ &quot;#,##0.00"/>
    <numFmt numFmtId="176" formatCode="_(* #,##0.00_);_(* \(#,##0.00\);_(* &quot;-&quot;??_);_(@_)"/>
    <numFmt numFmtId="177" formatCode="_-* #,##0.00000_-;\-* #,##0.00000_-;_-* &quot;-&quot;??_-;_-@_-"/>
  </numFmts>
  <fonts count="2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2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169" fontId="9" fillId="0" borderId="0"/>
    <xf numFmtId="170" fontId="9" fillId="0" borderId="0"/>
    <xf numFmtId="171" fontId="9" fillId="0" borderId="0"/>
    <xf numFmtId="172" fontId="9" fillId="0" borderId="0"/>
    <xf numFmtId="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4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38" fontId="10" fillId="34" borderId="0" applyNumberFormat="0" applyBorder="0" applyAlignment="0" applyProtection="0"/>
    <xf numFmtId="10" fontId="10" fillId="35" borderId="1" applyNumberFormat="0" applyBorder="0" applyAlignment="0" applyProtection="0"/>
    <xf numFmtId="173" fontId="9" fillId="0" borderId="0"/>
    <xf numFmtId="174" fontId="9" fillId="0" borderId="0"/>
    <xf numFmtId="175" fontId="9" fillId="0" borderId="0"/>
    <xf numFmtId="10" fontId="9" fillId="0" borderId="0" applyFont="0" applyFill="0" applyBorder="0" applyAlignment="0" applyProtection="0"/>
    <xf numFmtId="169" fontId="9" fillId="0" borderId="0"/>
    <xf numFmtId="173" fontId="9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9" fillId="0" borderId="0"/>
    <xf numFmtId="173" fontId="9" fillId="0" borderId="0"/>
    <xf numFmtId="0" fontId="9" fillId="0" borderId="0"/>
    <xf numFmtId="169" fontId="9" fillId="0" borderId="0"/>
    <xf numFmtId="171" fontId="9" fillId="0" borderId="0"/>
    <xf numFmtId="173" fontId="9" fillId="0" borderId="0"/>
    <xf numFmtId="169" fontId="9" fillId="0" borderId="0"/>
    <xf numFmtId="173" fontId="9" fillId="0" borderId="0"/>
    <xf numFmtId="0" fontId="11" fillId="13" borderId="0" applyNumberFormat="0" applyBorder="0" applyAlignment="0" applyProtection="0"/>
    <xf numFmtId="44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5" fillId="4" borderId="0" applyNumberFormat="0" applyBorder="0" applyAlignment="0" applyProtection="0"/>
    <xf numFmtId="0" fontId="19" fillId="7" borderId="15" applyNumberFormat="0" applyAlignment="0" applyProtection="0"/>
    <xf numFmtId="0" fontId="21" fillId="8" borderId="18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8" fillId="0" borderId="14" applyNumberFormat="0" applyFill="0" applyAlignment="0" applyProtection="0"/>
    <xf numFmtId="0" fontId="8" fillId="0" borderId="0" applyNumberFormat="0" applyFill="0" applyBorder="0" applyAlignment="0" applyProtection="0"/>
    <xf numFmtId="0" fontId="17" fillId="6" borderId="15" applyNumberFormat="0" applyAlignment="0" applyProtection="0"/>
    <xf numFmtId="0" fontId="20" fillId="0" borderId="17" applyNumberFormat="0" applyFill="0" applyAlignment="0" applyProtection="0"/>
    <xf numFmtId="0" fontId="16" fillId="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9" borderId="19" applyNumberFormat="0" applyFont="0" applyAlignment="0" applyProtection="0"/>
    <xf numFmtId="0" fontId="18" fillId="7" borderId="16" applyNumberFormat="0" applyAlignment="0" applyProtection="0"/>
    <xf numFmtId="9" fontId="6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7" fillId="0" borderId="20" applyNumberFormat="0" applyFill="0" applyAlignment="0" applyProtection="0"/>
    <xf numFmtId="0" fontId="22" fillId="0" borderId="0" applyNumberFormat="0" applyFill="0" applyBorder="0" applyAlignment="0" applyProtection="0"/>
    <xf numFmtId="169" fontId="9" fillId="0" borderId="0"/>
    <xf numFmtId="173" fontId="9" fillId="0" borderId="0"/>
    <xf numFmtId="169" fontId="9" fillId="0" borderId="0"/>
    <xf numFmtId="173" fontId="9" fillId="0" borderId="0"/>
    <xf numFmtId="169" fontId="9" fillId="0" borderId="0"/>
    <xf numFmtId="173" fontId="9" fillId="0" borderId="0"/>
    <xf numFmtId="169" fontId="9" fillId="0" borderId="0"/>
    <xf numFmtId="173" fontId="9" fillId="0" borderId="0"/>
    <xf numFmtId="169" fontId="9" fillId="0" borderId="0"/>
    <xf numFmtId="173" fontId="9" fillId="0" borderId="0"/>
    <xf numFmtId="169" fontId="9" fillId="0" borderId="0"/>
    <xf numFmtId="173" fontId="9" fillId="0" borderId="0"/>
    <xf numFmtId="169" fontId="9" fillId="0" borderId="0"/>
    <xf numFmtId="173" fontId="9" fillId="0" borderId="0"/>
    <xf numFmtId="169" fontId="9" fillId="0" borderId="0"/>
    <xf numFmtId="173" fontId="9" fillId="0" borderId="0"/>
    <xf numFmtId="169" fontId="9" fillId="0" borderId="0"/>
    <xf numFmtId="173" fontId="9" fillId="0" borderId="0"/>
    <xf numFmtId="176" fontId="9" fillId="0" borderId="0" applyFont="0" applyFill="0" applyBorder="0" applyAlignment="0" applyProtection="0"/>
    <xf numFmtId="0" fontId="9" fillId="0" borderId="0"/>
    <xf numFmtId="0" fontId="1" fillId="0" borderId="0"/>
    <xf numFmtId="0" fontId="6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13" borderId="0" applyNumberFormat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6" fillId="0" borderId="0"/>
    <xf numFmtId="0" fontId="24" fillId="0" borderId="0"/>
    <xf numFmtId="44" fontId="24" fillId="0" borderId="0" applyFont="0" applyFill="0" applyBorder="0" applyAlignment="0" applyProtection="0"/>
    <xf numFmtId="0" fontId="24" fillId="0" borderId="0"/>
    <xf numFmtId="0" fontId="6" fillId="0" borderId="0"/>
    <xf numFmtId="9" fontId="24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51">
    <xf numFmtId="0" fontId="0" fillId="0" borderId="0" xfId="0"/>
    <xf numFmtId="164" fontId="0" fillId="0" borderId="0" xfId="2" applyNumberFormat="1" applyFont="1"/>
    <xf numFmtId="165" fontId="0" fillId="0" borderId="0" xfId="1" applyNumberFormat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4" fillId="0" borderId="5" xfId="0" applyFont="1" applyBorder="1"/>
    <xf numFmtId="0" fontId="4" fillId="0" borderId="0" xfId="0" applyFont="1" applyBorder="1"/>
    <xf numFmtId="165" fontId="4" fillId="0" borderId="0" xfId="1" applyNumberFormat="1" applyFont="1" applyBorder="1"/>
    <xf numFmtId="164" fontId="4" fillId="0" borderId="0" xfId="2" applyNumberFormat="1" applyFont="1" applyBorder="1"/>
    <xf numFmtId="10" fontId="4" fillId="0" borderId="6" xfId="2" applyNumberFormat="1" applyFont="1" applyBorder="1"/>
    <xf numFmtId="165" fontId="4" fillId="0" borderId="8" xfId="1" applyNumberFormat="1" applyFont="1" applyBorder="1"/>
    <xf numFmtId="165" fontId="4" fillId="0" borderId="5" xfId="0" applyNumberFormat="1" applyFont="1" applyBorder="1"/>
    <xf numFmtId="0" fontId="4" fillId="2" borderId="6" xfId="0" applyFont="1" applyFill="1" applyBorder="1"/>
    <xf numFmtId="166" fontId="4" fillId="2" borderId="6" xfId="0" applyNumberFormat="1" applyFont="1" applyFill="1" applyBorder="1"/>
    <xf numFmtId="0" fontId="4" fillId="0" borderId="9" xfId="0" applyFont="1" applyBorder="1"/>
    <xf numFmtId="0" fontId="4" fillId="0" borderId="10" xfId="0" applyFont="1" applyBorder="1"/>
    <xf numFmtId="165" fontId="4" fillId="0" borderId="10" xfId="1" applyNumberFormat="1" applyFont="1" applyBorder="1"/>
    <xf numFmtId="164" fontId="4" fillId="0" borderId="10" xfId="0" applyNumberFormat="1" applyFont="1" applyBorder="1"/>
    <xf numFmtId="164" fontId="4" fillId="0" borderId="11" xfId="0" applyNumberFormat="1" applyFont="1" applyBorder="1"/>
    <xf numFmtId="165" fontId="4" fillId="0" borderId="1" xfId="1" applyNumberFormat="1" applyFont="1" applyBorder="1"/>
    <xf numFmtId="165" fontId="4" fillId="0" borderId="9" xfId="0" applyNumberFormat="1" applyFont="1" applyBorder="1"/>
    <xf numFmtId="0" fontId="4" fillId="0" borderId="11" xfId="0" applyFont="1" applyBorder="1"/>
    <xf numFmtId="0" fontId="4" fillId="0" borderId="1" xfId="0" applyFont="1" applyBorder="1"/>
    <xf numFmtId="9" fontId="3" fillId="0" borderId="4" xfId="2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64" fontId="4" fillId="0" borderId="6" xfId="2" applyNumberFormat="1" applyFont="1" applyBorder="1"/>
    <xf numFmtId="0" fontId="3" fillId="2" borderId="7" xfId="0" applyFont="1" applyFill="1" applyBorder="1" applyAlignment="1">
      <alignment horizontal="center" wrapText="1"/>
    </xf>
    <xf numFmtId="0" fontId="4" fillId="2" borderId="8" xfId="0" applyFont="1" applyFill="1" applyBorder="1"/>
    <xf numFmtId="164" fontId="4" fillId="0" borderId="11" xfId="2" applyNumberFormat="1" applyFont="1" applyBorder="1"/>
    <xf numFmtId="0" fontId="2" fillId="0" borderId="0" xfId="0" applyFont="1"/>
    <xf numFmtId="4" fontId="0" fillId="0" borderId="0" xfId="0" applyNumberFormat="1"/>
    <xf numFmtId="167" fontId="0" fillId="0" borderId="0" xfId="1" applyNumberFormat="1" applyFont="1"/>
    <xf numFmtId="43" fontId="4" fillId="0" borderId="9" xfId="1" applyFont="1" applyBorder="1"/>
    <xf numFmtId="0" fontId="2" fillId="0" borderId="0" xfId="0" applyFont="1" applyAlignment="1">
      <alignment wrapText="1"/>
    </xf>
    <xf numFmtId="3" fontId="0" fillId="0" borderId="0" xfId="0" applyNumberFormat="1"/>
    <xf numFmtId="0" fontId="0" fillId="0" borderId="0" xfId="0"/>
    <xf numFmtId="177" fontId="0" fillId="0" borderId="0" xfId="1" applyNumberFormat="1" applyFont="1"/>
    <xf numFmtId="165" fontId="4" fillId="0" borderId="5" xfId="1" applyNumberFormat="1" applyFont="1" applyBorder="1"/>
    <xf numFmtId="165" fontId="4" fillId="0" borderId="9" xfId="1" applyNumberFormat="1" applyFont="1" applyBorder="1"/>
    <xf numFmtId="166" fontId="0" fillId="0" borderId="0" xfId="0" applyNumberFormat="1"/>
    <xf numFmtId="0" fontId="4" fillId="36" borderId="21" xfId="0" applyFont="1" applyFill="1" applyBorder="1" applyAlignment="1">
      <alignment wrapText="1"/>
    </xf>
    <xf numFmtId="0" fontId="3" fillId="36" borderId="22" xfId="0" applyFont="1" applyFill="1" applyBorder="1" applyAlignment="1">
      <alignment horizontal="center" wrapText="1"/>
    </xf>
    <xf numFmtId="0" fontId="4" fillId="36" borderId="22" xfId="0" applyFont="1" applyFill="1" applyBorder="1"/>
    <xf numFmtId="0" fontId="4" fillId="36" borderId="23" xfId="0" applyFont="1" applyFill="1" applyBorder="1"/>
  </cellXfs>
  <cellStyles count="162">
    <cellStyle name="$" xfId="4"/>
    <cellStyle name="$.00" xfId="5"/>
    <cellStyle name="$_9. Rev2Cost_GDPIPI" xfId="25"/>
    <cellStyle name="$_9. Rev2Cost_GDPIPI 2" xfId="95"/>
    <cellStyle name="$_9. Rev2Cost_GDPIPI 3" xfId="89"/>
    <cellStyle name="$_9. Rev2Cost_GDPIPI 4" xfId="83"/>
    <cellStyle name="$_lists" xfId="18"/>
    <cellStyle name="$_lists 2" xfId="93"/>
    <cellStyle name="$_lists 3" xfId="87"/>
    <cellStyle name="$_lists 4" xfId="81"/>
    <cellStyle name="$_lists_4. Current Monthly Fixed Charge" xfId="22"/>
    <cellStyle name="$_Sheet4" xfId="28"/>
    <cellStyle name="$_Sheet4 2" xfId="97"/>
    <cellStyle name="$_Sheet4 3" xfId="91"/>
    <cellStyle name="$_Sheet4 4" xfId="85"/>
    <cellStyle name="$M" xfId="6"/>
    <cellStyle name="$M.00" xfId="7"/>
    <cellStyle name="$M_9. Rev2Cost_GDPIPI" xfId="26"/>
    <cellStyle name="20% - Accent1 2" xfId="34"/>
    <cellStyle name="20% - Accent2 2" xfId="35"/>
    <cellStyle name="20% - Accent3 2" xfId="36"/>
    <cellStyle name="20% - Accent4 2" xfId="37"/>
    <cellStyle name="20% - Accent5 2" xfId="38"/>
    <cellStyle name="20% - Accent6 2" xfId="39"/>
    <cellStyle name="40% - Accent1 2" xfId="40"/>
    <cellStyle name="40% - Accent2 2" xfId="41"/>
    <cellStyle name="40% - Accent3 2" xfId="42"/>
    <cellStyle name="40% - Accent4 2" xfId="43"/>
    <cellStyle name="40% - Accent5 2" xfId="44"/>
    <cellStyle name="40% - Accent6 2" xfId="45"/>
    <cellStyle name="60% - Accent1 2" xfId="46"/>
    <cellStyle name="60% - Accent1 3" xfId="106"/>
    <cellStyle name="60% - Accent1 4" xfId="30"/>
    <cellStyle name="60% - Accent2 2" xfId="47"/>
    <cellStyle name="60% - Accent3 2" xfId="48"/>
    <cellStyle name="60% - Accent4 2" xfId="49"/>
    <cellStyle name="60% - Accent5 2" xfId="50"/>
    <cellStyle name="60% - Accent6 2" xfId="51"/>
    <cellStyle name="Accent1 2" xfId="52"/>
    <cellStyle name="Accent2 2" xfId="53"/>
    <cellStyle name="Accent3 2" xfId="54"/>
    <cellStyle name="Accent4 2" xfId="55"/>
    <cellStyle name="Accent5 2" xfId="56"/>
    <cellStyle name="Accent6 2" xfId="57"/>
    <cellStyle name="Bad 2" xfId="58"/>
    <cellStyle name="Calculation 2" xfId="59"/>
    <cellStyle name="Check Cell 2" xfId="60"/>
    <cellStyle name="Comma" xfId="1" builtinId="3"/>
    <cellStyle name="Comma 2" xfId="61"/>
    <cellStyle name="Comma 3" xfId="62"/>
    <cellStyle name="Comma 4" xfId="99"/>
    <cellStyle name="Comma 5" xfId="104"/>
    <cellStyle name="Comma 6" xfId="20"/>
    <cellStyle name="Comma 7" xfId="147"/>
    <cellStyle name="Comma0" xfId="8"/>
    <cellStyle name="Currency 2" xfId="32"/>
    <cellStyle name="Currency 3" xfId="107"/>
    <cellStyle name="Currency 4" xfId="31"/>
    <cellStyle name="Currency 5" xfId="155"/>
    <cellStyle name="Currency0" xfId="9"/>
    <cellStyle name="Date" xfId="10"/>
    <cellStyle name="Explanatory Text 2" xfId="63"/>
    <cellStyle name="Fixed" xfId="11"/>
    <cellStyle name="Good 2" xfId="64"/>
    <cellStyle name="Grey" xfId="12"/>
    <cellStyle name="Heading 1 2" xfId="65"/>
    <cellStyle name="Heading 2 2" xfId="66"/>
    <cellStyle name="Heading 3 2" xfId="67"/>
    <cellStyle name="Heading 4 2" xfId="68"/>
    <cellStyle name="Input [yellow]" xfId="13"/>
    <cellStyle name="Input 2" xfId="69"/>
    <cellStyle name="Linked Cell 2" xfId="70"/>
    <cellStyle name="M" xfId="14"/>
    <cellStyle name="M.00" xfId="15"/>
    <cellStyle name="M_9. Rev2Cost_GDPIPI" xfId="27"/>
    <cellStyle name="M_9. Rev2Cost_GDPIPI 2" xfId="96"/>
    <cellStyle name="M_9. Rev2Cost_GDPIPI 3" xfId="90"/>
    <cellStyle name="M_9. Rev2Cost_GDPIPI 4" xfId="84"/>
    <cellStyle name="M_lists" xfId="19"/>
    <cellStyle name="M_lists 2" xfId="94"/>
    <cellStyle name="M_lists 3" xfId="88"/>
    <cellStyle name="M_lists 4" xfId="82"/>
    <cellStyle name="M_lists_4. Current Monthly Fixed Charge" xfId="23"/>
    <cellStyle name="M_Sheet4" xfId="29"/>
    <cellStyle name="M_Sheet4 2" xfId="98"/>
    <cellStyle name="M_Sheet4 3" xfId="92"/>
    <cellStyle name="M_Sheet4 4" xfId="86"/>
    <cellStyle name="Neutral 2" xfId="71"/>
    <cellStyle name="Normal" xfId="0" builtinId="0"/>
    <cellStyle name="Normal - Style1" xfId="16"/>
    <cellStyle name="Normal 10" xfId="101"/>
    <cellStyle name="Normal 10 2" xfId="118"/>
    <cellStyle name="Normal 10 3" xfId="126"/>
    <cellStyle name="Normal 10 4" xfId="134"/>
    <cellStyle name="Normal 11" xfId="109"/>
    <cellStyle name="Normal 11 2" xfId="121"/>
    <cellStyle name="Normal 11 3" xfId="129"/>
    <cellStyle name="Normal 11 4" xfId="137"/>
    <cellStyle name="Normal 12" xfId="103"/>
    <cellStyle name="Normal 12 2" xfId="119"/>
    <cellStyle name="Normal 12 3" xfId="127"/>
    <cellStyle name="Normal 12 4" xfId="135"/>
    <cellStyle name="Normal 13" xfId="108"/>
    <cellStyle name="Normal 13 2" xfId="120"/>
    <cellStyle name="Normal 13 3" xfId="128"/>
    <cellStyle name="Normal 13 4" xfId="136"/>
    <cellStyle name="Normal 14" xfId="114"/>
    <cellStyle name="Normal 14 2" xfId="122"/>
    <cellStyle name="Normal 14 3" xfId="130"/>
    <cellStyle name="Normal 14 4" xfId="138"/>
    <cellStyle name="Normal 15" xfId="115"/>
    <cellStyle name="Normal 15 2" xfId="123"/>
    <cellStyle name="Normal 15 3" xfId="131"/>
    <cellStyle name="Normal 15 4" xfId="139"/>
    <cellStyle name="Normal 16" xfId="116"/>
    <cellStyle name="Normal 16 2" xfId="124"/>
    <cellStyle name="Normal 16 3" xfId="132"/>
    <cellStyle name="Normal 16 4" xfId="140"/>
    <cellStyle name="Normal 17" xfId="117"/>
    <cellStyle name="Normal 17 2" xfId="125"/>
    <cellStyle name="Normal 17 3" xfId="133"/>
    <cellStyle name="Normal 17 4" xfId="141"/>
    <cellStyle name="Normal 18" xfId="3"/>
    <cellStyle name="Normal 19" xfId="142"/>
    <cellStyle name="Normal 2" xfId="24"/>
    <cellStyle name="Normal 20" xfId="145"/>
    <cellStyle name="Normal 21" xfId="150"/>
    <cellStyle name="Normal 22" xfId="153"/>
    <cellStyle name="Normal 23" xfId="143"/>
    <cellStyle name="Normal 24" xfId="154"/>
    <cellStyle name="Normal 25" xfId="156"/>
    <cellStyle name="Normal 26" xfId="157"/>
    <cellStyle name="Normal 27" xfId="160"/>
    <cellStyle name="Normal 3" xfId="72"/>
    <cellStyle name="Normal 4" xfId="73"/>
    <cellStyle name="Normal 5" xfId="74"/>
    <cellStyle name="Normal 6" xfId="100"/>
    <cellStyle name="Normal 7" xfId="102"/>
    <cellStyle name="Normal 8" xfId="110"/>
    <cellStyle name="Normal 9" xfId="113"/>
    <cellStyle name="Note 2" xfId="75"/>
    <cellStyle name="Output 2" xfId="76"/>
    <cellStyle name="Percent" xfId="2" builtinId="5"/>
    <cellStyle name="Percent [2]" xfId="17"/>
    <cellStyle name="Percent 10" xfId="144"/>
    <cellStyle name="Percent 11" xfId="149"/>
    <cellStyle name="Percent 12" xfId="151"/>
    <cellStyle name="Percent 13" xfId="152"/>
    <cellStyle name="Percent 14" xfId="158"/>
    <cellStyle name="Percent 15" xfId="161"/>
    <cellStyle name="Percent 16" xfId="159"/>
    <cellStyle name="Percent 2" xfId="33"/>
    <cellStyle name="Percent 3" xfId="77"/>
    <cellStyle name="Percent 4" xfId="105"/>
    <cellStyle name="Percent 5" xfId="111"/>
    <cellStyle name="Percent 6" xfId="112"/>
    <cellStyle name="Percent 7" xfId="21"/>
    <cellStyle name="Percent 8" xfId="146"/>
    <cellStyle name="Percent 9" xfId="148"/>
    <cellStyle name="Title 2" xfId="78"/>
    <cellStyle name="Total 2" xfId="79"/>
    <cellStyle name="Warning Text 2" xfId="8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1"/>
  <sheetViews>
    <sheetView tabSelected="1" zoomScale="80" zoomScaleNormal="80" workbookViewId="0">
      <selection activeCell="K34" sqref="K34"/>
    </sheetView>
  </sheetViews>
  <sheetFormatPr defaultRowHeight="14.25" outlineLevelCol="1" x14ac:dyDescent="0.2"/>
  <cols>
    <col min="1" max="1" width="33.875" customWidth="1"/>
    <col min="2" max="2" width="13.625" customWidth="1" outlineLevel="1"/>
    <col min="3" max="3" width="14.625" customWidth="1" outlineLevel="1"/>
    <col min="4" max="4" width="16.25" customWidth="1" outlineLevel="1"/>
    <col min="5" max="5" width="16.125" customWidth="1" outlineLevel="1"/>
    <col min="6" max="6" width="13.125" customWidth="1" outlineLevel="1"/>
    <col min="7" max="7" width="10.625" customWidth="1"/>
    <col min="8" max="8" width="13.875" customWidth="1"/>
    <col min="9" max="9" width="10.875" customWidth="1"/>
    <col min="10" max="10" width="12.125" customWidth="1"/>
    <col min="11" max="11" width="10.875" style="42" customWidth="1"/>
    <col min="12" max="12" width="10.75" customWidth="1"/>
    <col min="13" max="13" width="10.75" bestFit="1" customWidth="1"/>
    <col min="14" max="14" width="9.125" customWidth="1"/>
    <col min="15" max="15" width="10.625" customWidth="1"/>
  </cols>
  <sheetData>
    <row r="1" spans="1:17" ht="26.25" x14ac:dyDescent="0.25">
      <c r="A1" s="36" t="s">
        <v>33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 t="s">
        <v>27</v>
      </c>
      <c r="N1" s="5"/>
      <c r="O1" s="47" t="s">
        <v>39</v>
      </c>
    </row>
    <row r="2" spans="1:17" s="4" customFormat="1" ht="39" x14ac:dyDescent="0.25">
      <c r="A2" s="6" t="s">
        <v>0</v>
      </c>
      <c r="B2" s="7"/>
      <c r="C2" s="7" t="s">
        <v>34</v>
      </c>
      <c r="D2" s="7" t="s">
        <v>10</v>
      </c>
      <c r="E2" s="7" t="s">
        <v>30</v>
      </c>
      <c r="F2" s="7" t="s">
        <v>31</v>
      </c>
      <c r="G2" s="8" t="s">
        <v>7</v>
      </c>
      <c r="H2" s="9" t="s">
        <v>18</v>
      </c>
      <c r="I2" s="9" t="s">
        <v>19</v>
      </c>
      <c r="J2" s="9" t="s">
        <v>28</v>
      </c>
      <c r="K2" s="6" t="s">
        <v>32</v>
      </c>
      <c r="L2" s="10" t="s">
        <v>11</v>
      </c>
      <c r="M2" s="11" t="s">
        <v>12</v>
      </c>
      <c r="N2" s="6" t="s">
        <v>14</v>
      </c>
      <c r="O2" s="48" t="str">
        <f>M2</f>
        <v>Rate Rider inc WMP</v>
      </c>
    </row>
    <row r="3" spans="1:17" x14ac:dyDescent="0.2">
      <c r="A3" s="12" t="s">
        <v>1</v>
      </c>
      <c r="B3" s="13" t="s">
        <v>8</v>
      </c>
      <c r="C3" s="14">
        <v>614676622</v>
      </c>
      <c r="D3" s="14">
        <v>0</v>
      </c>
      <c r="E3" s="15">
        <f>-352185.583476157/-4024155.1236</f>
        <v>8.7517894479448535E-2</v>
      </c>
      <c r="F3" s="15">
        <f>77629/(77629+7190)</f>
        <v>0.91523125714757303</v>
      </c>
      <c r="G3" s="16">
        <f t="shared" ref="G3:G12" si="0">C3/C$13</f>
        <v>0.25009993625903115</v>
      </c>
      <c r="H3" s="17">
        <f t="shared" ref="H3:I12" si="1">$G3*H$13</f>
        <v>78801.487916495535</v>
      </c>
      <c r="I3" s="17">
        <f t="shared" si="1"/>
        <v>9561.8207630552788</v>
      </c>
      <c r="J3" s="17">
        <f t="shared" ref="J3:J10" si="2">$E3*J$13</f>
        <v>-2981.3845933368939</v>
      </c>
      <c r="K3" s="44">
        <f>F3*K13</f>
        <v>57487.505723953356</v>
      </c>
      <c r="L3" s="18">
        <f>SUM(H3:K3)</f>
        <v>142869.42981016729</v>
      </c>
      <c r="M3" s="19">
        <f>ROUND(L3/C3,4)</f>
        <v>2.0000000000000001E-4</v>
      </c>
      <c r="N3" s="12"/>
      <c r="O3" s="49">
        <f t="shared" ref="O3:O9" si="3">ROUND(M3*12/9,4)</f>
        <v>2.9999999999999997E-4</v>
      </c>
      <c r="Q3" s="46"/>
    </row>
    <row r="4" spans="1:17" x14ac:dyDescent="0.2">
      <c r="A4" s="12" t="s">
        <v>24</v>
      </c>
      <c r="B4" s="13" t="s">
        <v>8</v>
      </c>
      <c r="C4" s="14">
        <v>216652558.39387199</v>
      </c>
      <c r="D4" s="14">
        <v>0</v>
      </c>
      <c r="E4" s="15">
        <f>-292722.94746845/-4024155.1236</f>
        <v>7.2741467085041367E-2</v>
      </c>
      <c r="F4" s="15">
        <f>7190/(77629+7190)</f>
        <v>8.4768742852426929E-2</v>
      </c>
      <c r="G4" s="16">
        <f t="shared" si="0"/>
        <v>8.8151703034288167E-2</v>
      </c>
      <c r="H4" s="17">
        <f t="shared" si="1"/>
        <v>27774.838592043518</v>
      </c>
      <c r="I4" s="17">
        <f t="shared" si="1"/>
        <v>3370.2159104069051</v>
      </c>
      <c r="J4" s="17">
        <f t="shared" si="2"/>
        <v>-2478.0108177190191</v>
      </c>
      <c r="K4" s="44">
        <f>F4*K$13</f>
        <v>5324.4942760466402</v>
      </c>
      <c r="L4" s="18">
        <f>SUM(H4:K4)</f>
        <v>33991.537960778049</v>
      </c>
      <c r="M4" s="19">
        <f>ROUND(L4/C4,4)</f>
        <v>2.0000000000000001E-4</v>
      </c>
      <c r="N4" s="12"/>
      <c r="O4" s="49">
        <f t="shared" si="3"/>
        <v>2.9999999999999997E-4</v>
      </c>
      <c r="Q4" s="46"/>
    </row>
    <row r="5" spans="1:17" x14ac:dyDescent="0.2">
      <c r="A5" s="12" t="s">
        <v>23</v>
      </c>
      <c r="B5" s="13" t="s">
        <v>9</v>
      </c>
      <c r="C5" s="14">
        <v>948723725.72000027</v>
      </c>
      <c r="D5" s="14">
        <v>2452730.2111000009</v>
      </c>
      <c r="E5" s="15">
        <f>-1781858.65077598/-4024155.1236</f>
        <v>0.44279074639198629</v>
      </c>
      <c r="F5" s="15">
        <v>0</v>
      </c>
      <c r="G5" s="16">
        <f t="shared" si="0"/>
        <v>0.38601719154043668</v>
      </c>
      <c r="H5" s="17">
        <f t="shared" si="1"/>
        <v>121626.29671056078</v>
      </c>
      <c r="I5" s="17">
        <f t="shared" si="1"/>
        <v>14758.209266973976</v>
      </c>
      <c r="J5" s="17">
        <f t="shared" si="2"/>
        <v>-15084.109566589404</v>
      </c>
      <c r="K5" s="44">
        <f t="shared" ref="K5:K12" si="4">F5*K$13</f>
        <v>0</v>
      </c>
      <c r="L5" s="18">
        <f>SUM(H5:K5)</f>
        <v>121300.39641094534</v>
      </c>
      <c r="M5" s="19">
        <f>ROUND(L5/D5,4)</f>
        <v>4.9500000000000002E-2</v>
      </c>
      <c r="N5" s="12"/>
      <c r="O5" s="49">
        <f t="shared" si="3"/>
        <v>6.6000000000000003E-2</v>
      </c>
    </row>
    <row r="6" spans="1:17" x14ac:dyDescent="0.2">
      <c r="A6" s="12" t="s">
        <v>22</v>
      </c>
      <c r="B6" s="13" t="s">
        <v>9</v>
      </c>
      <c r="C6" s="14">
        <v>45781847.170000002</v>
      </c>
      <c r="D6" s="14">
        <v>129021.09999999998</v>
      </c>
      <c r="E6" s="15">
        <f>-128631.134699174/-4024155.1236</f>
        <v>3.196475551968804E-2</v>
      </c>
      <c r="F6" s="15">
        <v>0</v>
      </c>
      <c r="G6" s="16">
        <f t="shared" si="0"/>
        <v>1.8627741236981198E-2</v>
      </c>
      <c r="H6" s="17">
        <f t="shared" si="1"/>
        <v>5869.228708948036</v>
      </c>
      <c r="I6" s="17">
        <f t="shared" si="1"/>
        <v>712.17580297226516</v>
      </c>
      <c r="J6" s="17">
        <f t="shared" si="2"/>
        <v>-1088.9113615336928</v>
      </c>
      <c r="K6" s="44">
        <f t="shared" si="4"/>
        <v>0</v>
      </c>
      <c r="L6" s="18">
        <f t="shared" ref="L6:L12" si="5">SUM(H6:K6)</f>
        <v>5492.4931503866082</v>
      </c>
      <c r="M6" s="19">
        <f>ROUND(L6/D6,4)</f>
        <v>4.2599999999999999E-2</v>
      </c>
      <c r="N6" s="12"/>
      <c r="O6" s="49">
        <f t="shared" si="3"/>
        <v>5.6800000000000003E-2</v>
      </c>
    </row>
    <row r="7" spans="1:17" x14ac:dyDescent="0.2">
      <c r="A7" s="12" t="s">
        <v>2</v>
      </c>
      <c r="B7" s="13" t="s">
        <v>9</v>
      </c>
      <c r="C7" s="14">
        <v>295899862.96000004</v>
      </c>
      <c r="D7" s="14">
        <v>557388.87</v>
      </c>
      <c r="E7" s="15">
        <f>-642009.500137808/-4024155.1236</f>
        <v>0.15953895424475281</v>
      </c>
      <c r="F7" s="15">
        <v>0</v>
      </c>
      <c r="G7" s="16">
        <f t="shared" si="0"/>
        <v>0.12039588657945097</v>
      </c>
      <c r="H7" s="17">
        <f t="shared" si="1"/>
        <v>37934.335943453414</v>
      </c>
      <c r="I7" s="17">
        <f>$G7*I$13</f>
        <v>4602.9755357055692</v>
      </c>
      <c r="J7" s="17">
        <f t="shared" si="2"/>
        <v>-5434.8540153017493</v>
      </c>
      <c r="K7" s="44">
        <f t="shared" si="4"/>
        <v>0</v>
      </c>
      <c r="L7" s="18">
        <f t="shared" si="5"/>
        <v>37102.457463857238</v>
      </c>
      <c r="M7" s="20">
        <f>ROUND(L7/D7,4)</f>
        <v>6.6600000000000006E-2</v>
      </c>
      <c r="N7" s="12"/>
      <c r="O7" s="49">
        <f t="shared" si="3"/>
        <v>8.8800000000000004E-2</v>
      </c>
    </row>
    <row r="8" spans="1:17" x14ac:dyDescent="0.2">
      <c r="A8" s="12" t="s">
        <v>3</v>
      </c>
      <c r="B8" s="13" t="s">
        <v>9</v>
      </c>
      <c r="C8" s="14">
        <v>266162512.04000005</v>
      </c>
      <c r="D8" s="14">
        <v>535816.19999999995</v>
      </c>
      <c r="E8" s="15">
        <f>-753483.468096983/-4024155.1236</f>
        <v>0.18724016469397892</v>
      </c>
      <c r="F8" s="15">
        <v>0</v>
      </c>
      <c r="G8" s="16">
        <f t="shared" si="0"/>
        <v>0.10829633812842099</v>
      </c>
      <c r="H8" s="17">
        <f t="shared" si="1"/>
        <v>34122.010217502888</v>
      </c>
      <c r="I8" s="17">
        <f t="shared" si="1"/>
        <v>4140.3855993257912</v>
      </c>
      <c r="J8" s="17">
        <f t="shared" si="2"/>
        <v>-6378.5234504650862</v>
      </c>
      <c r="K8" s="44">
        <f t="shared" si="4"/>
        <v>0</v>
      </c>
      <c r="L8" s="18">
        <f t="shared" si="5"/>
        <v>31883.87236636359</v>
      </c>
      <c r="M8" s="19">
        <f>ROUND(L8/D8,4)</f>
        <v>5.9499999999999997E-2</v>
      </c>
      <c r="N8" s="12"/>
      <c r="O8" s="49">
        <f t="shared" si="3"/>
        <v>7.9299999999999995E-2</v>
      </c>
    </row>
    <row r="9" spans="1:17" x14ac:dyDescent="0.2">
      <c r="A9" s="12" t="s">
        <v>26</v>
      </c>
      <c r="B9" s="13" t="s">
        <v>9</v>
      </c>
      <c r="C9" s="14">
        <v>48232235.609999999</v>
      </c>
      <c r="D9" s="14">
        <v>85550.81</v>
      </c>
      <c r="E9" s="15">
        <f>-131147.025043207/-4024155.1236</f>
        <v>3.2589952677043711E-2</v>
      </c>
      <c r="F9" s="15">
        <v>0</v>
      </c>
      <c r="G9" s="16">
        <f t="shared" si="0"/>
        <v>1.9624756530420919E-2</v>
      </c>
      <c r="H9" s="17">
        <f t="shared" si="1"/>
        <v>6183.3682876050234</v>
      </c>
      <c r="I9" s="17">
        <f t="shared" si="1"/>
        <v>750.29369167105256</v>
      </c>
      <c r="J9" s="17">
        <f t="shared" si="2"/>
        <v>-1110.2093278961711</v>
      </c>
      <c r="K9" s="44">
        <f t="shared" si="4"/>
        <v>0</v>
      </c>
      <c r="L9" s="18">
        <f t="shared" si="5"/>
        <v>5823.4526513799046</v>
      </c>
      <c r="M9" s="20">
        <f>ROUND(L9/D9,4)</f>
        <v>6.8099999999999994E-2</v>
      </c>
      <c r="N9" s="12"/>
      <c r="O9" s="49">
        <f t="shared" si="3"/>
        <v>9.0800000000000006E-2</v>
      </c>
    </row>
    <row r="10" spans="1:17" x14ac:dyDescent="0.2">
      <c r="A10" s="12" t="s">
        <v>25</v>
      </c>
      <c r="B10" s="13" t="s">
        <v>8</v>
      </c>
      <c r="C10" s="14">
        <v>3363733.5700000003</v>
      </c>
      <c r="D10" s="14">
        <v>0</v>
      </c>
      <c r="E10" s="15">
        <f>-3431.42042820151/-4024155.1236</f>
        <v>8.527058035306971E-4</v>
      </c>
      <c r="F10" s="15">
        <v>0</v>
      </c>
      <c r="G10" s="16">
        <f t="shared" si="0"/>
        <v>1.3686376239787485E-3</v>
      </c>
      <c r="H10" s="17">
        <f t="shared" si="1"/>
        <v>431.23034256322404</v>
      </c>
      <c r="I10" s="17">
        <f t="shared" si="1"/>
        <v>52.325753639955508</v>
      </c>
      <c r="J10" s="17">
        <f t="shared" si="2"/>
        <v>-29.048275903076728</v>
      </c>
      <c r="K10" s="44">
        <f t="shared" si="4"/>
        <v>0</v>
      </c>
      <c r="L10" s="18">
        <f t="shared" si="5"/>
        <v>454.50782030010282</v>
      </c>
      <c r="M10" s="19">
        <f>ROUND(L10/N10/12,2)</f>
        <v>0.05</v>
      </c>
      <c r="N10" s="44">
        <v>781</v>
      </c>
      <c r="O10" s="49">
        <f>ROUND(M10*12/9,2)</f>
        <v>7.0000000000000007E-2</v>
      </c>
    </row>
    <row r="11" spans="1:17" x14ac:dyDescent="0.2">
      <c r="A11" s="12" t="s">
        <v>4</v>
      </c>
      <c r="B11" s="13" t="s">
        <v>9</v>
      </c>
      <c r="C11" s="14">
        <v>889212.46228400012</v>
      </c>
      <c r="D11" s="14">
        <v>2438.761598000001</v>
      </c>
      <c r="E11" s="15">
        <f>3733.49680516955/-4024155.1236</f>
        <v>-9.2777159192351712E-4</v>
      </c>
      <c r="F11" s="15">
        <v>0</v>
      </c>
      <c r="G11" s="16">
        <f t="shared" si="0"/>
        <v>3.6180321843762026E-4</v>
      </c>
      <c r="H11" s="17">
        <f t="shared" si="1"/>
        <v>113.99695806532539</v>
      </c>
      <c r="I11" s="17">
        <f t="shared" si="1"/>
        <v>13.832460647307098</v>
      </c>
      <c r="J11" s="17">
        <f t="shared" ref="J11" si="6">$E11*J$13</f>
        <v>31.605467050466533</v>
      </c>
      <c r="K11" s="44">
        <f t="shared" si="4"/>
        <v>0</v>
      </c>
      <c r="L11" s="18">
        <f t="shared" si="5"/>
        <v>159.43488576309903</v>
      </c>
      <c r="M11" s="19">
        <f t="shared" ref="M11:M12" si="7">ROUND(L11/N11/12,2)</f>
        <v>0.02</v>
      </c>
      <c r="N11" s="44">
        <v>645</v>
      </c>
      <c r="O11" s="49">
        <f>ROUND(M11*12/9,2)</f>
        <v>0.03</v>
      </c>
    </row>
    <row r="12" spans="1:17" ht="15" thickBot="1" x14ac:dyDescent="0.25">
      <c r="A12" s="12" t="s">
        <v>5</v>
      </c>
      <c r="B12" s="13" t="s">
        <v>9</v>
      </c>
      <c r="C12" s="14">
        <v>17341715.094677005</v>
      </c>
      <c r="D12" s="14">
        <v>49480.339999999989</v>
      </c>
      <c r="E12" s="15">
        <f>57581.109720787/-4024155.1236</f>
        <v>-1.43088693035459E-2</v>
      </c>
      <c r="F12" s="15">
        <v>0</v>
      </c>
      <c r="G12" s="16">
        <f t="shared" si="0"/>
        <v>7.0560058485533176E-3</v>
      </c>
      <c r="H12" s="17">
        <f t="shared" si="1"/>
        <v>2223.2063227621793</v>
      </c>
      <c r="I12" s="17">
        <f t="shared" si="1"/>
        <v>269.76521560189042</v>
      </c>
      <c r="J12" s="17">
        <f>$E12*J$13</f>
        <v>487.44594169459464</v>
      </c>
      <c r="K12" s="44">
        <f t="shared" si="4"/>
        <v>0</v>
      </c>
      <c r="L12" s="18">
        <f t="shared" si="5"/>
        <v>2980.4174800586643</v>
      </c>
      <c r="M12" s="19">
        <f t="shared" si="7"/>
        <v>0.01</v>
      </c>
      <c r="N12" s="44">
        <v>23409</v>
      </c>
      <c r="O12" s="50">
        <f>ROUND(M12*12/9,2)</f>
        <v>0.01</v>
      </c>
    </row>
    <row r="13" spans="1:17" x14ac:dyDescent="0.2">
      <c r="A13" s="21" t="s">
        <v>6</v>
      </c>
      <c r="B13" s="22"/>
      <c r="C13" s="23">
        <f>SUM(C3:C12)</f>
        <v>2457724025.020834</v>
      </c>
      <c r="D13" s="23">
        <f>SUM(D3:D12)</f>
        <v>3812426.2926980006</v>
      </c>
      <c r="E13" s="24">
        <f>SUM(E3:E12)</f>
        <v>1.0000000000000011</v>
      </c>
      <c r="F13" s="24">
        <f>SUM(F3:F12)</f>
        <v>1</v>
      </c>
      <c r="G13" s="25">
        <f>SUM(G3:G12)</f>
        <v>0.99999999999999978</v>
      </c>
      <c r="H13" s="26">
        <v>315080</v>
      </c>
      <c r="I13" s="26">
        <v>38232</v>
      </c>
      <c r="J13" s="26">
        <v>-34066</v>
      </c>
      <c r="K13" s="45">
        <v>62812</v>
      </c>
      <c r="L13" s="27">
        <f>SUM(L3:L12)</f>
        <v>382057.99999999994</v>
      </c>
      <c r="M13" s="28"/>
      <c r="N13" s="29"/>
    </row>
    <row r="14" spans="1:17" ht="15" thickBo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7" ht="26.25" x14ac:dyDescent="0.25">
      <c r="A15" s="36" t="s">
        <v>15</v>
      </c>
      <c r="B15" s="5"/>
      <c r="C15" s="5"/>
      <c r="D15" s="5"/>
      <c r="E15" s="5"/>
      <c r="F15" s="5"/>
      <c r="G15" s="5"/>
      <c r="H15" s="5"/>
      <c r="I15" s="5" t="s">
        <v>27</v>
      </c>
      <c r="J15" s="5"/>
      <c r="K15" s="47" t="s">
        <v>39</v>
      </c>
      <c r="M15" s="5"/>
      <c r="N15" s="5"/>
    </row>
    <row r="16" spans="1:17" s="3" customFormat="1" ht="39" x14ac:dyDescent="0.25">
      <c r="A16" s="6" t="s">
        <v>0</v>
      </c>
      <c r="B16" s="7"/>
      <c r="C16" s="7" t="s">
        <v>35</v>
      </c>
      <c r="D16" s="7" t="s">
        <v>36</v>
      </c>
      <c r="E16" s="30" t="s">
        <v>7</v>
      </c>
      <c r="F16" s="9" t="s">
        <v>20</v>
      </c>
      <c r="G16" s="9" t="s">
        <v>21</v>
      </c>
      <c r="H16" s="6" t="s">
        <v>11</v>
      </c>
      <c r="I16" s="11" t="s">
        <v>13</v>
      </c>
      <c r="J16" s="6" t="s">
        <v>14</v>
      </c>
      <c r="K16" s="48" t="str">
        <f>I16</f>
        <v>Rate Rider excl WMP</v>
      </c>
      <c r="M16" s="31"/>
      <c r="N16" s="31"/>
      <c r="O16" s="31"/>
    </row>
    <row r="17" spans="1:15" x14ac:dyDescent="0.2">
      <c r="A17" s="12" t="s">
        <v>1</v>
      </c>
      <c r="B17" s="13" t="s">
        <v>8</v>
      </c>
      <c r="C17" s="14">
        <v>614676622</v>
      </c>
      <c r="D17" s="14">
        <v>0</v>
      </c>
      <c r="E17" s="32">
        <f t="shared" ref="E17:E26" si="8">C17/C$27</f>
        <v>0.27972326767917904</v>
      </c>
      <c r="F17" s="17">
        <f t="shared" ref="F17:G26" si="9">$E17*F$27</f>
        <v>-409458.63950551458</v>
      </c>
      <c r="G17" s="17">
        <f t="shared" si="9"/>
        <v>-549220.41213854263</v>
      </c>
      <c r="H17" s="18">
        <f>SUM(F17:G17)</f>
        <v>-958679.05164405727</v>
      </c>
      <c r="I17" s="19">
        <f>ROUND(H17/C17,4)</f>
        <v>-1.6000000000000001E-3</v>
      </c>
      <c r="J17" s="12"/>
      <c r="K17" s="49">
        <f t="shared" ref="K17:K23" si="10">ROUND(I17*12/9,4)</f>
        <v>-2.0999999999999999E-3</v>
      </c>
      <c r="M17" s="5"/>
      <c r="N17" s="5"/>
      <c r="O17" s="5"/>
    </row>
    <row r="18" spans="1:15" x14ac:dyDescent="0.2">
      <c r="A18" s="12" t="s">
        <v>24</v>
      </c>
      <c r="B18" s="13" t="s">
        <v>8</v>
      </c>
      <c r="C18" s="14">
        <v>216652558.39387199</v>
      </c>
      <c r="D18" s="14">
        <v>0</v>
      </c>
      <c r="E18" s="32">
        <f t="shared" si="8"/>
        <v>9.8592917667508134E-2</v>
      </c>
      <c r="F18" s="17">
        <f t="shared" si="9"/>
        <v>-144320.21428878073</v>
      </c>
      <c r="G18" s="17">
        <f t="shared" si="9"/>
        <v>-193581.47545092751</v>
      </c>
      <c r="H18" s="18">
        <f t="shared" ref="H18:H27" si="11">SUM(F18:G18)</f>
        <v>-337901.68973970821</v>
      </c>
      <c r="I18" s="19">
        <f>ROUND(H18/C18,4)</f>
        <v>-1.6000000000000001E-3</v>
      </c>
      <c r="J18" s="12"/>
      <c r="K18" s="49">
        <f t="shared" si="10"/>
        <v>-2.0999999999999999E-3</v>
      </c>
      <c r="M18" s="5"/>
      <c r="N18" s="5"/>
      <c r="O18" s="5"/>
    </row>
    <row r="19" spans="1:15" x14ac:dyDescent="0.2">
      <c r="A19" s="12" t="s">
        <v>23</v>
      </c>
      <c r="B19" s="13" t="s">
        <v>9</v>
      </c>
      <c r="C19" s="14">
        <v>935802861.77000022</v>
      </c>
      <c r="D19" s="14">
        <v>2429349.9111000011</v>
      </c>
      <c r="E19" s="32">
        <f t="shared" si="8"/>
        <v>0.42585942758992962</v>
      </c>
      <c r="F19" s="17">
        <f t="shared" si="9"/>
        <v>-623372.60424671136</v>
      </c>
      <c r="G19" s="17">
        <f t="shared" si="9"/>
        <v>-836150.2862260266</v>
      </c>
      <c r="H19" s="18">
        <f t="shared" si="11"/>
        <v>-1459522.8904727381</v>
      </c>
      <c r="I19" s="19">
        <f>ROUND(H19/D19,4)</f>
        <v>-0.6008</v>
      </c>
      <c r="J19" s="12"/>
      <c r="K19" s="49">
        <f t="shared" si="10"/>
        <v>-0.80110000000000003</v>
      </c>
      <c r="M19" s="5"/>
      <c r="N19" s="5"/>
      <c r="O19" s="5"/>
    </row>
    <row r="20" spans="1:15" x14ac:dyDescent="0.2">
      <c r="A20" s="12" t="s">
        <v>22</v>
      </c>
      <c r="B20" s="13" t="s">
        <v>9</v>
      </c>
      <c r="C20" s="14">
        <v>45781847.170000002</v>
      </c>
      <c r="D20" s="14">
        <v>129021.09999999998</v>
      </c>
      <c r="E20" s="32">
        <f t="shared" si="8"/>
        <v>2.0834122256208364E-2</v>
      </c>
      <c r="F20" s="17">
        <f t="shared" si="9"/>
        <v>-30496.967324515546</v>
      </c>
      <c r="G20" s="17">
        <f t="shared" si="9"/>
        <v>-40906.590670974263</v>
      </c>
      <c r="H20" s="18">
        <f t="shared" si="11"/>
        <v>-71403.557995489813</v>
      </c>
      <c r="I20" s="19">
        <f>ROUND(H20/D20,4)</f>
        <v>-0.5534</v>
      </c>
      <c r="J20" s="12"/>
      <c r="K20" s="49">
        <f t="shared" si="10"/>
        <v>-0.7379</v>
      </c>
      <c r="M20" s="5"/>
      <c r="N20" s="5"/>
      <c r="O20" s="5"/>
    </row>
    <row r="21" spans="1:15" x14ac:dyDescent="0.2">
      <c r="A21" s="12" t="s">
        <v>2</v>
      </c>
      <c r="B21" s="13" t="s">
        <v>9</v>
      </c>
      <c r="C21" s="14">
        <v>186069978.31</v>
      </c>
      <c r="D21" s="14">
        <v>359747.02</v>
      </c>
      <c r="E21" s="32">
        <f t="shared" si="8"/>
        <v>8.4675584668432641E-2</v>
      </c>
      <c r="F21" s="17">
        <f t="shared" si="9"/>
        <v>-123948.03616206703</v>
      </c>
      <c r="G21" s="17">
        <f t="shared" si="9"/>
        <v>-166255.59931255673</v>
      </c>
      <c r="H21" s="18">
        <f t="shared" si="11"/>
        <v>-290203.63547462376</v>
      </c>
      <c r="I21" s="19">
        <f>ROUND(H21/D21,4)</f>
        <v>-0.80669999999999997</v>
      </c>
      <c r="J21" s="12"/>
      <c r="K21" s="49">
        <f t="shared" si="10"/>
        <v>-1.0755999999999999</v>
      </c>
      <c r="M21" s="5"/>
      <c r="N21" s="5"/>
      <c r="O21" s="5"/>
    </row>
    <row r="22" spans="1:15" x14ac:dyDescent="0.2">
      <c r="A22" s="12" t="s">
        <v>3</v>
      </c>
      <c r="B22" s="13" t="s">
        <v>9</v>
      </c>
      <c r="C22" s="14">
        <v>176866921.87000003</v>
      </c>
      <c r="D22" s="14">
        <v>338007.81999999995</v>
      </c>
      <c r="E22" s="32">
        <f t="shared" si="8"/>
        <v>8.0487514180805242E-2</v>
      </c>
      <c r="F22" s="17">
        <f t="shared" si="9"/>
        <v>-117817.54277034853</v>
      </c>
      <c r="G22" s="17">
        <f t="shared" si="9"/>
        <v>-158032.5658181886</v>
      </c>
      <c r="H22" s="18">
        <f t="shared" si="11"/>
        <v>-275850.10858853714</v>
      </c>
      <c r="I22" s="19">
        <f>ROUND(H22/D22,4)</f>
        <v>-0.81610000000000005</v>
      </c>
      <c r="J22" s="12"/>
      <c r="K22" s="49">
        <f t="shared" si="10"/>
        <v>-1.0881000000000001</v>
      </c>
      <c r="M22" s="5"/>
      <c r="N22" s="5"/>
      <c r="O22" s="5"/>
    </row>
    <row r="23" spans="1:15" x14ac:dyDescent="0.2">
      <c r="A23" s="12" t="s">
        <v>26</v>
      </c>
      <c r="B23" s="13" t="s">
        <v>9</v>
      </c>
      <c r="C23" s="14">
        <v>0</v>
      </c>
      <c r="D23" s="14">
        <v>0</v>
      </c>
      <c r="E23" s="32">
        <f t="shared" si="8"/>
        <v>0</v>
      </c>
      <c r="F23" s="17">
        <f t="shared" si="9"/>
        <v>0</v>
      </c>
      <c r="G23" s="17">
        <f t="shared" si="9"/>
        <v>0</v>
      </c>
      <c r="H23" s="18">
        <f t="shared" si="11"/>
        <v>0</v>
      </c>
      <c r="I23" s="19">
        <v>0</v>
      </c>
      <c r="J23" s="12"/>
      <c r="K23" s="49">
        <f t="shared" si="10"/>
        <v>0</v>
      </c>
      <c r="M23" s="5"/>
      <c r="N23" s="5"/>
      <c r="O23" s="5"/>
    </row>
    <row r="24" spans="1:15" x14ac:dyDescent="0.2">
      <c r="A24" s="12" t="s">
        <v>25</v>
      </c>
      <c r="B24" s="13" t="s">
        <v>8</v>
      </c>
      <c r="C24" s="14">
        <v>3363733.5700000003</v>
      </c>
      <c r="D24" s="14">
        <v>0</v>
      </c>
      <c r="E24" s="32">
        <f t="shared" si="8"/>
        <v>1.5307472451791904E-3</v>
      </c>
      <c r="F24" s="17">
        <f t="shared" si="9"/>
        <v>-2240.7062867460536</v>
      </c>
      <c r="G24" s="17">
        <f t="shared" si="9"/>
        <v>-3005.5334325691201</v>
      </c>
      <c r="H24" s="18">
        <f t="shared" si="11"/>
        <v>-5246.2397193151737</v>
      </c>
      <c r="I24" s="19">
        <f>ROUND(H24/J24/12,2)</f>
        <v>-0.56000000000000005</v>
      </c>
      <c r="J24" s="44">
        <f>N10</f>
        <v>781</v>
      </c>
      <c r="K24" s="49">
        <f>ROUND(I24*12/9,2)</f>
        <v>-0.75</v>
      </c>
      <c r="M24" s="5"/>
      <c r="N24" s="5"/>
      <c r="O24" s="5"/>
    </row>
    <row r="25" spans="1:15" x14ac:dyDescent="0.2">
      <c r="A25" s="12" t="s">
        <v>4</v>
      </c>
      <c r="B25" s="13" t="s">
        <v>9</v>
      </c>
      <c r="C25" s="14">
        <v>889212.46228400012</v>
      </c>
      <c r="D25" s="14">
        <v>2438.761598000001</v>
      </c>
      <c r="E25" s="32">
        <f t="shared" si="8"/>
        <v>4.0465735430414537E-4</v>
      </c>
      <c r="F25" s="17">
        <f t="shared" si="9"/>
        <v>-592.33703057305365</v>
      </c>
      <c r="G25" s="17">
        <f t="shared" si="9"/>
        <v>-794.52124504963979</v>
      </c>
      <c r="H25" s="18">
        <f t="shared" si="11"/>
        <v>-1386.8582756226933</v>
      </c>
      <c r="I25" s="19">
        <f>ROUND(H25/J25/12,2)</f>
        <v>-0.18</v>
      </c>
      <c r="J25" s="44">
        <f t="shared" ref="J25:J26" si="12">N11</f>
        <v>645</v>
      </c>
      <c r="K25" s="49">
        <f>ROUND(I25*12/9,2)</f>
        <v>-0.24</v>
      </c>
      <c r="M25" s="5"/>
      <c r="N25" s="5"/>
      <c r="O25" s="5"/>
    </row>
    <row r="26" spans="1:15" ht="15" thickBot="1" x14ac:dyDescent="0.25">
      <c r="A26" s="12" t="s">
        <v>5</v>
      </c>
      <c r="B26" s="13" t="s">
        <v>9</v>
      </c>
      <c r="C26" s="14">
        <v>17341715.094677005</v>
      </c>
      <c r="D26" s="14">
        <v>49480.339999999989</v>
      </c>
      <c r="E26" s="32">
        <f t="shared" si="8"/>
        <v>7.8917613584536077E-3</v>
      </c>
      <c r="F26" s="17">
        <f t="shared" si="9"/>
        <v>-11551.952384743032</v>
      </c>
      <c r="G26" s="17">
        <f t="shared" si="9"/>
        <v>-15495.015705164868</v>
      </c>
      <c r="H26" s="18">
        <f t="shared" si="11"/>
        <v>-27046.968089907899</v>
      </c>
      <c r="I26" s="19">
        <f>ROUND(H26/J26/12,2)</f>
        <v>-0.1</v>
      </c>
      <c r="J26" s="44">
        <f t="shared" si="12"/>
        <v>23409</v>
      </c>
      <c r="K26" s="50">
        <f>ROUND(I26*12/9,2)</f>
        <v>-0.13</v>
      </c>
      <c r="M26" s="5"/>
      <c r="N26" s="5"/>
      <c r="O26" s="5"/>
    </row>
    <row r="27" spans="1:15" x14ac:dyDescent="0.2">
      <c r="A27" s="21" t="s">
        <v>6</v>
      </c>
      <c r="B27" s="22"/>
      <c r="C27" s="23">
        <f>SUM(C17:C26)</f>
        <v>2197445450.6408334</v>
      </c>
      <c r="D27" s="23">
        <f>SUM(D17:D26)</f>
        <v>3308044.9526980007</v>
      </c>
      <c r="E27" s="25">
        <f>SUM(E17:E26)</f>
        <v>1.0000000000000002</v>
      </c>
      <c r="F27" s="26">
        <v>-1463799</v>
      </c>
      <c r="G27" s="26">
        <v>-1963442</v>
      </c>
      <c r="H27" s="39">
        <f t="shared" si="11"/>
        <v>-3427241</v>
      </c>
      <c r="I27" s="28"/>
      <c r="J27" s="29"/>
      <c r="K27" s="13"/>
      <c r="L27" s="42"/>
      <c r="M27" s="5"/>
      <c r="N27" s="5"/>
      <c r="O27" s="5"/>
    </row>
    <row r="28" spans="1:15" ht="15" thickBo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5" ht="26.25" x14ac:dyDescent="0.25">
      <c r="A29" s="36" t="s">
        <v>16</v>
      </c>
      <c r="B29" s="5"/>
      <c r="C29" s="5"/>
      <c r="D29" s="5"/>
      <c r="E29" s="5"/>
      <c r="F29" s="5"/>
      <c r="G29" s="5" t="s">
        <v>27</v>
      </c>
      <c r="H29" s="5"/>
      <c r="I29" s="47" t="s">
        <v>39</v>
      </c>
      <c r="K29" s="5"/>
      <c r="L29" s="5"/>
      <c r="M29" s="5"/>
      <c r="N29" s="5"/>
      <c r="O29" s="5"/>
    </row>
    <row r="30" spans="1:15" s="3" customFormat="1" ht="51.75" x14ac:dyDescent="0.25">
      <c r="A30" s="6" t="s">
        <v>0</v>
      </c>
      <c r="B30" s="7"/>
      <c r="C30" s="7" t="s">
        <v>37</v>
      </c>
      <c r="D30" s="7" t="s">
        <v>38</v>
      </c>
      <c r="E30" s="8" t="s">
        <v>7</v>
      </c>
      <c r="F30" s="9" t="s">
        <v>29</v>
      </c>
      <c r="G30" s="33" t="s">
        <v>17</v>
      </c>
      <c r="H30" s="6" t="s">
        <v>14</v>
      </c>
      <c r="I30" s="48" t="str">
        <f>G30</f>
        <v>GA Rate Rider Non RPP, excl WMP</v>
      </c>
      <c r="K30" s="5"/>
      <c r="L30" s="5"/>
      <c r="M30" s="31"/>
      <c r="N30" s="31"/>
      <c r="O30" s="31"/>
    </row>
    <row r="31" spans="1:15" x14ac:dyDescent="0.2">
      <c r="A31" s="12" t="s">
        <v>1</v>
      </c>
      <c r="B31" s="13" t="s">
        <v>8</v>
      </c>
      <c r="C31" s="14">
        <v>42832107</v>
      </c>
      <c r="D31" s="14">
        <v>0</v>
      </c>
      <c r="E31" s="32">
        <f t="shared" ref="E31:E40" si="13">C31/C$41</f>
        <v>3.4519703584810761E-2</v>
      </c>
      <c r="F31" s="17">
        <f t="shared" ref="F31:F40" si="14">E31*F$41</f>
        <v>157197.37957117255</v>
      </c>
      <c r="G31" s="34">
        <f>ROUND(F31/C31,4)</f>
        <v>3.7000000000000002E-3</v>
      </c>
      <c r="H31" s="12"/>
      <c r="I31" s="49">
        <f t="shared" ref="I31:I37" si="15">ROUND(G31*12/9,4)</f>
        <v>4.8999999999999998E-3</v>
      </c>
      <c r="K31" s="5"/>
      <c r="L31" s="5"/>
      <c r="M31" s="5"/>
      <c r="N31" s="5"/>
      <c r="O31" s="5"/>
    </row>
    <row r="32" spans="1:15" x14ac:dyDescent="0.2">
      <c r="A32" s="12" t="s">
        <v>24</v>
      </c>
      <c r="B32" s="13" t="s">
        <v>8</v>
      </c>
      <c r="C32" s="14">
        <v>28046589</v>
      </c>
      <c r="D32" s="14">
        <v>0</v>
      </c>
      <c r="E32" s="32">
        <f t="shared" si="13"/>
        <v>2.2603602919767967E-2</v>
      </c>
      <c r="F32" s="17">
        <f t="shared" si="14"/>
        <v>102933.30413817076</v>
      </c>
      <c r="G32" s="34">
        <f>ROUND(F32/C32,4)</f>
        <v>3.7000000000000002E-3</v>
      </c>
      <c r="H32" s="12"/>
      <c r="I32" s="49">
        <f t="shared" si="15"/>
        <v>4.8999999999999998E-3</v>
      </c>
      <c r="K32" s="5"/>
      <c r="L32" s="5"/>
      <c r="M32" s="5"/>
      <c r="N32" s="5"/>
      <c r="O32" s="5"/>
    </row>
    <row r="33" spans="1:15" x14ac:dyDescent="0.2">
      <c r="A33" s="12" t="s">
        <v>23</v>
      </c>
      <c r="B33" s="13" t="s">
        <v>9</v>
      </c>
      <c r="C33" s="14">
        <v>740704587.50999999</v>
      </c>
      <c r="D33" s="14">
        <v>1927978.3881000001</v>
      </c>
      <c r="E33" s="32">
        <f t="shared" si="13"/>
        <v>0.59695645616394077</v>
      </c>
      <c r="F33" s="17">
        <f t="shared" si="14"/>
        <v>2718447.1731198807</v>
      </c>
      <c r="G33" s="34">
        <f>ROUND(F33/D33,4)</f>
        <v>1.41</v>
      </c>
      <c r="H33" s="12"/>
      <c r="I33" s="49">
        <f t="shared" si="15"/>
        <v>1.88</v>
      </c>
      <c r="K33" s="5"/>
      <c r="L33" s="5"/>
      <c r="M33" s="5"/>
      <c r="N33" s="5"/>
      <c r="O33" s="5"/>
    </row>
    <row r="34" spans="1:15" x14ac:dyDescent="0.2">
      <c r="A34" s="12" t="s">
        <v>22</v>
      </c>
      <c r="B34" s="13" t="s">
        <v>9</v>
      </c>
      <c r="C34" s="14">
        <v>45781847.170000002</v>
      </c>
      <c r="D34" s="14">
        <v>129021.09999999998</v>
      </c>
      <c r="E34" s="32">
        <f t="shared" si="13"/>
        <v>3.6896989304623921E-2</v>
      </c>
      <c r="F34" s="17">
        <f t="shared" si="14"/>
        <v>168023.17025991512</v>
      </c>
      <c r="G34" s="34">
        <f>ROUND(F34/D34,4)</f>
        <v>1.3023</v>
      </c>
      <c r="H34" s="12"/>
      <c r="I34" s="49">
        <f t="shared" si="15"/>
        <v>1.7363999999999999</v>
      </c>
      <c r="K34" s="5"/>
      <c r="L34" s="5"/>
      <c r="M34" s="5"/>
      <c r="N34" s="5"/>
      <c r="O34" s="5"/>
    </row>
    <row r="35" spans="1:15" x14ac:dyDescent="0.2">
      <c r="A35" s="12" t="s">
        <v>2</v>
      </c>
      <c r="B35" s="13" t="s">
        <v>9</v>
      </c>
      <c r="C35" s="14">
        <v>186069978.31</v>
      </c>
      <c r="D35" s="14">
        <v>359747.01999999996</v>
      </c>
      <c r="E35" s="32">
        <f t="shared" si="13"/>
        <v>0.14995948009966839</v>
      </c>
      <c r="F35" s="17">
        <f t="shared" si="14"/>
        <v>682892.22865447437</v>
      </c>
      <c r="G35" s="34">
        <f>ROUND(F35/D35,4)</f>
        <v>1.8983000000000001</v>
      </c>
      <c r="H35" s="12"/>
      <c r="I35" s="49">
        <f t="shared" si="15"/>
        <v>2.5310999999999999</v>
      </c>
      <c r="K35" s="5"/>
      <c r="L35" s="5"/>
      <c r="M35" s="5"/>
      <c r="N35" s="5"/>
      <c r="O35" s="5"/>
    </row>
    <row r="36" spans="1:15" x14ac:dyDescent="0.2">
      <c r="A36" s="12" t="s">
        <v>3</v>
      </c>
      <c r="B36" s="13" t="s">
        <v>9</v>
      </c>
      <c r="C36" s="14">
        <v>176866921.87000003</v>
      </c>
      <c r="D36" s="14">
        <v>338007.81999999995</v>
      </c>
      <c r="E36" s="32">
        <f t="shared" si="13"/>
        <v>0.14254245575428462</v>
      </c>
      <c r="F36" s="17">
        <f t="shared" si="14"/>
        <v>649116.24942437024</v>
      </c>
      <c r="G36" s="34">
        <f>ROUND(F36/D36,4)</f>
        <v>1.9204000000000001</v>
      </c>
      <c r="H36" s="12"/>
      <c r="I36" s="49">
        <f t="shared" si="15"/>
        <v>2.5605000000000002</v>
      </c>
      <c r="K36" s="5"/>
      <c r="L36" s="5"/>
      <c r="M36" s="5"/>
      <c r="N36" s="5"/>
      <c r="O36" s="5"/>
    </row>
    <row r="37" spans="1:15" x14ac:dyDescent="0.2">
      <c r="A37" s="12" t="s">
        <v>26</v>
      </c>
      <c r="B37" s="13" t="s">
        <v>9</v>
      </c>
      <c r="C37" s="14">
        <v>0</v>
      </c>
      <c r="D37" s="14">
        <v>0</v>
      </c>
      <c r="E37" s="32">
        <f t="shared" si="13"/>
        <v>0</v>
      </c>
      <c r="F37" s="17">
        <f t="shared" si="14"/>
        <v>0</v>
      </c>
      <c r="G37" s="34">
        <v>0</v>
      </c>
      <c r="H37" s="12"/>
      <c r="I37" s="49">
        <f t="shared" si="15"/>
        <v>0</v>
      </c>
      <c r="K37" s="5"/>
      <c r="L37" s="5"/>
      <c r="M37" s="5"/>
      <c r="N37" s="5"/>
      <c r="O37" s="5"/>
    </row>
    <row r="38" spans="1:15" x14ac:dyDescent="0.2">
      <c r="A38" s="12" t="s">
        <v>25</v>
      </c>
      <c r="B38" s="13" t="s">
        <v>8</v>
      </c>
      <c r="C38" s="14">
        <v>3110832.84</v>
      </c>
      <c r="D38" s="14">
        <v>0</v>
      </c>
      <c r="E38" s="32">
        <f t="shared" si="13"/>
        <v>2.5071152240699955E-3</v>
      </c>
      <c r="F38" s="17">
        <f t="shared" si="14"/>
        <v>11417.014127555029</v>
      </c>
      <c r="G38" s="34">
        <f>ROUND(F38/H38/12,2)</f>
        <v>1.22</v>
      </c>
      <c r="H38" s="44">
        <f>N10</f>
        <v>781</v>
      </c>
      <c r="I38" s="49">
        <f>ROUND(G38*12/9,2)</f>
        <v>1.63</v>
      </c>
      <c r="K38" s="5"/>
      <c r="L38" s="5"/>
      <c r="M38" s="5"/>
      <c r="N38" s="5"/>
      <c r="O38" s="5"/>
    </row>
    <row r="39" spans="1:15" x14ac:dyDescent="0.2">
      <c r="A39" s="12" t="s">
        <v>4</v>
      </c>
      <c r="B39" s="13" t="s">
        <v>9</v>
      </c>
      <c r="C39" s="14">
        <v>55837.932284000002</v>
      </c>
      <c r="D39" s="14">
        <v>152.659009</v>
      </c>
      <c r="E39" s="32">
        <f t="shared" si="13"/>
        <v>4.5001495519060393E-5</v>
      </c>
      <c r="F39" s="17">
        <f t="shared" si="14"/>
        <v>204.92983536199557</v>
      </c>
      <c r="G39" s="34">
        <f>ROUND(F39/H39/12,2)</f>
        <v>0.03</v>
      </c>
      <c r="H39" s="44">
        <f t="shared" ref="H39:H40" si="16">N11</f>
        <v>645</v>
      </c>
      <c r="I39" s="49">
        <f>ROUND(G39*12/9,2)</f>
        <v>0.04</v>
      </c>
      <c r="K39" s="5"/>
      <c r="L39" s="5"/>
      <c r="M39" s="5"/>
      <c r="N39" s="5"/>
      <c r="O39" s="5"/>
    </row>
    <row r="40" spans="1:15" ht="15" thickBot="1" x14ac:dyDescent="0.25">
      <c r="A40" s="12" t="s">
        <v>5</v>
      </c>
      <c r="B40" s="13" t="s">
        <v>9</v>
      </c>
      <c r="C40" s="14">
        <v>17333001.510000002</v>
      </c>
      <c r="D40" s="14">
        <v>49455.5</v>
      </c>
      <c r="E40" s="32">
        <f t="shared" si="13"/>
        <v>1.3969195453314433E-2</v>
      </c>
      <c r="F40" s="17">
        <f t="shared" si="14"/>
        <v>63613.550869098668</v>
      </c>
      <c r="G40" s="34">
        <f>ROUND(F40/H40/12,2)</f>
        <v>0.23</v>
      </c>
      <c r="H40" s="44">
        <f t="shared" si="16"/>
        <v>23409</v>
      </c>
      <c r="I40" s="50">
        <f>ROUND(G40*12/9,2)</f>
        <v>0.31</v>
      </c>
      <c r="K40" s="5"/>
      <c r="L40" s="5"/>
      <c r="M40" s="5"/>
      <c r="N40" s="5"/>
      <c r="O40" s="5"/>
    </row>
    <row r="41" spans="1:15" x14ac:dyDescent="0.2">
      <c r="A41" s="21" t="s">
        <v>6</v>
      </c>
      <c r="B41" s="22"/>
      <c r="C41" s="23">
        <f>SUM(C31:C40)</f>
        <v>1240801703.1422842</v>
      </c>
      <c r="D41" s="23">
        <f>SUM(D31:D40)</f>
        <v>2804362.4871089999</v>
      </c>
      <c r="E41" s="35">
        <f>SUM(E31:E40)</f>
        <v>1</v>
      </c>
      <c r="F41" s="26">
        <v>4553845</v>
      </c>
      <c r="G41" s="29"/>
      <c r="H41" s="29"/>
      <c r="I41" s="5"/>
      <c r="J41" s="5"/>
      <c r="K41" s="5"/>
      <c r="L41" s="5"/>
      <c r="M41" s="5"/>
      <c r="N41" s="5"/>
      <c r="O41" s="5"/>
    </row>
    <row r="42" spans="1:15" x14ac:dyDescent="0.2">
      <c r="C42" s="2"/>
      <c r="D42" s="1"/>
      <c r="E42" s="2"/>
    </row>
    <row r="43" spans="1:15" x14ac:dyDescent="0.2">
      <c r="B43" s="37"/>
      <c r="C43" s="37"/>
      <c r="D43" s="37"/>
      <c r="E43" s="38"/>
    </row>
    <row r="44" spans="1:15" ht="15" x14ac:dyDescent="0.25">
      <c r="A44" t="s">
        <v>40</v>
      </c>
      <c r="B44" s="40"/>
      <c r="C44" s="40"/>
      <c r="D44" s="40"/>
      <c r="E44" s="40"/>
    </row>
    <row r="45" spans="1:15" x14ac:dyDescent="0.2">
      <c r="D45" s="41"/>
    </row>
    <row r="48" spans="1:15" x14ac:dyDescent="0.2">
      <c r="C48" s="43"/>
    </row>
    <row r="51" spans="3:3" x14ac:dyDescent="0.2">
      <c r="C51" s="43"/>
    </row>
  </sheetData>
  <pageMargins left="0.23622047244094491" right="0.19685039370078741" top="0.74803149606299213" bottom="0.74803149606299213" header="0.31496062992125984" footer="0.31496062992125984"/>
  <pageSetup scale="59" orientation="landscape" r:id="rId1"/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</vt:lpstr>
    </vt:vector>
  </TitlesOfParts>
  <Company>Enwin Utilities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June Broadfoot</dc:creator>
  <cp:lastModifiedBy>June Broadfoot</cp:lastModifiedBy>
  <cp:lastPrinted>2014-10-31T14:35:10Z</cp:lastPrinted>
  <dcterms:created xsi:type="dcterms:W3CDTF">2012-02-22T16:45:46Z</dcterms:created>
  <dcterms:modified xsi:type="dcterms:W3CDTF">2014-10-31T16:00:15Z</dcterms:modified>
</cp:coreProperties>
</file>