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reland\Documents\DMS\NRPortbl\LEGAL_1\HIRELAND\"/>
    </mc:Choice>
  </mc:AlternateContent>
  <bookViews>
    <workbookView xWindow="480" yWindow="540" windowWidth="19440" windowHeight="7530" firstSheet="27" activeTab="27"/>
  </bookViews>
  <sheets>
    <sheet name="A1.1 Distributor Information" sheetId="2" r:id="rId1"/>
    <sheet name="B1.1 Current Distribution Rates" sheetId="1" r:id="rId2"/>
    <sheet name="B1.2 Billing Determinants" sheetId="3" r:id="rId3"/>
    <sheet name="B1.3 Current Rev Req From Rates" sheetId="4" r:id="rId4"/>
    <sheet name="C1.1 Current Rate Riders" sheetId="21" r:id="rId5"/>
    <sheet name="C2.1 Regulatory Cost Adjustment" sheetId="26" state="hidden" r:id="rId6"/>
    <sheet name="C2.2 Alloc Reg Cost Adj" sheetId="25" state="hidden" r:id="rId7"/>
    <sheet name="C2.3 Adj Monthly Service Chg" sheetId="28" state="hidden" r:id="rId8"/>
    <sheet name="D1.1 Rate 1 Adjustment" sheetId="5" r:id="rId9"/>
    <sheet name="D1.2 Rate 2 Adjustment" sheetId="6" r:id="rId10"/>
    <sheet name="D1.3 Rate 3 Adjustment" sheetId="7" r:id="rId11"/>
    <sheet name="D1.4 Rate 4 Adjustment" sheetId="8" r:id="rId12"/>
    <sheet name="D1.5 Rate 5 Adjustment" sheetId="9" r:id="rId13"/>
    <sheet name="D1.6 Rate 6 Adjustment" sheetId="10" r:id="rId14"/>
    <sheet name="E1.1 Proposed Dist Rates " sheetId="11" r:id="rId15"/>
    <sheet name="E1.2 Billing Determinants" sheetId="12" r:id="rId16"/>
    <sheet name="E1.3 Proposed Rev Req From Rate" sheetId="13" r:id="rId17"/>
    <sheet name="F1.1 Calc Shared Tax Savings" sheetId="23" r:id="rId18"/>
    <sheet name="F1.2 Alloc Shared Tax Savings" sheetId="24" r:id="rId19"/>
    <sheet name="F2.1 Deferred Revenue Recovery" sheetId="31" state="hidden" r:id="rId20"/>
    <sheet name="F1.3 Proposed Rate Riders" sheetId="22" r:id="rId21"/>
    <sheet name="F1.4 Proposed Forgone Rev Rider" sheetId="32" r:id="rId22"/>
    <sheet name="G1.1 Rate 1 Bill Impact" sheetId="30" r:id="rId23"/>
    <sheet name="Sheet1" sheetId="33" r:id="rId24"/>
    <sheet name="G1.2 Rate 2 Bill Impact" sheetId="15" r:id="rId25"/>
    <sheet name="G1.3 Rate 3 Bill Impact" sheetId="17" r:id="rId26"/>
    <sheet name="Sheet2" sheetId="34" r:id="rId27"/>
    <sheet name="G1.4 Rate 4 Bill Impact" sheetId="18" r:id="rId28"/>
    <sheet name="Sheet3" sheetId="35" r:id="rId29"/>
    <sheet name="G1.5 Rate 5 Bill Impact" sheetId="19" r:id="rId30"/>
    <sheet name="Sheet4" sheetId="36" r:id="rId31"/>
    <sheet name="G1.6 Rate 6 Bill Impact" sheetId="20" r:id="rId32"/>
    <sheet name="G1.7 Summary of Bill Impacts" sheetId="29" r:id="rId33"/>
    <sheet name="Sheet5" sheetId="37" r:id="rId34"/>
  </sheets>
  <definedNames>
    <definedName name="_xlnm.Print_Titles" localSheetId="22">'G1.1 Rate 1 Bill Impact'!$1:$8</definedName>
    <definedName name="_xlnm.Print_Titles" localSheetId="24">'G1.2 Rate 2 Bill Impact'!$1:$7</definedName>
    <definedName name="_xlnm.Print_Titles" localSheetId="27">'G1.4 Rate 4 Bill Impact'!$1:$7</definedName>
  </definedNames>
  <calcPr calcId="152511" iterate="1"/>
</workbook>
</file>

<file path=xl/calcChain.xml><?xml version="1.0" encoding="utf-8"?>
<calcChain xmlns="http://schemas.openxmlformats.org/spreadsheetml/2006/main">
  <c r="E101" i="15" l="1"/>
  <c r="E41" i="20" l="1"/>
  <c r="E39" i="19"/>
  <c r="E72" i="18"/>
  <c r="E42" i="17"/>
  <c r="E76" i="15"/>
  <c r="E102" i="15" s="1"/>
  <c r="E109" i="30"/>
  <c r="E73" i="30"/>
  <c r="E38" i="30"/>
  <c r="H16" i="32" l="1"/>
  <c r="I16" i="32"/>
  <c r="J16" i="32"/>
  <c r="K16" i="32"/>
  <c r="M16" i="32"/>
  <c r="N16" i="32"/>
  <c r="H17" i="32"/>
  <c r="I17" i="32"/>
  <c r="J17" i="32"/>
  <c r="K17" i="32"/>
  <c r="M17" i="32"/>
  <c r="N17" i="32"/>
  <c r="H18" i="32"/>
  <c r="I18" i="32"/>
  <c r="J18" i="32"/>
  <c r="K18" i="32"/>
  <c r="M18" i="32"/>
  <c r="N18" i="32"/>
  <c r="G19" i="32"/>
  <c r="J19" i="32"/>
  <c r="K19" i="32"/>
  <c r="M19" i="32"/>
  <c r="N19" i="32"/>
  <c r="G20" i="32"/>
  <c r="J20" i="32"/>
  <c r="K20" i="32"/>
  <c r="M20" i="32"/>
  <c r="N20" i="32"/>
  <c r="G21" i="32"/>
  <c r="H21" i="32"/>
  <c r="I21" i="32"/>
  <c r="H22" i="32"/>
  <c r="I22" i="32"/>
  <c r="J22" i="32"/>
  <c r="K22" i="32"/>
  <c r="M22" i="32"/>
  <c r="N22" i="32"/>
  <c r="H23" i="32"/>
  <c r="I23" i="32"/>
  <c r="J23" i="32"/>
  <c r="K23" i="32"/>
  <c r="M23" i="32"/>
  <c r="N23" i="32"/>
  <c r="G24" i="32"/>
  <c r="H24" i="32"/>
  <c r="I24" i="32"/>
  <c r="K24" i="32"/>
  <c r="G25" i="32"/>
  <c r="H25" i="32"/>
  <c r="I25" i="32"/>
  <c r="L25" i="32"/>
  <c r="F21" i="32"/>
  <c r="F24" i="32"/>
  <c r="F25" i="32"/>
  <c r="E43" i="20" l="1"/>
  <c r="E42" i="20"/>
  <c r="E40" i="19"/>
  <c r="F97" i="18"/>
  <c r="E73" i="18"/>
  <c r="E97" i="18" s="1"/>
  <c r="E43" i="17"/>
  <c r="F103" i="15"/>
  <c r="C103" i="15"/>
  <c r="E77" i="15"/>
  <c r="E111" i="30"/>
  <c r="E110" i="30"/>
  <c r="E75" i="30"/>
  <c r="E74" i="30"/>
  <c r="E103" i="15" l="1"/>
  <c r="E40" i="30" l="1"/>
  <c r="E39" i="30"/>
  <c r="E11" i="5" l="1"/>
  <c r="I27" i="5"/>
  <c r="E26" i="5" s="1"/>
  <c r="E13" i="5" l="1"/>
  <c r="M15" i="23"/>
  <c r="M18" i="23" s="1"/>
  <c r="M17" i="23"/>
  <c r="M24" i="23" l="1"/>
  <c r="C18" i="31"/>
  <c r="C19" i="31"/>
  <c r="C20" i="31"/>
  <c r="C21" i="31"/>
  <c r="C22" i="31"/>
  <c r="C17" i="31"/>
  <c r="C1" i="31"/>
  <c r="F89" i="30" l="1"/>
  <c r="F108" i="30" s="1"/>
  <c r="F112" i="30" s="1"/>
  <c r="F53" i="30"/>
  <c r="F72" i="30" s="1"/>
  <c r="F76" i="30" s="1"/>
  <c r="F18" i="30"/>
  <c r="F37" i="30" s="1"/>
  <c r="F41" i="30" s="1"/>
  <c r="F86" i="30"/>
  <c r="F85" i="30"/>
  <c r="F84" i="30"/>
  <c r="F83" i="30"/>
  <c r="F99" i="30" s="1"/>
  <c r="F50" i="30"/>
  <c r="F49" i="30"/>
  <c r="F48" i="30"/>
  <c r="F47" i="30"/>
  <c r="F63" i="30" s="1"/>
  <c r="F15" i="30"/>
  <c r="F14" i="30"/>
  <c r="F13" i="30"/>
  <c r="F12" i="30"/>
  <c r="F28" i="30" s="1"/>
  <c r="E101" i="30"/>
  <c r="E100" i="30"/>
  <c r="E65" i="30"/>
  <c r="E64" i="30"/>
  <c r="E30" i="30"/>
  <c r="E29" i="30"/>
  <c r="F100" i="30" l="1"/>
  <c r="F29" i="30"/>
  <c r="F30" i="30"/>
  <c r="E102" i="30"/>
  <c r="F102" i="30" s="1"/>
  <c r="F64" i="30"/>
  <c r="E31" i="30"/>
  <c r="F65" i="30"/>
  <c r="E66" i="30"/>
  <c r="F101" i="30"/>
  <c r="J108" i="30"/>
  <c r="J37" i="30"/>
  <c r="J72" i="30"/>
  <c r="F103" i="30" l="1"/>
  <c r="F114" i="30" s="1"/>
  <c r="F66" i="30"/>
  <c r="F67" i="30" s="1"/>
  <c r="F78" i="30" s="1"/>
  <c r="F31" i="30"/>
  <c r="F32" i="30" s="1"/>
  <c r="F43" i="30" s="1"/>
  <c r="L72" i="30"/>
  <c r="L108" i="30"/>
  <c r="L37" i="30"/>
  <c r="C25" i="29" l="1"/>
  <c r="C23" i="29"/>
  <c r="C21" i="29"/>
  <c r="C20" i="29"/>
  <c r="C19" i="29"/>
  <c r="C17" i="29"/>
  <c r="C15" i="29"/>
  <c r="C14" i="29"/>
  <c r="C13" i="29"/>
  <c r="G23" i="23" l="1"/>
  <c r="C1" i="28" l="1"/>
  <c r="C1" i="26"/>
  <c r="E10" i="26"/>
  <c r="C13" i="26" s="1"/>
  <c r="E13" i="26" l="1"/>
  <c r="C16" i="26" s="1"/>
  <c r="E16" i="26" s="1"/>
  <c r="K21" i="25"/>
  <c r="K20" i="25"/>
  <c r="K19" i="25"/>
  <c r="K18" i="25"/>
  <c r="K17" i="25"/>
  <c r="K16" i="25"/>
  <c r="C1" i="25"/>
  <c r="C20" i="26" l="1"/>
  <c r="I22" i="25"/>
  <c r="K22" i="25"/>
  <c r="N25" i="11"/>
  <c r="N25" i="32" s="1"/>
  <c r="M25" i="11"/>
  <c r="M25" i="32" s="1"/>
  <c r="N24" i="11"/>
  <c r="N24" i="32" s="1"/>
  <c r="M24" i="11"/>
  <c r="M24" i="32" s="1"/>
  <c r="N21" i="11"/>
  <c r="N21" i="32" s="1"/>
  <c r="M21" i="11"/>
  <c r="M21" i="32" s="1"/>
  <c r="C21" i="26" l="1"/>
  <c r="E20" i="26"/>
  <c r="E13" i="10"/>
  <c r="E23" i="26" l="1"/>
  <c r="C22" i="26"/>
  <c r="E22" i="26" s="1"/>
  <c r="E21" i="26"/>
  <c r="M26" i="3"/>
  <c r="N26" i="3"/>
  <c r="F22" i="20"/>
  <c r="F40" i="20" s="1"/>
  <c r="F22" i="19"/>
  <c r="F38" i="19" s="1"/>
  <c r="F96" i="18"/>
  <c r="H95" i="18"/>
  <c r="E96" i="18"/>
  <c r="E95" i="18"/>
  <c r="F53" i="18"/>
  <c r="F71" i="18" s="1"/>
  <c r="F19" i="18"/>
  <c r="F37" i="18" s="1"/>
  <c r="F23" i="17"/>
  <c r="F41" i="17" s="1"/>
  <c r="H101" i="15"/>
  <c r="F102" i="15"/>
  <c r="F55" i="15"/>
  <c r="F75" i="15" s="1"/>
  <c r="F18" i="15"/>
  <c r="F38" i="15" s="1"/>
  <c r="E26" i="3"/>
  <c r="F26" i="3"/>
  <c r="G26" i="3"/>
  <c r="H26" i="3"/>
  <c r="I26" i="3"/>
  <c r="J26" i="3"/>
  <c r="K26" i="3"/>
  <c r="L26" i="3"/>
  <c r="K16" i="24"/>
  <c r="M17" i="31" s="1"/>
  <c r="G21" i="23"/>
  <c r="I21" i="23" s="1"/>
  <c r="O15" i="23"/>
  <c r="K15" i="23"/>
  <c r="O17" i="23"/>
  <c r="K17" i="23"/>
  <c r="I17" i="23"/>
  <c r="G17" i="23"/>
  <c r="E17" i="23"/>
  <c r="J38" i="19" l="1"/>
  <c r="L38" i="19" s="1"/>
  <c r="F41" i="19"/>
  <c r="J40" i="20"/>
  <c r="L40" i="20" s="1"/>
  <c r="F44" i="20"/>
  <c r="J71" i="18"/>
  <c r="F74" i="18"/>
  <c r="J37" i="18"/>
  <c r="F40" i="18"/>
  <c r="J41" i="17"/>
  <c r="F44" i="17"/>
  <c r="J38" i="15"/>
  <c r="L38" i="15" s="1"/>
  <c r="F41" i="15"/>
  <c r="J75" i="15"/>
  <c r="F78" i="15"/>
  <c r="K21" i="23"/>
  <c r="O21" i="23" s="1"/>
  <c r="M21" i="23"/>
  <c r="M22" i="23" s="1"/>
  <c r="M26" i="23" s="1"/>
  <c r="M27" i="23" s="1"/>
  <c r="M29" i="23" s="1"/>
  <c r="F95" i="18"/>
  <c r="F101" i="15"/>
  <c r="O18" i="23"/>
  <c r="K18" i="23"/>
  <c r="K21" i="24"/>
  <c r="M22" i="31" s="1"/>
  <c r="K20" i="24"/>
  <c r="M21" i="31" s="1"/>
  <c r="K19" i="24"/>
  <c r="M20" i="31" s="1"/>
  <c r="K18" i="24"/>
  <c r="M19" i="31" s="1"/>
  <c r="K17" i="24"/>
  <c r="M18" i="31" s="1"/>
  <c r="I15" i="23"/>
  <c r="I18" i="23" s="1"/>
  <c r="G15" i="23"/>
  <c r="G24" i="23" s="1"/>
  <c r="J95" i="18" l="1"/>
  <c r="F98" i="18"/>
  <c r="L71" i="18"/>
  <c r="L37" i="18"/>
  <c r="L41" i="17"/>
  <c r="J101" i="15"/>
  <c r="F104" i="15"/>
  <c r="L75" i="15"/>
  <c r="M23" i="31"/>
  <c r="K22" i="24"/>
  <c r="I24" i="23"/>
  <c r="I22" i="23"/>
  <c r="G22" i="23"/>
  <c r="G18" i="23"/>
  <c r="L95" i="18" l="1"/>
  <c r="L101" i="15"/>
  <c r="I26" i="23"/>
  <c r="I27" i="23" s="1"/>
  <c r="I29" i="23" s="1"/>
  <c r="O24" i="23"/>
  <c r="K24" i="23"/>
  <c r="G26" i="23"/>
  <c r="G27" i="23" s="1"/>
  <c r="G29" i="23" s="1"/>
  <c r="O22" i="23"/>
  <c r="K22" i="23"/>
  <c r="O26" i="23" l="1"/>
  <c r="O27" i="23" s="1"/>
  <c r="O29" i="23" s="1"/>
  <c r="K26" i="23"/>
  <c r="K27" i="23" s="1"/>
  <c r="K29" i="23" s="1"/>
  <c r="E24" i="23" l="1"/>
  <c r="E22" i="23"/>
  <c r="E18" i="23"/>
  <c r="E26" i="23" l="1"/>
  <c r="E27" i="23" s="1"/>
  <c r="E29" i="23" s="1"/>
  <c r="M31" i="23" s="1"/>
  <c r="M33" i="23" s="1"/>
  <c r="F19" i="20"/>
  <c r="F18" i="20"/>
  <c r="F17" i="20"/>
  <c r="F32" i="20" s="1"/>
  <c r="E34" i="20"/>
  <c r="E33" i="20"/>
  <c r="F19" i="19"/>
  <c r="F18" i="19"/>
  <c r="F17" i="19"/>
  <c r="F30" i="19" s="1"/>
  <c r="E32" i="19"/>
  <c r="E31" i="19"/>
  <c r="F49" i="18"/>
  <c r="F50" i="18"/>
  <c r="F48" i="18"/>
  <c r="F47" i="18"/>
  <c r="F62" i="18" s="1"/>
  <c r="F15" i="18"/>
  <c r="F14" i="18"/>
  <c r="F13" i="18"/>
  <c r="F28" i="18" s="1"/>
  <c r="E86" i="18"/>
  <c r="E83" i="18"/>
  <c r="E88" i="18" s="1"/>
  <c r="E82" i="18"/>
  <c r="E87" i="18" s="1"/>
  <c r="E64" i="18"/>
  <c r="E63" i="18"/>
  <c r="E30" i="18"/>
  <c r="E29" i="18"/>
  <c r="F16" i="18"/>
  <c r="E91" i="15"/>
  <c r="E35" i="17"/>
  <c r="F20" i="17"/>
  <c r="F19" i="17"/>
  <c r="F18" i="17"/>
  <c r="F17" i="17"/>
  <c r="F32" i="17" s="1"/>
  <c r="E34" i="17"/>
  <c r="E33" i="17"/>
  <c r="I31" i="23" l="1"/>
  <c r="I33" i="23" s="1"/>
  <c r="G31" i="23"/>
  <c r="G33" i="23" s="1"/>
  <c r="O31" i="23"/>
  <c r="O33" i="23" s="1"/>
  <c r="I22" i="24" s="1"/>
  <c r="K31" i="23"/>
  <c r="K33" i="23" s="1"/>
  <c r="F31" i="19"/>
  <c r="F33" i="17"/>
  <c r="F33" i="20"/>
  <c r="F34" i="20"/>
  <c r="F32" i="19"/>
  <c r="E31" i="18"/>
  <c r="F31" i="18" s="1"/>
  <c r="F29" i="18"/>
  <c r="F64" i="18"/>
  <c r="E65" i="18"/>
  <c r="F30" i="18"/>
  <c r="E89" i="18"/>
  <c r="F63" i="18"/>
  <c r="F86" i="18"/>
  <c r="F34" i="17"/>
  <c r="F52" i="15"/>
  <c r="F51" i="15"/>
  <c r="F50" i="15"/>
  <c r="F49" i="15"/>
  <c r="F48" i="15"/>
  <c r="F65" i="15" s="1"/>
  <c r="E88" i="15"/>
  <c r="E94" i="15" s="1"/>
  <c r="E87" i="15"/>
  <c r="E93" i="15" s="1"/>
  <c r="E86" i="15"/>
  <c r="E68" i="15"/>
  <c r="E31" i="15"/>
  <c r="F15" i="15"/>
  <c r="F14" i="15"/>
  <c r="F13" i="15"/>
  <c r="F12" i="15"/>
  <c r="F11" i="15"/>
  <c r="F28" i="15" s="1"/>
  <c r="E67" i="15"/>
  <c r="E66" i="15"/>
  <c r="E30" i="15"/>
  <c r="E29" i="15"/>
  <c r="E92" i="15" l="1"/>
  <c r="E95" i="15" s="1"/>
  <c r="F33" i="19"/>
  <c r="F43" i="19" s="1"/>
  <c r="F35" i="20"/>
  <c r="F46" i="20" s="1"/>
  <c r="F65" i="18"/>
  <c r="F66" i="18" s="1"/>
  <c r="F76" i="18" s="1"/>
  <c r="F88" i="18"/>
  <c r="F87" i="18"/>
  <c r="F32" i="18"/>
  <c r="F42" i="18" s="1"/>
  <c r="F35" i="17"/>
  <c r="F36" i="17" s="1"/>
  <c r="F46" i="17" s="1"/>
  <c r="F31" i="15"/>
  <c r="F91" i="15"/>
  <c r="F30" i="15"/>
  <c r="F68" i="15"/>
  <c r="F67" i="15"/>
  <c r="E69" i="15"/>
  <c r="F29" i="15"/>
  <c r="F66" i="15"/>
  <c r="E32" i="15"/>
  <c r="F89" i="18" l="1"/>
  <c r="F90" i="18" s="1"/>
  <c r="F100" i="18" s="1"/>
  <c r="F94" i="15"/>
  <c r="F92" i="15"/>
  <c r="F93" i="15"/>
  <c r="F32" i="15"/>
  <c r="F69" i="15"/>
  <c r="F70" i="15" l="1"/>
  <c r="F80" i="15" s="1"/>
  <c r="F33" i="15"/>
  <c r="F43" i="15" s="1"/>
  <c r="F95" i="15"/>
  <c r="F96" i="15" l="1"/>
  <c r="F106" i="15" s="1"/>
  <c r="E12" i="10" l="1"/>
  <c r="E11" i="10"/>
  <c r="E13" i="9"/>
  <c r="E12" i="9"/>
  <c r="E11" i="9"/>
  <c r="E13" i="8"/>
  <c r="E12" i="8"/>
  <c r="E11" i="8"/>
  <c r="E13" i="7"/>
  <c r="E12" i="7"/>
  <c r="E11" i="7"/>
  <c r="E13" i="6"/>
  <c r="E12" i="6"/>
  <c r="E11" i="6"/>
  <c r="C4" i="2"/>
  <c r="C3" i="29" l="1"/>
  <c r="C3" i="32"/>
  <c r="C3" i="30"/>
  <c r="C3" i="31"/>
  <c r="C3" i="28"/>
  <c r="C3" i="26"/>
  <c r="C3" i="25"/>
  <c r="C3" i="21"/>
  <c r="C3" i="24"/>
  <c r="C3" i="23"/>
  <c r="C3" i="22"/>
  <c r="C3" i="20"/>
  <c r="C3" i="17"/>
  <c r="C3" i="18"/>
  <c r="C3" i="19"/>
  <c r="C3" i="15"/>
  <c r="N25" i="12"/>
  <c r="N25" i="13" s="1"/>
  <c r="M25" i="12"/>
  <c r="M25" i="13" s="1"/>
  <c r="L25" i="12"/>
  <c r="L25" i="13" s="1"/>
  <c r="K25" i="12"/>
  <c r="J25" i="12"/>
  <c r="I25" i="12"/>
  <c r="I25" i="13" s="1"/>
  <c r="H25" i="12"/>
  <c r="H25" i="13" s="1"/>
  <c r="G25" i="12"/>
  <c r="G25" i="13" s="1"/>
  <c r="F25" i="12"/>
  <c r="F25" i="13" s="1"/>
  <c r="E25" i="12"/>
  <c r="N24" i="12"/>
  <c r="N24" i="13" s="1"/>
  <c r="M24" i="12"/>
  <c r="M24" i="13" s="1"/>
  <c r="K24" i="12"/>
  <c r="K24" i="13" s="1"/>
  <c r="J24" i="12"/>
  <c r="I24" i="12"/>
  <c r="I24" i="13" s="1"/>
  <c r="H24" i="12"/>
  <c r="H24" i="13" s="1"/>
  <c r="G24" i="12"/>
  <c r="G24" i="13" s="1"/>
  <c r="F24" i="12"/>
  <c r="F24" i="13" s="1"/>
  <c r="E24" i="12"/>
  <c r="N23" i="12"/>
  <c r="N23" i="13" s="1"/>
  <c r="M23" i="12"/>
  <c r="M23" i="13" s="1"/>
  <c r="K23" i="12"/>
  <c r="K23" i="13" s="1"/>
  <c r="J23" i="12"/>
  <c r="J23" i="13" s="1"/>
  <c r="I23" i="12"/>
  <c r="I23" i="13" s="1"/>
  <c r="H23" i="12"/>
  <c r="H23" i="13" s="1"/>
  <c r="G23" i="12"/>
  <c r="F23" i="12"/>
  <c r="E23" i="12"/>
  <c r="N22" i="12"/>
  <c r="N22" i="13" s="1"/>
  <c r="M22" i="12"/>
  <c r="M22" i="13" s="1"/>
  <c r="K22" i="12"/>
  <c r="K22" i="13" s="1"/>
  <c r="J22" i="12"/>
  <c r="J22" i="13" s="1"/>
  <c r="I22" i="12"/>
  <c r="I22" i="13" s="1"/>
  <c r="H22" i="12"/>
  <c r="H22" i="13" s="1"/>
  <c r="G22" i="12"/>
  <c r="F22" i="12"/>
  <c r="E22" i="12"/>
  <c r="N21" i="12"/>
  <c r="N21" i="13" s="1"/>
  <c r="M21" i="12"/>
  <c r="M21" i="13" s="1"/>
  <c r="K21" i="12"/>
  <c r="J21" i="12"/>
  <c r="I21" i="12"/>
  <c r="I21" i="13" s="1"/>
  <c r="H21" i="12"/>
  <c r="H21" i="13" s="1"/>
  <c r="G21" i="12"/>
  <c r="G21" i="13" s="1"/>
  <c r="F21" i="12"/>
  <c r="F21" i="13" s="1"/>
  <c r="E21" i="12"/>
  <c r="N20" i="12"/>
  <c r="N20" i="13" s="1"/>
  <c r="M20" i="12"/>
  <c r="M20" i="13" s="1"/>
  <c r="K20" i="12"/>
  <c r="K20" i="13" s="1"/>
  <c r="J20" i="12"/>
  <c r="J20" i="13" s="1"/>
  <c r="I20" i="12"/>
  <c r="H20" i="12"/>
  <c r="G20" i="12"/>
  <c r="G20" i="13" s="1"/>
  <c r="F20" i="12"/>
  <c r="E20" i="12"/>
  <c r="N19" i="12"/>
  <c r="N19" i="13" s="1"/>
  <c r="M19" i="12"/>
  <c r="M19" i="13" s="1"/>
  <c r="K19" i="12"/>
  <c r="K19" i="13" s="1"/>
  <c r="J19" i="12"/>
  <c r="J19" i="13" s="1"/>
  <c r="I19" i="12"/>
  <c r="H19" i="12"/>
  <c r="G19" i="12"/>
  <c r="G19" i="13" s="1"/>
  <c r="F19" i="12"/>
  <c r="E19" i="12"/>
  <c r="N18" i="12"/>
  <c r="N18" i="13" s="1"/>
  <c r="M18" i="12"/>
  <c r="M18" i="13" s="1"/>
  <c r="K18" i="12"/>
  <c r="K18" i="13" s="1"/>
  <c r="J18" i="12"/>
  <c r="J18" i="13" s="1"/>
  <c r="I18" i="12"/>
  <c r="I18" i="13" s="1"/>
  <c r="H18" i="12"/>
  <c r="H18" i="13" s="1"/>
  <c r="G18" i="12"/>
  <c r="F18" i="12"/>
  <c r="E18" i="12"/>
  <c r="N17" i="12"/>
  <c r="N17" i="13" s="1"/>
  <c r="M17" i="12"/>
  <c r="M17" i="13" s="1"/>
  <c r="K17" i="12"/>
  <c r="K17" i="13" s="1"/>
  <c r="J17" i="12"/>
  <c r="J17" i="13" s="1"/>
  <c r="I17" i="12"/>
  <c r="I17" i="13" s="1"/>
  <c r="H17" i="12"/>
  <c r="H17" i="13" s="1"/>
  <c r="G17" i="12"/>
  <c r="F17" i="12"/>
  <c r="E17" i="12"/>
  <c r="N16" i="12"/>
  <c r="M16" i="12"/>
  <c r="K16" i="12"/>
  <c r="J16" i="12"/>
  <c r="I16" i="12"/>
  <c r="H16" i="12"/>
  <c r="G16" i="12"/>
  <c r="F16" i="12"/>
  <c r="E16" i="12"/>
  <c r="G23" i="11"/>
  <c r="G23" i="32" s="1"/>
  <c r="G22" i="11"/>
  <c r="G22" i="32" s="1"/>
  <c r="K21" i="11"/>
  <c r="K21" i="32" s="1"/>
  <c r="H19" i="10"/>
  <c r="H18" i="10"/>
  <c r="H17" i="10"/>
  <c r="E19" i="10"/>
  <c r="E18" i="10"/>
  <c r="E14" i="10"/>
  <c r="F19" i="10" s="1"/>
  <c r="H18" i="9"/>
  <c r="H17" i="9"/>
  <c r="E19" i="9"/>
  <c r="K19" i="9" s="1"/>
  <c r="L24" i="11" s="1"/>
  <c r="L24" i="32" s="1"/>
  <c r="E18" i="9"/>
  <c r="E14" i="9"/>
  <c r="H21" i="8"/>
  <c r="L21" i="8" s="1"/>
  <c r="H20" i="8"/>
  <c r="H19" i="8"/>
  <c r="L19" i="8" s="1"/>
  <c r="H18" i="8"/>
  <c r="H17" i="8"/>
  <c r="E22" i="8"/>
  <c r="K22" i="8" s="1"/>
  <c r="L22" i="11" s="1"/>
  <c r="L22" i="32" s="1"/>
  <c r="E21" i="8"/>
  <c r="E20" i="8"/>
  <c r="E19" i="8"/>
  <c r="E18" i="8"/>
  <c r="E14" i="8"/>
  <c r="H19" i="7"/>
  <c r="L19" i="7" s="1"/>
  <c r="H18" i="7"/>
  <c r="H17" i="7"/>
  <c r="E20" i="7"/>
  <c r="K20" i="7" s="1"/>
  <c r="L21" i="11" s="1"/>
  <c r="L21" i="32" s="1"/>
  <c r="E19" i="7"/>
  <c r="E18" i="7"/>
  <c r="E14" i="7"/>
  <c r="F19" i="7" s="1"/>
  <c r="H23" i="6"/>
  <c r="H22" i="6"/>
  <c r="H21" i="6"/>
  <c r="H20" i="6"/>
  <c r="H19" i="6"/>
  <c r="H18" i="6"/>
  <c r="H17" i="6"/>
  <c r="E24" i="6"/>
  <c r="K24" i="6" s="1"/>
  <c r="E23" i="6"/>
  <c r="K23" i="6" s="1"/>
  <c r="L23" i="6" s="1"/>
  <c r="E22" i="6"/>
  <c r="K22" i="6" s="1"/>
  <c r="L22" i="6" s="1"/>
  <c r="E21" i="6"/>
  <c r="E20" i="6"/>
  <c r="K20" i="6" s="1"/>
  <c r="E19" i="6"/>
  <c r="K19" i="6" s="1"/>
  <c r="L19" i="6" s="1"/>
  <c r="E18" i="6"/>
  <c r="E14" i="6"/>
  <c r="H19" i="5"/>
  <c r="H18" i="5"/>
  <c r="H17" i="5"/>
  <c r="E14" i="5"/>
  <c r="F17" i="5" s="1"/>
  <c r="E20" i="5"/>
  <c r="K20" i="5" s="1"/>
  <c r="E19" i="5"/>
  <c r="E18" i="5"/>
  <c r="H49" i="18" l="1"/>
  <c r="H64" i="18" s="1"/>
  <c r="J64" i="18" s="1"/>
  <c r="L64" i="18" s="1"/>
  <c r="H15" i="18"/>
  <c r="H30" i="18" s="1"/>
  <c r="J30" i="18" s="1"/>
  <c r="L30" i="18" s="1"/>
  <c r="H19" i="17"/>
  <c r="H34" i="17" s="1"/>
  <c r="J34" i="17" s="1"/>
  <c r="L34" i="17" s="1"/>
  <c r="H20" i="17"/>
  <c r="H35" i="17" s="1"/>
  <c r="J35" i="17" s="1"/>
  <c r="L35" i="17" s="1"/>
  <c r="H16" i="18"/>
  <c r="H31" i="18" s="1"/>
  <c r="J31" i="18" s="1"/>
  <c r="L31" i="18" s="1"/>
  <c r="H19" i="19"/>
  <c r="H32" i="19" s="1"/>
  <c r="J32" i="19" s="1"/>
  <c r="L32" i="19" s="1"/>
  <c r="L23" i="11"/>
  <c r="L23" i="32" s="1"/>
  <c r="L20" i="6"/>
  <c r="H20" i="11"/>
  <c r="H20" i="32" s="1"/>
  <c r="L17" i="11"/>
  <c r="L17" i="32" s="1"/>
  <c r="E26" i="12"/>
  <c r="L20" i="11"/>
  <c r="L20" i="32" s="1"/>
  <c r="L19" i="11"/>
  <c r="L19" i="32" s="1"/>
  <c r="I20" i="11"/>
  <c r="I20" i="32" s="1"/>
  <c r="I16" i="13"/>
  <c r="I26" i="12"/>
  <c r="N16" i="13"/>
  <c r="N26" i="13" s="1"/>
  <c r="N26" i="12"/>
  <c r="F26" i="12"/>
  <c r="J16" i="13"/>
  <c r="J26" i="12"/>
  <c r="G26" i="12"/>
  <c r="K16" i="13"/>
  <c r="K26" i="12"/>
  <c r="H16" i="13"/>
  <c r="H26" i="12"/>
  <c r="M16" i="13"/>
  <c r="M26" i="13" s="1"/>
  <c r="M26" i="12"/>
  <c r="F19" i="6"/>
  <c r="G19" i="6" s="1"/>
  <c r="I19" i="6" s="1"/>
  <c r="F22" i="6"/>
  <c r="G22" i="6" s="1"/>
  <c r="I22" i="6" s="1"/>
  <c r="F17" i="6"/>
  <c r="G22" i="13"/>
  <c r="G23" i="13"/>
  <c r="K21" i="13"/>
  <c r="F18" i="6"/>
  <c r="G18" i="6" s="1"/>
  <c r="F23" i="6"/>
  <c r="G23" i="6" s="1"/>
  <c r="I23" i="6" s="1"/>
  <c r="F21" i="6"/>
  <c r="G21" i="6" s="1"/>
  <c r="I21" i="6" s="1"/>
  <c r="G19" i="10"/>
  <c r="F18" i="10"/>
  <c r="G18" i="10" s="1"/>
  <c r="I18" i="10" s="1"/>
  <c r="F17" i="10"/>
  <c r="F18" i="9"/>
  <c r="G18" i="9" s="1"/>
  <c r="I18" i="9" s="1"/>
  <c r="F17" i="9"/>
  <c r="G19" i="9"/>
  <c r="F18" i="8"/>
  <c r="G18" i="8" s="1"/>
  <c r="I18" i="8" s="1"/>
  <c r="F21" i="8"/>
  <c r="G21" i="8" s="1"/>
  <c r="I21" i="8" s="1"/>
  <c r="G22" i="8"/>
  <c r="F17" i="8"/>
  <c r="F19" i="8"/>
  <c r="G19" i="8" s="1"/>
  <c r="I19" i="8" s="1"/>
  <c r="F20" i="8"/>
  <c r="G20" i="8" s="1"/>
  <c r="I20" i="8" s="1"/>
  <c r="F20" i="6"/>
  <c r="G20" i="6" s="1"/>
  <c r="G19" i="7"/>
  <c r="I19" i="7" s="1"/>
  <c r="F18" i="7"/>
  <c r="G18" i="7" s="1"/>
  <c r="I18" i="7" s="1"/>
  <c r="F17" i="7"/>
  <c r="G20" i="7"/>
  <c r="G24" i="6"/>
  <c r="F18" i="5"/>
  <c r="G18" i="5" s="1"/>
  <c r="I18" i="5" s="1"/>
  <c r="F19" i="5"/>
  <c r="G19" i="5" s="1"/>
  <c r="K19" i="5" s="1"/>
  <c r="L19" i="5" s="1"/>
  <c r="G20" i="5"/>
  <c r="L18" i="11" s="1"/>
  <c r="L18" i="32" s="1"/>
  <c r="H88" i="18" l="1"/>
  <c r="J88" i="18" s="1"/>
  <c r="L88" i="18" s="1"/>
  <c r="H50" i="18"/>
  <c r="H65" i="18" s="1"/>
  <c r="J65" i="18" s="1"/>
  <c r="L65" i="18" s="1"/>
  <c r="H50" i="15"/>
  <c r="H67" i="15" s="1"/>
  <c r="J67" i="15" s="1"/>
  <c r="L67" i="15" s="1"/>
  <c r="H15" i="15"/>
  <c r="H32" i="15" s="1"/>
  <c r="J32" i="15" s="1"/>
  <c r="L32" i="15" s="1"/>
  <c r="H51" i="15"/>
  <c r="H68" i="15" s="1"/>
  <c r="J68" i="15" s="1"/>
  <c r="L68" i="15" s="1"/>
  <c r="H50" i="30"/>
  <c r="H66" i="30" s="1"/>
  <c r="J66" i="30" s="1"/>
  <c r="L66" i="30" s="1"/>
  <c r="H86" i="30"/>
  <c r="H102" i="30" s="1"/>
  <c r="J102" i="30" s="1"/>
  <c r="L102" i="30" s="1"/>
  <c r="H20" i="13"/>
  <c r="I19" i="5"/>
  <c r="L16" i="11"/>
  <c r="L16" i="32" s="1"/>
  <c r="H52" i="15"/>
  <c r="H69" i="15" s="1"/>
  <c r="J69" i="15" s="1"/>
  <c r="L69" i="15" s="1"/>
  <c r="I20" i="13"/>
  <c r="I18" i="6"/>
  <c r="I19" i="10"/>
  <c r="K19" i="10"/>
  <c r="I20" i="6"/>
  <c r="H89" i="18" l="1"/>
  <c r="J89" i="18" s="1"/>
  <c r="L89" i="18" s="1"/>
  <c r="H15" i="30"/>
  <c r="H31" i="30" s="1"/>
  <c r="J31" i="30" s="1"/>
  <c r="L31" i="30" s="1"/>
  <c r="H95" i="15"/>
  <c r="J95" i="15" s="1"/>
  <c r="L95" i="15" s="1"/>
  <c r="K25" i="11"/>
  <c r="K25" i="32" s="1"/>
  <c r="L19" i="10"/>
  <c r="I19" i="11"/>
  <c r="I19" i="32" s="1"/>
  <c r="H25" i="20" l="1"/>
  <c r="H43" i="20" s="1"/>
  <c r="J43" i="20" s="1"/>
  <c r="L43" i="20" s="1"/>
  <c r="H19" i="20"/>
  <c r="H34" i="20" s="1"/>
  <c r="J34" i="20" s="1"/>
  <c r="L34" i="20" s="1"/>
  <c r="K25" i="13"/>
  <c r="K26" i="13" s="1"/>
  <c r="H14" i="15"/>
  <c r="H31" i="15" s="1"/>
  <c r="I19" i="13"/>
  <c r="I26" i="13" s="1"/>
  <c r="E23" i="4"/>
  <c r="E22" i="4"/>
  <c r="E20" i="4"/>
  <c r="E19" i="4"/>
  <c r="N25" i="4"/>
  <c r="M25" i="4"/>
  <c r="K25" i="4"/>
  <c r="J25" i="4"/>
  <c r="I25" i="4"/>
  <c r="H25" i="4"/>
  <c r="G25" i="4"/>
  <c r="F25" i="4"/>
  <c r="N24" i="4"/>
  <c r="M24" i="4"/>
  <c r="K24" i="4"/>
  <c r="J24" i="4"/>
  <c r="I24" i="4"/>
  <c r="H24" i="4"/>
  <c r="G24" i="4"/>
  <c r="F24" i="4"/>
  <c r="N23" i="4"/>
  <c r="M23" i="4"/>
  <c r="K23" i="4"/>
  <c r="J23" i="4"/>
  <c r="I23" i="4"/>
  <c r="H23" i="4"/>
  <c r="G23" i="4"/>
  <c r="F23" i="4"/>
  <c r="N22" i="4"/>
  <c r="M22" i="4"/>
  <c r="K22" i="4"/>
  <c r="J22" i="4"/>
  <c r="I22" i="4"/>
  <c r="H22" i="4"/>
  <c r="G22" i="4"/>
  <c r="F22" i="4"/>
  <c r="N21" i="4"/>
  <c r="M21" i="4"/>
  <c r="K21" i="4"/>
  <c r="J21" i="4"/>
  <c r="I21" i="4"/>
  <c r="H21" i="4"/>
  <c r="G21" i="4"/>
  <c r="F21" i="4"/>
  <c r="N20" i="4"/>
  <c r="M20" i="4"/>
  <c r="K20" i="4"/>
  <c r="J20" i="4"/>
  <c r="I20" i="4"/>
  <c r="G20" i="4"/>
  <c r="N19" i="4"/>
  <c r="M19" i="4"/>
  <c r="K19" i="4"/>
  <c r="J19" i="4"/>
  <c r="I19" i="4"/>
  <c r="G19" i="4"/>
  <c r="N18" i="4"/>
  <c r="M18" i="4"/>
  <c r="K18" i="4"/>
  <c r="J18" i="4"/>
  <c r="I18" i="4"/>
  <c r="H18" i="4"/>
  <c r="N17" i="4"/>
  <c r="M17" i="4"/>
  <c r="K17" i="4"/>
  <c r="J17" i="4"/>
  <c r="I17" i="4"/>
  <c r="H17" i="4"/>
  <c r="N16" i="4"/>
  <c r="M16" i="4"/>
  <c r="K16" i="4"/>
  <c r="J16" i="4"/>
  <c r="I16" i="4"/>
  <c r="H16" i="4"/>
  <c r="E25" i="4"/>
  <c r="E24" i="4"/>
  <c r="E21" i="4"/>
  <c r="E18" i="4"/>
  <c r="E17" i="4"/>
  <c r="E16" i="4"/>
  <c r="H94" i="15" l="1"/>
  <c r="J94" i="15" s="1"/>
  <c r="L94" i="15" s="1"/>
  <c r="J31" i="15"/>
  <c r="L31" i="15" s="1"/>
  <c r="M26" i="4"/>
  <c r="L25" i="4"/>
  <c r="L24" i="12"/>
  <c r="L24" i="13" s="1"/>
  <c r="L22" i="12"/>
  <c r="L22" i="13" s="1"/>
  <c r="L21" i="12"/>
  <c r="L21" i="13" s="1"/>
  <c r="H20" i="4"/>
  <c r="F20" i="4"/>
  <c r="H19" i="4"/>
  <c r="F19" i="4"/>
  <c r="F18" i="4"/>
  <c r="G17" i="4"/>
  <c r="F17" i="4"/>
  <c r="G16" i="4"/>
  <c r="F16" i="4"/>
  <c r="C3" i="2"/>
  <c r="C2" i="29" l="1"/>
  <c r="C2" i="32"/>
  <c r="C2" i="30"/>
  <c r="C2" i="31"/>
  <c r="C2" i="28"/>
  <c r="C2" i="26"/>
  <c r="C2" i="25"/>
  <c r="C2" i="21"/>
  <c r="C2" i="24"/>
  <c r="C2" i="23"/>
  <c r="C2" i="22"/>
  <c r="C2" i="1"/>
  <c r="C2" i="19"/>
  <c r="C2" i="17"/>
  <c r="C2" i="18"/>
  <c r="C2" i="20"/>
  <c r="C2" i="15"/>
  <c r="L23" i="4"/>
  <c r="O23" i="4" s="1"/>
  <c r="L23" i="12"/>
  <c r="L23" i="13" s="1"/>
  <c r="C3" i="4"/>
  <c r="C3" i="12"/>
  <c r="C3" i="13"/>
  <c r="C3" i="10"/>
  <c r="C3" i="7"/>
  <c r="C3" i="6"/>
  <c r="C3" i="9"/>
  <c r="C3" i="8"/>
  <c r="C3" i="5"/>
  <c r="C3" i="11"/>
  <c r="C3" i="3"/>
  <c r="C2" i="11"/>
  <c r="C2" i="12"/>
  <c r="C2" i="8"/>
  <c r="C2" i="5"/>
  <c r="C2" i="6"/>
  <c r="C2" i="13"/>
  <c r="C2" i="10"/>
  <c r="C2" i="7"/>
  <c r="C2" i="9"/>
  <c r="C2" i="3"/>
  <c r="L24" i="4"/>
  <c r="O24" i="4" s="1"/>
  <c r="G21" i="31" s="1"/>
  <c r="H19" i="9"/>
  <c r="L21" i="4"/>
  <c r="O21" i="4" s="1"/>
  <c r="G19" i="31" s="1"/>
  <c r="H20" i="7"/>
  <c r="L22" i="4"/>
  <c r="O22" i="4" s="1"/>
  <c r="H22" i="8"/>
  <c r="G18" i="4"/>
  <c r="K26" i="4"/>
  <c r="N26" i="4"/>
  <c r="J26" i="4"/>
  <c r="I26" i="4"/>
  <c r="E26" i="4"/>
  <c r="O25" i="4"/>
  <c r="G22" i="31" s="1"/>
  <c r="L19" i="12"/>
  <c r="L19" i="13" s="1"/>
  <c r="L16" i="12"/>
  <c r="C3" i="1"/>
  <c r="C2" i="4"/>
  <c r="H26" i="4"/>
  <c r="G20" i="31" l="1"/>
  <c r="L16" i="13"/>
  <c r="E21" i="24"/>
  <c r="E21" i="25"/>
  <c r="E19" i="25"/>
  <c r="E20" i="24"/>
  <c r="E20" i="25"/>
  <c r="E18" i="24"/>
  <c r="E18" i="25"/>
  <c r="E19" i="24"/>
  <c r="L20" i="4"/>
  <c r="O20" i="4" s="1"/>
  <c r="L20" i="12"/>
  <c r="L20" i="13" s="1"/>
  <c r="L18" i="4"/>
  <c r="O18" i="4" s="1"/>
  <c r="L18" i="12"/>
  <c r="L18" i="13" s="1"/>
  <c r="L17" i="4"/>
  <c r="O17" i="4" s="1"/>
  <c r="L17" i="12"/>
  <c r="L17" i="13" s="1"/>
  <c r="L20" i="7"/>
  <c r="I20" i="7"/>
  <c r="L19" i="4"/>
  <c r="O19" i="4" s="1"/>
  <c r="H24" i="6"/>
  <c r="L24" i="6" s="1"/>
  <c r="L22" i="8"/>
  <c r="I22" i="8"/>
  <c r="L19" i="9"/>
  <c r="I19" i="9"/>
  <c r="L16" i="4"/>
  <c r="O16" i="4" s="1"/>
  <c r="H20" i="5"/>
  <c r="G26" i="4"/>
  <c r="F26" i="4"/>
  <c r="G17" i="31" l="1"/>
  <c r="E17" i="25"/>
  <c r="G18" i="31"/>
  <c r="L26" i="12"/>
  <c r="E16" i="25"/>
  <c r="E17" i="24"/>
  <c r="E16" i="24"/>
  <c r="L26" i="13"/>
  <c r="I24" i="6"/>
  <c r="L26" i="4"/>
  <c r="L20" i="5"/>
  <c r="I20" i="5"/>
  <c r="O26" i="4"/>
  <c r="O29" i="13" s="1"/>
  <c r="G23" i="31" l="1"/>
  <c r="E22" i="25"/>
  <c r="G18" i="25" s="1"/>
  <c r="I18" i="25" s="1"/>
  <c r="O18" i="25" s="1"/>
  <c r="I21" i="28" s="1"/>
  <c r="E17" i="7" s="1"/>
  <c r="G17" i="7" s="1"/>
  <c r="I17" i="7" s="1"/>
  <c r="I21" i="7" s="1"/>
  <c r="E22" i="24"/>
  <c r="G16" i="24" s="1"/>
  <c r="K17" i="7" l="1"/>
  <c r="L17" i="7" s="1"/>
  <c r="L18" i="7" s="1"/>
  <c r="G21" i="25"/>
  <c r="I21" i="25" s="1"/>
  <c r="O21" i="25" s="1"/>
  <c r="I25" i="28" s="1"/>
  <c r="E17" i="10" s="1"/>
  <c r="G17" i="10" s="1"/>
  <c r="I17" i="10" s="1"/>
  <c r="I20" i="10" s="1"/>
  <c r="G20" i="25"/>
  <c r="I20" i="25" s="1"/>
  <c r="O20" i="25" s="1"/>
  <c r="I24" i="28" s="1"/>
  <c r="E17" i="9" s="1"/>
  <c r="G17" i="9" s="1"/>
  <c r="I17" i="9" s="1"/>
  <c r="I20" i="9" s="1"/>
  <c r="G16" i="25"/>
  <c r="I16" i="25" s="1"/>
  <c r="O16" i="25" s="1"/>
  <c r="G19" i="25"/>
  <c r="I19" i="25" s="1"/>
  <c r="O19" i="25" s="1"/>
  <c r="G17" i="25"/>
  <c r="I17" i="25" s="1"/>
  <c r="O17" i="25" s="1"/>
  <c r="I16" i="28"/>
  <c r="E17" i="5" s="1"/>
  <c r="I18" i="28"/>
  <c r="I17" i="28"/>
  <c r="I20" i="28"/>
  <c r="I19" i="28"/>
  <c r="E17" i="6" s="1"/>
  <c r="I22" i="28"/>
  <c r="E17" i="8" s="1"/>
  <c r="I23" i="28"/>
  <c r="I16" i="24"/>
  <c r="O16" i="24" s="1"/>
  <c r="G17" i="24"/>
  <c r="G21" i="24"/>
  <c r="G20" i="24"/>
  <c r="G18" i="24"/>
  <c r="G19" i="24"/>
  <c r="K17" i="10" l="1"/>
  <c r="E25" i="11" s="1"/>
  <c r="E25" i="32" s="1"/>
  <c r="E21" i="11"/>
  <c r="E21" i="32" s="1"/>
  <c r="K17" i="9"/>
  <c r="E24" i="11" s="1"/>
  <c r="E24" i="32" s="1"/>
  <c r="G22" i="25"/>
  <c r="I20" i="24"/>
  <c r="I21" i="24"/>
  <c r="I19" i="24"/>
  <c r="I17" i="24"/>
  <c r="I18" i="24"/>
  <c r="G17" i="6"/>
  <c r="I17" i="6" s="1"/>
  <c r="I25" i="6" s="1"/>
  <c r="K17" i="6"/>
  <c r="L21" i="7"/>
  <c r="L22" i="7" s="1"/>
  <c r="K18" i="7"/>
  <c r="J21" i="11" s="1"/>
  <c r="J21" i="32" s="1"/>
  <c r="G17" i="8"/>
  <c r="I17" i="8" s="1"/>
  <c r="I23" i="8" s="1"/>
  <c r="K17" i="8"/>
  <c r="G17" i="5"/>
  <c r="I17" i="5" s="1"/>
  <c r="I21" i="5" s="1"/>
  <c r="K17" i="5"/>
  <c r="E17" i="22"/>
  <c r="H54" i="30" s="1"/>
  <c r="H73" i="30" s="1"/>
  <c r="E18" i="22"/>
  <c r="H90" i="30" s="1"/>
  <c r="H109" i="30" s="1"/>
  <c r="E16" i="22"/>
  <c r="H19" i="30" s="1"/>
  <c r="H38" i="30" s="1"/>
  <c r="G22" i="24"/>
  <c r="L17" i="10" l="1"/>
  <c r="L18" i="10" s="1"/>
  <c r="K18" i="10" s="1"/>
  <c r="J25" i="11" s="1"/>
  <c r="J25" i="32" s="1"/>
  <c r="H24" i="20" s="1"/>
  <c r="H42" i="20" s="1"/>
  <c r="J42" i="20" s="1"/>
  <c r="L42" i="20" s="1"/>
  <c r="E21" i="13"/>
  <c r="H25" i="17"/>
  <c r="H43" i="17" s="1"/>
  <c r="J43" i="17" s="1"/>
  <c r="L43" i="17" s="1"/>
  <c r="H17" i="17"/>
  <c r="H32" i="17" s="1"/>
  <c r="J32" i="17" s="1"/>
  <c r="D17" i="29" s="1"/>
  <c r="L17" i="9"/>
  <c r="L18" i="9" s="1"/>
  <c r="K18" i="9" s="1"/>
  <c r="J24" i="11" s="1"/>
  <c r="J24" i="32" s="1"/>
  <c r="O19" i="24"/>
  <c r="E23" i="22" s="1"/>
  <c r="H54" i="18" s="1"/>
  <c r="H72" i="18" s="1"/>
  <c r="O21" i="24"/>
  <c r="E25" i="22" s="1"/>
  <c r="H23" i="20" s="1"/>
  <c r="H41" i="20" s="1"/>
  <c r="O18" i="24"/>
  <c r="E21" i="22" s="1"/>
  <c r="H24" i="17" s="1"/>
  <c r="H42" i="17" s="1"/>
  <c r="O20" i="24"/>
  <c r="E24" i="22" s="1"/>
  <c r="H23" i="19" s="1"/>
  <c r="H39" i="19" s="1"/>
  <c r="O17" i="24"/>
  <c r="E20" i="22" s="1"/>
  <c r="H56" i="15" s="1"/>
  <c r="H76" i="15" s="1"/>
  <c r="J38" i="30"/>
  <c r="J73" i="30"/>
  <c r="J109" i="30"/>
  <c r="H17" i="19"/>
  <c r="H30" i="19" s="1"/>
  <c r="E24" i="13"/>
  <c r="E23" i="11"/>
  <c r="E23" i="32" s="1"/>
  <c r="E22" i="11"/>
  <c r="E22" i="32" s="1"/>
  <c r="L17" i="8"/>
  <c r="H17" i="20"/>
  <c r="H32" i="20" s="1"/>
  <c r="J32" i="20" s="1"/>
  <c r="E25" i="13"/>
  <c r="E20" i="11"/>
  <c r="E20" i="32" s="1"/>
  <c r="E19" i="11"/>
  <c r="E19" i="32" s="1"/>
  <c r="L17" i="6"/>
  <c r="H18" i="17"/>
  <c r="J21" i="13"/>
  <c r="O21" i="13" s="1"/>
  <c r="E19" i="31" s="1"/>
  <c r="I19" i="31" s="1"/>
  <c r="K19" i="31" s="1"/>
  <c r="E18" i="11"/>
  <c r="E18" i="32" s="1"/>
  <c r="E17" i="11"/>
  <c r="E17" i="32" s="1"/>
  <c r="E16" i="11"/>
  <c r="E16" i="32" s="1"/>
  <c r="L17" i="5"/>
  <c r="L18" i="5" s="1"/>
  <c r="H18" i="20" l="1"/>
  <c r="H33" i="20" s="1"/>
  <c r="J33" i="20" s="1"/>
  <c r="L33" i="20" s="1"/>
  <c r="L20" i="10"/>
  <c r="L21" i="10" s="1"/>
  <c r="J25" i="13"/>
  <c r="H24" i="19"/>
  <c r="H40" i="19" s="1"/>
  <c r="H44" i="17"/>
  <c r="J41" i="20"/>
  <c r="H44" i="20"/>
  <c r="J39" i="19"/>
  <c r="J76" i="15"/>
  <c r="H83" i="30"/>
  <c r="H99" i="30" s="1"/>
  <c r="J99" i="30" s="1"/>
  <c r="D11" i="29" s="1"/>
  <c r="H12" i="30"/>
  <c r="H28" i="30" s="1"/>
  <c r="J28" i="30" s="1"/>
  <c r="L28" i="30" s="1"/>
  <c r="H47" i="30"/>
  <c r="H63" i="30" s="1"/>
  <c r="J63" i="30" s="1"/>
  <c r="D10" i="29" s="1"/>
  <c r="L32" i="17"/>
  <c r="E19" i="22"/>
  <c r="H19" i="15" s="1"/>
  <c r="H39" i="15" s="1"/>
  <c r="O19" i="31"/>
  <c r="J42" i="17"/>
  <c r="J44" i="17" s="1"/>
  <c r="J72" i="18"/>
  <c r="E22" i="22"/>
  <c r="H20" i="18" s="1"/>
  <c r="H38" i="18" s="1"/>
  <c r="L73" i="30"/>
  <c r="L109" i="30"/>
  <c r="L20" i="9"/>
  <c r="L21" i="9" s="1"/>
  <c r="L38" i="30"/>
  <c r="H35" i="20"/>
  <c r="J35" i="20" s="1"/>
  <c r="L35" i="20" s="1"/>
  <c r="O25" i="13"/>
  <c r="E22" i="31" s="1"/>
  <c r="I22" i="31" s="1"/>
  <c r="K22" i="31" s="1"/>
  <c r="E18" i="13"/>
  <c r="L21" i="6"/>
  <c r="K21" i="6" s="1"/>
  <c r="L18" i="6"/>
  <c r="K18" i="6" s="1"/>
  <c r="L32" i="20"/>
  <c r="D25" i="29"/>
  <c r="H11" i="15"/>
  <c r="H28" i="15" s="1"/>
  <c r="E19" i="13"/>
  <c r="L20" i="8"/>
  <c r="L18" i="8"/>
  <c r="J30" i="19"/>
  <c r="E16" i="13"/>
  <c r="H48" i="15"/>
  <c r="H65" i="15" s="1"/>
  <c r="J65" i="15" s="1"/>
  <c r="E20" i="13"/>
  <c r="H13" i="18"/>
  <c r="H28" i="18" s="1"/>
  <c r="E22" i="13"/>
  <c r="H18" i="19"/>
  <c r="H31" i="19" s="1"/>
  <c r="J31" i="19" s="1"/>
  <c r="L31" i="19" s="1"/>
  <c r="J24" i="13"/>
  <c r="E17" i="13"/>
  <c r="H47" i="18"/>
  <c r="H62" i="18" s="1"/>
  <c r="J62" i="18" s="1"/>
  <c r="E23" i="13"/>
  <c r="J40" i="19" l="1"/>
  <c r="L40" i="19" s="1"/>
  <c r="H41" i="19"/>
  <c r="L39" i="19"/>
  <c r="L41" i="20"/>
  <c r="J44" i="20"/>
  <c r="L44" i="20" s="1"/>
  <c r="L72" i="18"/>
  <c r="J38" i="18"/>
  <c r="L76" i="15"/>
  <c r="L63" i="30"/>
  <c r="D9" i="29"/>
  <c r="L99" i="30"/>
  <c r="H102" i="15"/>
  <c r="J39" i="15"/>
  <c r="O22" i="31"/>
  <c r="L42" i="17"/>
  <c r="H96" i="18"/>
  <c r="H46" i="20"/>
  <c r="E25" i="29"/>
  <c r="D20" i="29"/>
  <c r="L62" i="18"/>
  <c r="L65" i="15"/>
  <c r="D14" i="29"/>
  <c r="L30" i="19"/>
  <c r="D23" i="29"/>
  <c r="J28" i="15"/>
  <c r="H91" i="15"/>
  <c r="J91" i="15" s="1"/>
  <c r="E26" i="13"/>
  <c r="H33" i="19"/>
  <c r="O24" i="13"/>
  <c r="E21" i="31" s="1"/>
  <c r="I21" i="31" s="1"/>
  <c r="K21" i="31" s="1"/>
  <c r="J26" i="13"/>
  <c r="H86" i="18"/>
  <c r="J86" i="18" s="1"/>
  <c r="J28" i="18"/>
  <c r="J41" i="19" l="1"/>
  <c r="L41" i="19" s="1"/>
  <c r="L38" i="18"/>
  <c r="L39" i="15"/>
  <c r="J102" i="15"/>
  <c r="J96" i="18"/>
  <c r="O21" i="31"/>
  <c r="F25" i="29"/>
  <c r="G25" i="29" s="1"/>
  <c r="J46" i="20"/>
  <c r="L46" i="20" s="1"/>
  <c r="L44" i="17"/>
  <c r="F17" i="29"/>
  <c r="L28" i="18"/>
  <c r="D19" i="29"/>
  <c r="L28" i="15"/>
  <c r="D13" i="29"/>
  <c r="J33" i="19"/>
  <c r="H43" i="19"/>
  <c r="D15" i="29"/>
  <c r="L91" i="15"/>
  <c r="D21" i="29"/>
  <c r="L86" i="18"/>
  <c r="F23" i="29" l="1"/>
  <c r="L96" i="18"/>
  <c r="L102" i="15"/>
  <c r="H25" i="29"/>
  <c r="E23" i="29"/>
  <c r="L33" i="19"/>
  <c r="J43" i="19"/>
  <c r="L43" i="19" s="1"/>
  <c r="F20" i="11"/>
  <c r="G23" i="29" l="1"/>
  <c r="H23" i="29"/>
  <c r="H49" i="15"/>
  <c r="H66" i="15" s="1"/>
  <c r="F20" i="13"/>
  <c r="H19" i="11"/>
  <c r="H19" i="32" s="1"/>
  <c r="H19" i="13" l="1"/>
  <c r="H13" i="15"/>
  <c r="H30" i="15" s="1"/>
  <c r="O20" i="13"/>
  <c r="H70" i="15"/>
  <c r="J66" i="15"/>
  <c r="L66" i="15" s="1"/>
  <c r="H93" i="15" l="1"/>
  <c r="J93" i="15" s="1"/>
  <c r="L93" i="15" s="1"/>
  <c r="J30" i="15"/>
  <c r="L30" i="15" s="1"/>
  <c r="H26" i="13"/>
  <c r="J70" i="15"/>
  <c r="E14" i="29" l="1"/>
  <c r="L70" i="15"/>
  <c r="L25" i="6"/>
  <c r="L26" i="6" s="1"/>
  <c r="F19" i="11"/>
  <c r="F20" i="32" l="1"/>
  <c r="H57" i="15" s="1"/>
  <c r="H77" i="15" s="1"/>
  <c r="H12" i="15"/>
  <c r="H29" i="15" s="1"/>
  <c r="J29" i="15" s="1"/>
  <c r="L29" i="15" s="1"/>
  <c r="H20" i="15"/>
  <c r="H40" i="15" s="1"/>
  <c r="F19" i="13"/>
  <c r="H78" i="15" l="1"/>
  <c r="H80" i="15" s="1"/>
  <c r="J77" i="15"/>
  <c r="J78" i="15" s="1"/>
  <c r="L77" i="15"/>
  <c r="J40" i="15"/>
  <c r="H103" i="15"/>
  <c r="H41" i="15"/>
  <c r="H33" i="15"/>
  <c r="H92" i="15"/>
  <c r="J92" i="15" s="1"/>
  <c r="L92" i="15" s="1"/>
  <c r="O19" i="13"/>
  <c r="E18" i="31" s="1"/>
  <c r="I18" i="31" s="1"/>
  <c r="K18" i="31" s="1"/>
  <c r="L78" i="15" l="1"/>
  <c r="J80" i="15"/>
  <c r="L80" i="15" s="1"/>
  <c r="H14" i="29" s="1"/>
  <c r="F14" i="29"/>
  <c r="G14" i="29" s="1"/>
  <c r="H43" i="15"/>
  <c r="J103" i="15"/>
  <c r="H104" i="15"/>
  <c r="L40" i="15"/>
  <c r="J41" i="15"/>
  <c r="H96" i="15"/>
  <c r="J96" i="15" s="1"/>
  <c r="J33" i="15"/>
  <c r="L33" i="15" s="1"/>
  <c r="O18" i="31"/>
  <c r="L41" i="15" l="1"/>
  <c r="F13" i="29"/>
  <c r="L103" i="15"/>
  <c r="J104" i="15"/>
  <c r="H106" i="15"/>
  <c r="J43" i="15"/>
  <c r="L43" i="15" s="1"/>
  <c r="H13" i="29" s="1"/>
  <c r="E13" i="29"/>
  <c r="E15" i="29"/>
  <c r="L96" i="15"/>
  <c r="K18" i="8"/>
  <c r="F22" i="11" s="1"/>
  <c r="F23" i="32" s="1"/>
  <c r="H21" i="18" l="1"/>
  <c r="H39" i="18" s="1"/>
  <c r="G13" i="29"/>
  <c r="L104" i="15"/>
  <c r="F15" i="29"/>
  <c r="G15" i="29" s="1"/>
  <c r="J106" i="15"/>
  <c r="L106" i="15" s="1"/>
  <c r="H15" i="29" s="1"/>
  <c r="F22" i="13"/>
  <c r="H14" i="18"/>
  <c r="H29" i="18" s="1"/>
  <c r="J39" i="18" l="1"/>
  <c r="L39" i="18" s="1"/>
  <c r="H40" i="18"/>
  <c r="O22" i="13"/>
  <c r="H32" i="18"/>
  <c r="J29" i="18"/>
  <c r="L29" i="18" s="1"/>
  <c r="J40" i="18" l="1"/>
  <c r="F19" i="29" s="1"/>
  <c r="J32" i="18"/>
  <c r="H42" i="18"/>
  <c r="L40" i="18" l="1"/>
  <c r="E19" i="29"/>
  <c r="G19" i="29" s="1"/>
  <c r="L32" i="18"/>
  <c r="J42" i="18"/>
  <c r="L42" i="18" s="1"/>
  <c r="L23" i="8"/>
  <c r="L24" i="8" s="1"/>
  <c r="K20" i="8"/>
  <c r="F23" i="11" s="1"/>
  <c r="H55" i="18" l="1"/>
  <c r="H73" i="18" s="1"/>
  <c r="H19" i="29"/>
  <c r="F23" i="13"/>
  <c r="O23" i="13" s="1"/>
  <c r="E20" i="31" s="1"/>
  <c r="I20" i="31" s="1"/>
  <c r="K20" i="31" s="1"/>
  <c r="H48" i="18"/>
  <c r="H63" i="18" s="1"/>
  <c r="H87" i="18" s="1"/>
  <c r="H74" i="18" l="1"/>
  <c r="J73" i="18"/>
  <c r="J74" i="18" s="1"/>
  <c r="H97" i="18"/>
  <c r="J97" i="18" s="1"/>
  <c r="O20" i="31"/>
  <c r="J63" i="18"/>
  <c r="L63" i="18" s="1"/>
  <c r="H66" i="18"/>
  <c r="H90" i="18"/>
  <c r="J87" i="18"/>
  <c r="L87" i="18" s="1"/>
  <c r="H98" i="18" l="1"/>
  <c r="H100" i="18" s="1"/>
  <c r="H76" i="18"/>
  <c r="L73" i="18"/>
  <c r="F20" i="29"/>
  <c r="L74" i="18"/>
  <c r="L97" i="18"/>
  <c r="J98" i="18"/>
  <c r="J66" i="18"/>
  <c r="J90" i="18"/>
  <c r="L98" i="18" l="1"/>
  <c r="F21" i="29"/>
  <c r="E21" i="29"/>
  <c r="J76" i="18"/>
  <c r="L76" i="18" s="1"/>
  <c r="E20" i="29"/>
  <c r="G20" i="29" s="1"/>
  <c r="L66" i="18"/>
  <c r="L90" i="18"/>
  <c r="J100" i="18"/>
  <c r="L100" i="18" s="1"/>
  <c r="G21" i="29" l="1"/>
  <c r="H20" i="29"/>
  <c r="H21" i="29"/>
  <c r="H33" i="17"/>
  <c r="H36" i="17" s="1"/>
  <c r="G17" i="11"/>
  <c r="G17" i="32" s="1"/>
  <c r="G18" i="11"/>
  <c r="G18" i="32" s="1"/>
  <c r="G16" i="11"/>
  <c r="G16" i="32" s="1"/>
  <c r="H92" i="30" l="1"/>
  <c r="H111" i="30" s="1"/>
  <c r="J111" i="30" s="1"/>
  <c r="L111" i="30" s="1"/>
  <c r="H56" i="30"/>
  <c r="H75" i="30" s="1"/>
  <c r="J75" i="30" s="1"/>
  <c r="L75" i="30" s="1"/>
  <c r="H21" i="30"/>
  <c r="H40" i="30" s="1"/>
  <c r="J40" i="30" s="1"/>
  <c r="L40" i="30" s="1"/>
  <c r="G18" i="13"/>
  <c r="H85" i="30"/>
  <c r="H101" i="30" s="1"/>
  <c r="J101" i="30" s="1"/>
  <c r="L101" i="30" s="1"/>
  <c r="G17" i="13"/>
  <c r="H49" i="30"/>
  <c r="H65" i="30" s="1"/>
  <c r="J65" i="30" s="1"/>
  <c r="L65" i="30" s="1"/>
  <c r="G16" i="13"/>
  <c r="H14" i="30"/>
  <c r="H30" i="30" s="1"/>
  <c r="J30" i="30" s="1"/>
  <c r="L30" i="30" s="1"/>
  <c r="J33" i="17"/>
  <c r="L33" i="17" s="1"/>
  <c r="J36" i="17"/>
  <c r="H46" i="17"/>
  <c r="G26" i="13" l="1"/>
  <c r="E17" i="29"/>
  <c r="G17" i="29" s="1"/>
  <c r="L36" i="17"/>
  <c r="J46" i="17"/>
  <c r="L46" i="17" s="1"/>
  <c r="L21" i="5"/>
  <c r="L23" i="5" s="1"/>
  <c r="K18" i="5"/>
  <c r="F18" i="11" s="1"/>
  <c r="F18" i="32" s="1"/>
  <c r="H84" i="30" l="1"/>
  <c r="H100" i="30" s="1"/>
  <c r="J100" i="30" s="1"/>
  <c r="H91" i="30"/>
  <c r="H110" i="30" s="1"/>
  <c r="H17" i="29"/>
  <c r="F17" i="11"/>
  <c r="F17" i="32" s="1"/>
  <c r="F16" i="11"/>
  <c r="F16" i="32" s="1"/>
  <c r="F18" i="13"/>
  <c r="O18" i="13" s="1"/>
  <c r="H55" i="30" l="1"/>
  <c r="H74" i="30" s="1"/>
  <c r="H103" i="30"/>
  <c r="J103" i="30" s="1"/>
  <c r="J110" i="30"/>
  <c r="H112" i="30"/>
  <c r="H13" i="30"/>
  <c r="H29" i="30" s="1"/>
  <c r="J29" i="30" s="1"/>
  <c r="H20" i="30"/>
  <c r="H39" i="30" s="1"/>
  <c r="L100" i="30"/>
  <c r="E11" i="29"/>
  <c r="F17" i="13"/>
  <c r="O17" i="13" s="1"/>
  <c r="H48" i="30"/>
  <c r="H64" i="30" s="1"/>
  <c r="F16" i="13"/>
  <c r="H114" i="30" l="1"/>
  <c r="H76" i="30"/>
  <c r="J74" i="30"/>
  <c r="J76" i="30" s="1"/>
  <c r="H32" i="30"/>
  <c r="J32" i="30" s="1"/>
  <c r="J39" i="30"/>
  <c r="H41" i="30"/>
  <c r="L110" i="30"/>
  <c r="J112" i="30"/>
  <c r="L29" i="30"/>
  <c r="E9" i="29"/>
  <c r="L103" i="30"/>
  <c r="J64" i="30"/>
  <c r="H67" i="30"/>
  <c r="F26" i="13"/>
  <c r="O16" i="13"/>
  <c r="H78" i="30" l="1"/>
  <c r="L74" i="30"/>
  <c r="L112" i="30"/>
  <c r="F11" i="29"/>
  <c r="J114" i="30"/>
  <c r="L114" i="30" s="1"/>
  <c r="F10" i="29"/>
  <c r="L76" i="30"/>
  <c r="L39" i="30"/>
  <c r="J41" i="30"/>
  <c r="O26" i="13"/>
  <c r="O28" i="13" s="1"/>
  <c r="O30" i="13" s="1"/>
  <c r="O31" i="13" s="1"/>
  <c r="E17" i="31"/>
  <c r="L64" i="30"/>
  <c r="E10" i="29"/>
  <c r="L32" i="30"/>
  <c r="J67" i="30"/>
  <c r="G11" i="29" l="1"/>
  <c r="H11" i="29"/>
  <c r="E23" i="31"/>
  <c r="I17" i="31"/>
  <c r="K17" i="31" s="1"/>
  <c r="L67" i="30"/>
  <c r="J78" i="30"/>
  <c r="O17" i="31" l="1"/>
  <c r="I23" i="31"/>
  <c r="I24" i="31" s="1"/>
  <c r="L78" i="30"/>
  <c r="G10" i="29"/>
  <c r="H10" i="29" l="1"/>
  <c r="K23" i="31"/>
  <c r="H43" i="30" l="1"/>
  <c r="L41" i="30" l="1"/>
  <c r="F9" i="29"/>
  <c r="J43" i="30"/>
  <c r="L43" i="30" l="1"/>
  <c r="G9" i="29"/>
  <c r="H9" i="29" l="1"/>
</calcChain>
</file>

<file path=xl/sharedStrings.xml><?xml version="1.0" encoding="utf-8"?>
<sst xmlns="http://schemas.openxmlformats.org/spreadsheetml/2006/main" count="877" uniqueCount="207">
  <si>
    <t>Rate Group</t>
  </si>
  <si>
    <t>Monthly  Service Charge</t>
  </si>
  <si>
    <r>
      <t>Delivery
First 1,000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</si>
  <si>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Delivery
Over 1,000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</si>
  <si>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Delivery
Next 24,000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</si>
  <si>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Delivery
Over 25,000 m</t>
    </r>
    <r>
      <rPr>
        <vertAlign val="superscript"/>
        <sz val="11"/>
        <color theme="1"/>
        <rFont val="Calibri"/>
        <family val="2"/>
        <scheme val="minor"/>
      </rPr>
      <t>3</t>
    </r>
  </si>
  <si>
    <t>Delivery - Firm</t>
  </si>
  <si>
    <t>Demand - Firm</t>
  </si>
  <si>
    <t>Commodity</t>
  </si>
  <si>
    <t>Delivery - Int - Lower</t>
  </si>
  <si>
    <t>Delivery - Int - Upper</t>
  </si>
  <si>
    <t>Total</t>
  </si>
  <si>
    <t>RATE 1 - General Service Rate - Residential</t>
  </si>
  <si>
    <t>RATE 1 - General Service Rate - Commercial</t>
  </si>
  <si>
    <t>RATE 1 - General Service Rate - Industrial</t>
  </si>
  <si>
    <t>RATE 2 - Seasonal Service - Apr to Oct</t>
  </si>
  <si>
    <t>RATE 2 - Seasonal Service - Nov to Mar</t>
  </si>
  <si>
    <t>RATE 3 - Special Large Volume Contract Rate</t>
  </si>
  <si>
    <t>RATE 4 - General Service Peaking - Apr to Dec</t>
  </si>
  <si>
    <t>RATE 4 - General Service Peaking - Jan to Mar</t>
  </si>
  <si>
    <t>RATE 5 - Interruptible Peaking Contract Rate</t>
  </si>
  <si>
    <t>RATE 6 - Integrated Grain Processors Co-Operative Aylmer Ethanol Production Facility</t>
  </si>
  <si>
    <t>Distributor Information</t>
  </si>
  <si>
    <t>Distributor Name</t>
  </si>
  <si>
    <r>
      <t>Delivery
First 1,000 m</t>
    </r>
    <r>
      <rPr>
        <vertAlign val="superscript"/>
        <sz val="12"/>
        <color theme="1"/>
        <rFont val="Arial"/>
        <family val="2"/>
      </rPr>
      <t>3</t>
    </r>
  </si>
  <si>
    <r>
      <t>Delivery
Over 1,000 m</t>
    </r>
    <r>
      <rPr>
        <vertAlign val="superscript"/>
        <sz val="12"/>
        <color theme="1"/>
        <rFont val="Arial"/>
        <family val="2"/>
      </rPr>
      <t>3</t>
    </r>
  </si>
  <si>
    <r>
      <t>Delivery
Next 24,000 m</t>
    </r>
    <r>
      <rPr>
        <vertAlign val="superscript"/>
        <sz val="12"/>
        <color theme="1"/>
        <rFont val="Arial"/>
        <family val="2"/>
      </rPr>
      <t>3</t>
    </r>
  </si>
  <si>
    <r>
      <t>Delivery
Over 25,000 m</t>
    </r>
    <r>
      <rPr>
        <vertAlign val="superscript"/>
        <sz val="12"/>
        <color theme="1"/>
        <rFont val="Arial"/>
        <family val="2"/>
      </rPr>
      <t>3</t>
    </r>
  </si>
  <si>
    <t>Re-Basing Billing Determinants</t>
  </si>
  <si>
    <t>Revenue Requirement from Rates</t>
  </si>
  <si>
    <t>Monthly Service Charge</t>
  </si>
  <si>
    <t>Delivery
First 1,000 m3</t>
  </si>
  <si>
    <t>Delivery
Over 1,000 m3</t>
  </si>
  <si>
    <t>GDP-IPI</t>
  </si>
  <si>
    <t>Less Productivity</t>
  </si>
  <si>
    <t>Less Stretch Factor</t>
  </si>
  <si>
    <t>Price Cap Adjustment</t>
  </si>
  <si>
    <t>Current Rate</t>
  </si>
  <si>
    <t>Price Cap</t>
  </si>
  <si>
    <t>Adjusted Rates</t>
  </si>
  <si>
    <t>Billing Determinants</t>
  </si>
  <si>
    <t>Revenue Requirement</t>
  </si>
  <si>
    <t>Balanced Rates</t>
  </si>
  <si>
    <t>Delivery First 1,000 m3 - Apr To Oct</t>
  </si>
  <si>
    <t>Delivery Next 24,000 m3 - Apr To Oct</t>
  </si>
  <si>
    <t>Delivery Over 25,000 m3 - Apr To Oct</t>
  </si>
  <si>
    <t>Delivery First 1,000 m3 - Nov To Mar</t>
  </si>
  <si>
    <t>Delivery Next 24,000 m3 - Nov To Mar</t>
  </si>
  <si>
    <t>Delivery Over 25,000 m3 - Nov To Mar</t>
  </si>
  <si>
    <t>Delivery Firm</t>
  </si>
  <si>
    <t>Demand Firm</t>
  </si>
  <si>
    <t>Delivery First 1,000 m3 - Apr To Dec</t>
  </si>
  <si>
    <t>Delivery First 1,000 m3 - Jan To Mar</t>
  </si>
  <si>
    <t>Delivery Over 1,000 m3 - Apr To Dec</t>
  </si>
  <si>
    <t>Delivery Over 1,000 m3 - Jan To Mar</t>
  </si>
  <si>
    <t>Natural Resource Gas Limited</t>
  </si>
  <si>
    <t>OEB Application Number</t>
  </si>
  <si>
    <t>Proposed Rate</t>
  </si>
  <si>
    <t>Customer</t>
  </si>
  <si>
    <r>
      <t>Block 1 (First 1,000 m</t>
    </r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per month)</t>
    </r>
  </si>
  <si>
    <r>
      <t>Block 2 (Over 1,000 m</t>
    </r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per month)</t>
    </r>
  </si>
  <si>
    <t>System Gas Charge</t>
  </si>
  <si>
    <t>Metric</t>
  </si>
  <si>
    <t>Total Delivery</t>
  </si>
  <si>
    <t>Change $</t>
  </si>
  <si>
    <t>Change %</t>
  </si>
  <si>
    <t>Rate 1 Delivery Bill Impact</t>
  </si>
  <si>
    <t>Average Annual Consumption</t>
  </si>
  <si>
    <t>Rate 2 Delivery Bill Impact</t>
  </si>
  <si>
    <r>
      <t>Block 3 (Over 25,000 m</t>
    </r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per month)</t>
    </r>
  </si>
  <si>
    <r>
      <t>Block 2 (Next 24,000 m</t>
    </r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per month)</t>
    </r>
  </si>
  <si>
    <t>Average Seasonal Consumption</t>
  </si>
  <si>
    <t>Rate 3 Delivery Bill Impact</t>
  </si>
  <si>
    <t>Special Large Volume Contract Rate</t>
  </si>
  <si>
    <t>Rate 4 Delivery Bill Impact</t>
  </si>
  <si>
    <t>Rate 5 Delivery Bill Impact</t>
  </si>
  <si>
    <t>Interruptible Peaking Contract Rate</t>
  </si>
  <si>
    <t>Current Distribution Tariff Sheet Rates</t>
  </si>
  <si>
    <t>Proposed Distribution Tariff Sheet Rates</t>
  </si>
  <si>
    <t>Description</t>
  </si>
  <si>
    <t>Effective Until</t>
  </si>
  <si>
    <t>Current Rate Riders</t>
  </si>
  <si>
    <t>per customer per month</t>
  </si>
  <si>
    <t>Shared Tax Savings</t>
  </si>
  <si>
    <t>Proposed Rate Riders</t>
  </si>
  <si>
    <t>Rate Riders</t>
  </si>
  <si>
    <t>Delivery</t>
  </si>
  <si>
    <t>Total Rate Riders</t>
  </si>
  <si>
    <t>Total Bill Impact</t>
  </si>
  <si>
    <t>Tax Sharing Rate Rider</t>
  </si>
  <si>
    <t>Federal Income Tax</t>
  </si>
  <si>
    <t>Federal Income Tax Rate</t>
  </si>
  <si>
    <t>Provincial Income Tax</t>
  </si>
  <si>
    <t xml:space="preserve">Provincial Income Tax Rate - First $500,000 </t>
  </si>
  <si>
    <t xml:space="preserve">Provincial Income Tax - First $500,000 </t>
  </si>
  <si>
    <t xml:space="preserve">Provincial Income Tax Rate - Over $500,000 </t>
  </si>
  <si>
    <t xml:space="preserve">Provincial Income Tax - Over $500,000 </t>
  </si>
  <si>
    <t>Total Income Taxes Payable</t>
  </si>
  <si>
    <t>Regulatory Taxable Income</t>
  </si>
  <si>
    <t>Effective Tax Rate</t>
  </si>
  <si>
    <t>Grossed up Income Tax</t>
  </si>
  <si>
    <t>Change in Income Taxes</t>
  </si>
  <si>
    <t>50 % Change in Taxes</t>
  </si>
  <si>
    <t>Allocation of Shared Tax Sharing</t>
  </si>
  <si>
    <t>Revenue By Rate Class</t>
  </si>
  <si>
    <t>Proportionate Revenue</t>
  </si>
  <si>
    <t>Shared Tax Sharing</t>
  </si>
  <si>
    <t>Number of Customers</t>
  </si>
  <si>
    <t>Number of Months</t>
  </si>
  <si>
    <t>Fixed Rate Rider</t>
  </si>
  <si>
    <t>RATE 4 - General Service Peaking</t>
  </si>
  <si>
    <t xml:space="preserve">RATE 2 - Seasonal Service </t>
  </si>
  <si>
    <t>Per Customer Per Month</t>
  </si>
  <si>
    <t>RATE 1 - General Service Rate</t>
  </si>
  <si>
    <t>No Change</t>
  </si>
  <si>
    <t>Re-Balance</t>
  </si>
  <si>
    <t>Change</t>
  </si>
  <si>
    <t>Rate 1 Price Cap Adjustment</t>
  </si>
  <si>
    <t>Rate 2 Price Cap Adjustment</t>
  </si>
  <si>
    <t>Rate 3 Price Cap Adjustment</t>
  </si>
  <si>
    <t>Rate 4 Price Cap Adjustment</t>
  </si>
  <si>
    <t>Rate 5 Price Cap Adjustment</t>
  </si>
  <si>
    <t>Rate 6 Price Cap Adjustment</t>
  </si>
  <si>
    <t>Rate 1 - Residential</t>
  </si>
  <si>
    <t>Rate 1 - Commercial</t>
  </si>
  <si>
    <t>Rate 1 - Industrial</t>
  </si>
  <si>
    <t>Rate 2 - April to October</t>
  </si>
  <si>
    <t>Rate 2 - November to March</t>
  </si>
  <si>
    <t>Rate 2 - Annual</t>
  </si>
  <si>
    <t>Rate 4 - April to December</t>
  </si>
  <si>
    <t>Rate 4 - January to March</t>
  </si>
  <si>
    <t>Rate 4 - Annual</t>
  </si>
  <si>
    <t>Rate 6 Delivery Bill Impact</t>
  </si>
  <si>
    <r>
      <rPr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 Placeholder rate for average application</t>
    </r>
  </si>
  <si>
    <t>Annual Regulatory  Adjustment</t>
  </si>
  <si>
    <t>for 3 years</t>
  </si>
  <si>
    <t>Total to be collected</t>
  </si>
  <si>
    <t>A</t>
  </si>
  <si>
    <t>B= A * 3</t>
  </si>
  <si>
    <t>per month</t>
  </si>
  <si>
    <t>B</t>
  </si>
  <si>
    <t>Monthly charge annualized 12 months</t>
  </si>
  <si>
    <t>Adjusted Regulatory Adjustment Value</t>
  </si>
  <si>
    <t>C</t>
  </si>
  <si>
    <t>D = C * 12</t>
  </si>
  <si>
    <t>Fixed Rate Adjustment</t>
  </si>
  <si>
    <t>Current Monthly  Service Charge</t>
  </si>
  <si>
    <t>Adjustment to Monthly Service Charge</t>
  </si>
  <si>
    <t>Reulatory Cost Adjustment</t>
  </si>
  <si>
    <t>Adjusted Monthly  Service Charge</t>
  </si>
  <si>
    <t>Allocation of Regualtory Cost Adjustment</t>
  </si>
  <si>
    <t>Regulatory Cost Adjustment</t>
  </si>
  <si>
    <t>recovered over 33 months</t>
  </si>
  <si>
    <t>C = B / 33</t>
  </si>
  <si>
    <t>Proposed recovery</t>
  </si>
  <si>
    <t>Recovered over 9 months</t>
  </si>
  <si>
    <t>Recovered in 2011/2012</t>
  </si>
  <si>
    <t>Recovered over 12 months</t>
  </si>
  <si>
    <t>Recovered in 2012/2013</t>
  </si>
  <si>
    <t>Recovered in 2013/2014</t>
  </si>
  <si>
    <t>Summary of Bill Impacts</t>
  </si>
  <si>
    <t>Rate Class</t>
  </si>
  <si>
    <t>Fixed</t>
  </si>
  <si>
    <t>Volumetric</t>
  </si>
  <si>
    <t>Rate Rider</t>
  </si>
  <si>
    <t>Deferred Revenue Recovery</t>
  </si>
  <si>
    <t xml:space="preserve">Proposed Revenue Requirement </t>
  </si>
  <si>
    <t>Current Revenue Requirement</t>
  </si>
  <si>
    <t>Change In Revenue Requirement</t>
  </si>
  <si>
    <t>C = A- B</t>
  </si>
  <si>
    <t>Deferred Revenue</t>
  </si>
  <si>
    <t>D = C / 12 * 6</t>
  </si>
  <si>
    <t>E</t>
  </si>
  <si>
    <t>Proposed Deferred Revenue Recovery Rate Rider</t>
  </si>
  <si>
    <t>F = D / E / 6</t>
  </si>
  <si>
    <t>Proposed Revenue Requirement</t>
  </si>
  <si>
    <t>September 30, 2014</t>
  </si>
  <si>
    <t>Shared Tax Savings 2013</t>
  </si>
  <si>
    <t>Price Escalator</t>
  </si>
  <si>
    <t>Choose Stretch Factor Group</t>
  </si>
  <si>
    <t>III</t>
  </si>
  <si>
    <t>Productivity Factor</t>
  </si>
  <si>
    <t>Associated Stretch Factor Value</t>
  </si>
  <si>
    <t>Price Cap Index</t>
  </si>
  <si>
    <t>Mid Group</t>
  </si>
  <si>
    <t>Shared Tax Savings 2014</t>
  </si>
  <si>
    <t>Data from 2014 IRM Rate Generator for Electric LDC.</t>
  </si>
  <si>
    <t>Settlement Agreement Adjustment</t>
  </si>
  <si>
    <t>Total Stretch Factor</t>
  </si>
  <si>
    <t>Crtl Q to Unlock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</si>
  <si>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Placeholder rate for average application</t>
    </r>
  </si>
  <si>
    <r>
      <rPr>
        <vertAlign val="super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Placeholder rate for average application</t>
    </r>
  </si>
  <si>
    <t>September 30, 2015</t>
  </si>
  <si>
    <t>Proposed Forgone Revenue Rate Riders</t>
  </si>
  <si>
    <t>Period</t>
  </si>
  <si>
    <t>months</t>
  </si>
  <si>
    <r>
      <t>Block 1 (First 1,000 m</t>
    </r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per month) - Foregone Revenue</t>
    </r>
  </si>
  <si>
    <r>
      <t>Block 2 (Over 1,000 m</t>
    </r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per month) - Foregone Revenue</t>
    </r>
  </si>
  <si>
    <r>
      <t xml:space="preserve">  Block 1 (First 1,000 m</t>
    </r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per month) - Foregone Revenue</t>
    </r>
  </si>
  <si>
    <r>
      <t xml:space="preserve">  Block 2 (Over 1,000 m</t>
    </r>
    <r>
      <rPr>
        <vertAlign val="superscript"/>
        <sz val="12"/>
        <color theme="1"/>
        <rFont val="Arial"/>
        <family val="2"/>
      </rPr>
      <t xml:space="preserve">3 </t>
    </r>
    <r>
      <rPr>
        <sz val="12"/>
        <color theme="1"/>
        <rFont val="Arial"/>
        <family val="2"/>
      </rPr>
      <t>per month) - Foregone Revenue</t>
    </r>
  </si>
  <si>
    <t>Block 1 (First 1,000 m3 per month) - Foregone Revenue</t>
  </si>
  <si>
    <t>Delivery - Firm - Foregone Revenue</t>
  </si>
  <si>
    <t>Demand - Firm - Foregone Revenue</t>
  </si>
  <si>
    <r>
      <t>Delivery First 
1,000 m</t>
    </r>
    <r>
      <rPr>
        <vertAlign val="superscript"/>
        <sz val="12"/>
        <color theme="1"/>
        <rFont val="Arial"/>
        <family val="2"/>
      </rPr>
      <t>3</t>
    </r>
  </si>
  <si>
    <r>
      <t>Delivery
Over 
1,000 m</t>
    </r>
    <r>
      <rPr>
        <vertAlign val="superscript"/>
        <sz val="12"/>
        <color theme="1"/>
        <rFont val="Arial"/>
        <family val="2"/>
      </rPr>
      <t>3</t>
    </r>
  </si>
  <si>
    <r>
      <t>Delivery
Next 
24,000 m</t>
    </r>
    <r>
      <rPr>
        <vertAlign val="superscript"/>
        <sz val="12"/>
        <color theme="1"/>
        <rFont val="Arial"/>
        <family val="2"/>
      </rPr>
      <t>3</t>
    </r>
  </si>
  <si>
    <r>
      <t>Delivery
Over 
25,000 m</t>
    </r>
    <r>
      <rPr>
        <vertAlign val="superscript"/>
        <sz val="12"/>
        <color theme="1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</si>
</sst>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0.0000"/>
    <numFmt numFmtId="169" formatCode="_-* #,##0.0000_-;\-* #,##0.0000_-;_-* &quot;-&quot;??_-;_-@_-"/>
    <numFmt numFmtId="170" formatCode="0.0%"/>
    <numFmt numFmtId="171" formatCode="#,##0.0_);\(#,##0.0\)"/>
    <numFmt numFmtId="172" formatCode="0.000%"/>
    <numFmt numFmtId="173" formatCode="_-* #,##0.00000_-;\-* #,##0.00000_-;_-* &quot;-&quot;??_-;_-@_-"/>
    <numFmt numFmtId="174" formatCode="#,##0.0000;\-#,##0.000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4"/>
      <name val="Arial"/>
      <family val="2"/>
    </font>
    <font>
      <i/>
      <sz val="12"/>
      <color rgb="FF0070C0"/>
      <name val="Arial"/>
      <family val="2"/>
    </font>
    <font>
      <b/>
      <sz val="14"/>
      <color theme="1"/>
      <name val="Arial"/>
      <family val="2"/>
    </font>
    <font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12" fillId="4" borderId="0" xfId="0" applyFont="1" applyFill="1" applyBorder="1" applyAlignment="1" applyProtection="1"/>
    <xf numFmtId="0" fontId="11" fillId="0" borderId="0" xfId="0" applyFont="1" applyProtection="1"/>
    <xf numFmtId="0" fontId="8" fillId="0" borderId="0" xfId="0" applyFont="1" applyProtection="1"/>
    <xf numFmtId="0" fontId="8" fillId="2" borderId="0" xfId="0" applyFont="1" applyFill="1" applyProtection="1"/>
    <xf numFmtId="0" fontId="13" fillId="0" borderId="0" xfId="0" applyFont="1" applyProtection="1"/>
    <xf numFmtId="0" fontId="14" fillId="0" borderId="0" xfId="0" applyFont="1" applyProtection="1"/>
    <xf numFmtId="0" fontId="10" fillId="0" borderId="0" xfId="0" applyFont="1" applyProtection="1"/>
    <xf numFmtId="166" fontId="0" fillId="0" borderId="0" xfId="1" applyNumberFormat="1" applyFont="1" applyProtection="1"/>
    <xf numFmtId="166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16" fillId="0" borderId="0" xfId="0" applyFont="1" applyProtection="1"/>
    <xf numFmtId="165" fontId="0" fillId="0" borderId="0" xfId="0" applyNumberFormat="1" applyProtection="1"/>
    <xf numFmtId="10" fontId="0" fillId="0" borderId="0" xfId="0" applyNumberFormat="1" applyProtection="1"/>
    <xf numFmtId="0" fontId="0" fillId="0" borderId="0" xfId="0" applyAlignment="1" applyProtection="1">
      <alignment horizontal="right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171" fontId="0" fillId="0" borderId="0" xfId="0" applyNumberFormat="1" applyProtection="1"/>
    <xf numFmtId="166" fontId="8" fillId="5" borderId="0" xfId="1" applyNumberFormat="1" applyFont="1" applyFill="1" applyProtection="1"/>
    <xf numFmtId="0" fontId="17" fillId="0" borderId="0" xfId="0" applyFont="1" applyProtection="1"/>
    <xf numFmtId="169" fontId="8" fillId="0" borderId="0" xfId="1" applyNumberFormat="1" applyFont="1" applyProtection="1"/>
    <xf numFmtId="0" fontId="4" fillId="0" borderId="0" xfId="0" applyFont="1" applyProtection="1"/>
    <xf numFmtId="0" fontId="3" fillId="0" borderId="0" xfId="0" applyFont="1" applyProtection="1"/>
    <xf numFmtId="0" fontId="0" fillId="0" borderId="0" xfId="0" quotePrefix="1" applyProtection="1"/>
    <xf numFmtId="0" fontId="3" fillId="0" borderId="0" xfId="0" applyFont="1" applyAlignment="1" applyProtection="1">
      <alignment horizontal="center" wrapText="1"/>
    </xf>
    <xf numFmtId="0" fontId="17" fillId="0" borderId="0" xfId="0" applyFont="1" applyAlignment="1" applyProtection="1">
      <alignment horizontal="left"/>
    </xf>
    <xf numFmtId="0" fontId="19" fillId="0" borderId="0" xfId="0" applyFont="1" applyProtection="1"/>
    <xf numFmtId="166" fontId="0" fillId="5" borderId="0" xfId="1" applyNumberFormat="1" applyFont="1" applyFill="1" applyProtection="1"/>
    <xf numFmtId="166" fontId="0" fillId="3" borderId="0" xfId="0" applyNumberFormat="1" applyFill="1" applyProtection="1"/>
    <xf numFmtId="166" fontId="0" fillId="3" borderId="0" xfId="1" applyNumberFormat="1" applyFont="1" applyFill="1" applyProtection="1"/>
    <xf numFmtId="166" fontId="19" fillId="3" borderId="0" xfId="1" applyNumberFormat="1" applyFont="1" applyFill="1" applyProtection="1"/>
    <xf numFmtId="39" fontId="0" fillId="3" borderId="0" xfId="1" applyNumberFormat="1" applyFont="1" applyFill="1" applyProtection="1"/>
    <xf numFmtId="165" fontId="17" fillId="0" borderId="0" xfId="0" applyNumberFormat="1" applyFont="1" applyBorder="1" applyProtection="1"/>
    <xf numFmtId="165" fontId="17" fillId="0" borderId="0" xfId="1" applyFont="1" applyBorder="1" applyProtection="1"/>
    <xf numFmtId="170" fontId="17" fillId="0" borderId="0" xfId="7" applyNumberFormat="1" applyFont="1" applyBorder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left" indent="1"/>
    </xf>
    <xf numFmtId="39" fontId="2" fillId="0" borderId="0" xfId="0" applyNumberFormat="1" applyFo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166" fontId="0" fillId="3" borderId="2" xfId="0" applyNumberFormat="1" applyFill="1" applyBorder="1" applyProtection="1"/>
    <xf numFmtId="167" fontId="0" fillId="3" borderId="0" xfId="2" applyNumberFormat="1" applyFont="1" applyFill="1" applyProtection="1"/>
    <xf numFmtId="167" fontId="0" fillId="3" borderId="1" xfId="0" applyNumberFormat="1" applyFill="1" applyBorder="1" applyProtection="1"/>
    <xf numFmtId="39" fontId="0" fillId="5" borderId="0" xfId="1" applyNumberFormat="1" applyFont="1" applyFill="1" applyProtection="1"/>
    <xf numFmtId="10" fontId="0" fillId="3" borderId="0" xfId="0" applyNumberFormat="1" applyFill="1" applyProtection="1"/>
    <xf numFmtId="165" fontId="0" fillId="3" borderId="0" xfId="1" applyFont="1" applyFill="1" applyProtection="1"/>
    <xf numFmtId="169" fontId="0" fillId="3" borderId="0" xfId="1" applyNumberFormat="1" applyFont="1" applyFill="1" applyProtection="1"/>
    <xf numFmtId="10" fontId="0" fillId="5" borderId="0" xfId="0" applyNumberFormat="1" applyFill="1" applyProtection="1"/>
    <xf numFmtId="10" fontId="0" fillId="3" borderId="2" xfId="0" applyNumberFormat="1" applyFill="1" applyBorder="1" applyProtection="1"/>
    <xf numFmtId="169" fontId="0" fillId="3" borderId="0" xfId="0" applyNumberFormat="1" applyFill="1" applyProtection="1"/>
    <xf numFmtId="172" fontId="0" fillId="5" borderId="0" xfId="0" applyNumberFormat="1" applyFill="1" applyAlignment="1" applyProtection="1">
      <alignment horizontal="right"/>
    </xf>
    <xf numFmtId="172" fontId="0" fillId="5" borderId="0" xfId="0" applyNumberFormat="1" applyFill="1" applyProtection="1"/>
    <xf numFmtId="170" fontId="0" fillId="3" borderId="0" xfId="7" applyNumberFormat="1" applyFont="1" applyFill="1" applyProtection="1"/>
    <xf numFmtId="166" fontId="0" fillId="3" borderId="1" xfId="1" applyNumberFormat="1" applyFont="1" applyFill="1" applyBorder="1" applyProtection="1"/>
    <xf numFmtId="170" fontId="0" fillId="3" borderId="1" xfId="0" applyNumberFormat="1" applyFill="1" applyBorder="1" applyProtection="1"/>
    <xf numFmtId="37" fontId="0" fillId="3" borderId="1" xfId="1" applyNumberFormat="1" applyFont="1" applyFill="1" applyBorder="1" applyProtection="1"/>
    <xf numFmtId="37" fontId="0" fillId="3" borderId="0" xfId="1" applyNumberFormat="1" applyFont="1" applyFill="1" applyProtection="1"/>
    <xf numFmtId="165" fontId="8" fillId="3" borderId="0" xfId="1" applyFont="1" applyFill="1" applyProtection="1"/>
    <xf numFmtId="169" fontId="8" fillId="3" borderId="0" xfId="1" applyNumberFormat="1" applyFont="1" applyFill="1" applyProtection="1"/>
    <xf numFmtId="166" fontId="8" fillId="3" borderId="0" xfId="1" applyNumberFormat="1" applyFont="1" applyFill="1" applyProtection="1"/>
    <xf numFmtId="165" fontId="8" fillId="3" borderId="0" xfId="0" applyNumberFormat="1" applyFont="1" applyFill="1" applyProtection="1"/>
    <xf numFmtId="170" fontId="8" fillId="3" borderId="0" xfId="7" applyNumberFormat="1" applyFont="1" applyFill="1" applyAlignment="1" applyProtection="1">
      <alignment horizontal="center"/>
    </xf>
    <xf numFmtId="165" fontId="17" fillId="3" borderId="2" xfId="0" applyNumberFormat="1" applyFont="1" applyFill="1" applyBorder="1" applyProtection="1"/>
    <xf numFmtId="165" fontId="17" fillId="3" borderId="2" xfId="1" applyFont="1" applyFill="1" applyBorder="1" applyProtection="1"/>
    <xf numFmtId="170" fontId="17" fillId="3" borderId="2" xfId="7" applyNumberFormat="1" applyFont="1" applyFill="1" applyBorder="1" applyAlignment="1" applyProtection="1">
      <alignment horizontal="center"/>
    </xf>
    <xf numFmtId="39" fontId="17" fillId="3" borderId="2" xfId="0" applyNumberFormat="1" applyFont="1" applyFill="1" applyBorder="1" applyProtection="1"/>
    <xf numFmtId="165" fontId="17" fillId="3" borderId="1" xfId="0" applyNumberFormat="1" applyFont="1" applyFill="1" applyBorder="1" applyProtection="1"/>
    <xf numFmtId="39" fontId="17" fillId="3" borderId="1" xfId="0" applyNumberFormat="1" applyFont="1" applyFill="1" applyBorder="1" applyProtection="1"/>
    <xf numFmtId="170" fontId="17" fillId="3" borderId="1" xfId="7" applyNumberFormat="1" applyFont="1" applyFill="1" applyBorder="1" applyAlignment="1" applyProtection="1">
      <alignment horizontal="center"/>
    </xf>
    <xf numFmtId="39" fontId="2" fillId="3" borderId="0" xfId="0" applyNumberFormat="1" applyFont="1" applyFill="1" applyProtection="1"/>
    <xf numFmtId="0" fontId="2" fillId="3" borderId="0" xfId="0" applyFont="1" applyFill="1" applyProtection="1"/>
    <xf numFmtId="170" fontId="2" fillId="3" borderId="0" xfId="7" applyNumberFormat="1" applyFont="1" applyFill="1" applyAlignment="1" applyProtection="1">
      <alignment horizontal="center"/>
    </xf>
    <xf numFmtId="166" fontId="2" fillId="3" borderId="0" xfId="1" applyNumberFormat="1" applyFont="1" applyFill="1" applyProtection="1"/>
    <xf numFmtId="166" fontId="0" fillId="2" borderId="0" xfId="1" applyNumberFormat="1" applyFont="1" applyFill="1" applyProtection="1"/>
    <xf numFmtId="173" fontId="0" fillId="0" borderId="0" xfId="0" applyNumberFormat="1" applyProtection="1"/>
    <xf numFmtId="0" fontId="0" fillId="0" borderId="0" xfId="0" applyAlignment="1" applyProtection="1">
      <alignment vertical="top"/>
    </xf>
    <xf numFmtId="0" fontId="20" fillId="0" borderId="0" xfId="0" applyFont="1" applyAlignment="1" applyProtection="1">
      <alignment horizontal="left" vertical="top"/>
    </xf>
    <xf numFmtId="0" fontId="1" fillId="3" borderId="0" xfId="0" applyFont="1" applyFill="1" applyAlignment="1" applyProtection="1">
      <alignment horizontal="center"/>
    </xf>
    <xf numFmtId="0" fontId="22" fillId="0" borderId="0" xfId="0" applyFont="1"/>
    <xf numFmtId="0" fontId="0" fillId="0" borderId="0" xfId="0" applyAlignment="1">
      <alignment horizontal="center"/>
    </xf>
    <xf numFmtId="0" fontId="0" fillId="6" borderId="0" xfId="0" applyFill="1" applyAlignment="1">
      <alignment horizontal="center" wrapText="1"/>
    </xf>
    <xf numFmtId="164" fontId="19" fillId="2" borderId="0" xfId="2" applyFont="1" applyFill="1"/>
    <xf numFmtId="164" fontId="0" fillId="0" borderId="0" xfId="0" applyNumberFormat="1"/>
    <xf numFmtId="0" fontId="19" fillId="0" borderId="0" xfId="0" applyFont="1" applyAlignment="1">
      <alignment horizontal="center"/>
    </xf>
    <xf numFmtId="164" fontId="19" fillId="2" borderId="0" xfId="0" applyNumberFormat="1" applyFont="1" applyFill="1"/>
    <xf numFmtId="0" fontId="1" fillId="0" borderId="0" xfId="0" applyFont="1" applyAlignment="1" applyProtection="1">
      <alignment horizontal="right" wrapText="1"/>
    </xf>
    <xf numFmtId="0" fontId="0" fillId="0" borderId="0" xfId="0" applyAlignment="1" applyProtection="1">
      <alignment horizontal="right"/>
    </xf>
    <xf numFmtId="165" fontId="0" fillId="5" borderId="0" xfId="1" applyFont="1" applyFill="1" applyAlignment="1" applyProtection="1">
      <alignment horizontal="right"/>
    </xf>
    <xf numFmtId="0" fontId="0" fillId="0" borderId="0" xfId="0" applyAlignment="1" applyProtection="1">
      <alignment horizontal="right"/>
      <protection locked="0"/>
    </xf>
    <xf numFmtId="0" fontId="19" fillId="0" borderId="0" xfId="0" applyFont="1"/>
    <xf numFmtId="164" fontId="0" fillId="2" borderId="0" xfId="0" applyNumberFormat="1" applyFill="1"/>
    <xf numFmtId="164" fontId="0" fillId="0" borderId="1" xfId="0" applyNumberFormat="1" applyBorder="1"/>
    <xf numFmtId="0" fontId="1" fillId="0" borderId="0" xfId="0" applyFont="1" applyAlignment="1" applyProtection="1">
      <alignment horizontal="left" indent="1"/>
    </xf>
    <xf numFmtId="0" fontId="1" fillId="0" borderId="0" xfId="0" applyFont="1" applyProtection="1"/>
    <xf numFmtId="166" fontId="0" fillId="3" borderId="1" xfId="0" applyNumberFormat="1" applyFill="1" applyBorder="1" applyProtection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</xf>
    <xf numFmtId="165" fontId="1" fillId="3" borderId="0" xfId="1" applyFont="1" applyFill="1" applyProtection="1"/>
    <xf numFmtId="169" fontId="1" fillId="3" borderId="0" xfId="1" applyNumberFormat="1" applyFont="1" applyFill="1" applyProtection="1"/>
    <xf numFmtId="39" fontId="1" fillId="3" borderId="0" xfId="0" applyNumberFormat="1" applyFont="1" applyFill="1" applyProtection="1"/>
    <xf numFmtId="166" fontId="1" fillId="5" borderId="0" xfId="1" applyNumberFormat="1" applyFont="1" applyFill="1" applyProtection="1"/>
    <xf numFmtId="0" fontId="1" fillId="0" borderId="0" xfId="0" applyFont="1" applyAlignment="1" applyProtection="1">
      <alignment horizontal="center"/>
    </xf>
    <xf numFmtId="166" fontId="1" fillId="3" borderId="0" xfId="1" applyNumberFormat="1" applyFont="1" applyFill="1" applyProtection="1"/>
    <xf numFmtId="165" fontId="1" fillId="3" borderId="0" xfId="0" applyNumberFormat="1" applyFont="1" applyFill="1" applyProtection="1"/>
    <xf numFmtId="170" fontId="1" fillId="3" borderId="0" xfId="7" applyNumberFormat="1" applyFont="1" applyFill="1" applyAlignment="1" applyProtection="1">
      <alignment horizontal="center"/>
    </xf>
    <xf numFmtId="0" fontId="1" fillId="3" borderId="0" xfId="0" applyFont="1" applyFill="1" applyProtection="1"/>
    <xf numFmtId="39" fontId="1" fillId="0" borderId="0" xfId="0" applyNumberFormat="1" applyFont="1" applyProtection="1"/>
    <xf numFmtId="169" fontId="1" fillId="0" borderId="0" xfId="1" applyNumberFormat="1" applyFont="1" applyProtection="1"/>
    <xf numFmtId="167" fontId="0" fillId="0" borderId="0" xfId="2" applyNumberFormat="1" applyFont="1" applyAlignment="1" applyProtection="1">
      <alignment horizontal="center" wrapText="1"/>
    </xf>
    <xf numFmtId="167" fontId="0" fillId="0" borderId="0" xfId="0" applyNumberFormat="1" applyProtection="1"/>
    <xf numFmtId="167" fontId="0" fillId="0" borderId="1" xfId="0" applyNumberFormat="1" applyBorder="1" applyProtection="1"/>
    <xf numFmtId="37" fontId="0" fillId="0" borderId="0" xfId="0" applyNumberFormat="1" applyProtection="1"/>
    <xf numFmtId="37" fontId="0" fillId="0" borderId="1" xfId="0" applyNumberFormat="1" applyBorder="1" applyProtection="1"/>
    <xf numFmtId="164" fontId="0" fillId="0" borderId="0" xfId="0" applyNumberFormat="1" applyProtection="1"/>
    <xf numFmtId="167" fontId="0" fillId="0" borderId="0" xfId="2" applyNumberFormat="1" applyFont="1" applyProtection="1"/>
    <xf numFmtId="10" fontId="0" fillId="0" borderId="0" xfId="7" applyNumberFormat="1" applyFont="1" applyProtection="1"/>
    <xf numFmtId="10" fontId="23" fillId="0" borderId="0" xfId="7" applyNumberFormat="1" applyFont="1" applyFill="1" applyBorder="1" applyProtection="1"/>
    <xf numFmtId="165" fontId="0" fillId="3" borderId="0" xfId="0" applyNumberFormat="1" applyFill="1" applyProtection="1"/>
    <xf numFmtId="0" fontId="0" fillId="0" borderId="0" xfId="0" applyAlignment="1" applyProtection="1">
      <alignment horizontal="center"/>
    </xf>
    <xf numFmtId="166" fontId="0" fillId="3" borderId="0" xfId="0" applyNumberFormat="1" applyFill="1" applyBorder="1" applyProtection="1"/>
    <xf numFmtId="170" fontId="0" fillId="0" borderId="0" xfId="7" applyNumberFormat="1" applyFont="1" applyAlignment="1" applyProtection="1">
      <alignment horizontal="center"/>
    </xf>
    <xf numFmtId="10" fontId="0" fillId="0" borderId="0" xfId="7" applyNumberFormat="1" applyFont="1" applyAlignment="1" applyProtection="1">
      <alignment horizontal="center"/>
    </xf>
    <xf numFmtId="10" fontId="0" fillId="3" borderId="0" xfId="0" applyNumberFormat="1" applyFont="1" applyFill="1" applyProtection="1"/>
    <xf numFmtId="164" fontId="0" fillId="3" borderId="0" xfId="2" applyNumberFormat="1" applyFont="1" applyFill="1" applyProtection="1"/>
    <xf numFmtId="165" fontId="16" fillId="0" borderId="3" xfId="1" applyFont="1" applyFill="1" applyBorder="1" applyProtection="1"/>
    <xf numFmtId="0" fontId="16" fillId="0" borderId="3" xfId="0" applyFont="1" applyFill="1" applyBorder="1" applyProtection="1"/>
    <xf numFmtId="0" fontId="0" fillId="0" borderId="0" xfId="0" applyAlignment="1" applyProtection="1"/>
    <xf numFmtId="165" fontId="16" fillId="0" borderId="3" xfId="1" applyFont="1" applyFill="1" applyBorder="1" applyAlignment="1" applyProtection="1"/>
    <xf numFmtId="169" fontId="16" fillId="0" borderId="3" xfId="1" applyNumberFormat="1" applyFont="1" applyFill="1" applyBorder="1" applyAlignment="1" applyProtection="1"/>
    <xf numFmtId="0" fontId="16" fillId="0" borderId="3" xfId="0" applyFont="1" applyFill="1" applyBorder="1" applyAlignment="1" applyProtection="1"/>
    <xf numFmtId="0" fontId="0" fillId="0" borderId="0" xfId="0" applyAlignment="1" applyProtection="1">
      <protection locked="0"/>
    </xf>
    <xf numFmtId="0" fontId="16" fillId="0" borderId="6" xfId="0" applyFont="1" applyFill="1" applyBorder="1" applyAlignment="1" applyProtection="1"/>
    <xf numFmtId="169" fontId="16" fillId="0" borderId="6" xfId="1" applyNumberFormat="1" applyFont="1" applyFill="1" applyBorder="1" applyAlignment="1" applyProtection="1"/>
    <xf numFmtId="0" fontId="16" fillId="0" borderId="9" xfId="0" applyFont="1" applyBorder="1" applyAlignment="1" applyProtection="1"/>
    <xf numFmtId="0" fontId="16" fillId="0" borderId="1" xfId="0" applyFont="1" applyBorder="1" applyAlignment="1" applyProtection="1"/>
    <xf numFmtId="0" fontId="16" fillId="0" borderId="10" xfId="0" applyFont="1" applyBorder="1" applyAlignment="1" applyProtection="1"/>
    <xf numFmtId="0" fontId="18" fillId="0" borderId="13" xfId="0" applyFont="1" applyFill="1" applyBorder="1" applyAlignment="1" applyProtection="1">
      <alignment horizontal="left" vertical="top"/>
    </xf>
    <xf numFmtId="0" fontId="16" fillId="0" borderId="6" xfId="0" applyFont="1" applyFill="1" applyBorder="1" applyProtection="1"/>
    <xf numFmtId="168" fontId="16" fillId="0" borderId="3" xfId="0" applyNumberFormat="1" applyFont="1" applyFill="1" applyBorder="1" applyProtection="1"/>
    <xf numFmtId="0" fontId="16" fillId="0" borderId="14" xfId="0" applyFont="1" applyFill="1" applyBorder="1" applyProtection="1"/>
    <xf numFmtId="0" fontId="1" fillId="7" borderId="4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horizontal="center" vertical="center" wrapText="1"/>
    </xf>
    <xf numFmtId="0" fontId="1" fillId="7" borderId="4" xfId="0" applyFont="1" applyFill="1" applyBorder="1" applyAlignment="1" applyProtection="1">
      <alignment horizontal="center" wrapText="1"/>
    </xf>
    <xf numFmtId="168" fontId="16" fillId="0" borderId="8" xfId="0" applyNumberFormat="1" applyFont="1" applyFill="1" applyBorder="1" applyProtection="1"/>
    <xf numFmtId="0" fontId="1" fillId="7" borderId="15" xfId="0" applyFont="1" applyFill="1" applyBorder="1" applyProtection="1"/>
    <xf numFmtId="0" fontId="16" fillId="0" borderId="3" xfId="0" quotePrefix="1" applyFont="1" applyBorder="1" applyAlignment="1" applyProtection="1">
      <alignment horizontal="center"/>
    </xf>
    <xf numFmtId="0" fontId="18" fillId="0" borderId="3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/>
    </xf>
    <xf numFmtId="39" fontId="16" fillId="0" borderId="3" xfId="1" applyNumberFormat="1" applyFont="1" applyFill="1" applyBorder="1" applyAlignment="1" applyProtection="1">
      <alignment horizontal="center"/>
    </xf>
    <xf numFmtId="0" fontId="1" fillId="7" borderId="3" xfId="0" applyFont="1" applyFill="1" applyBorder="1" applyAlignment="1" applyProtection="1">
      <alignment horizontal="center" wrapText="1"/>
    </xf>
    <xf numFmtId="169" fontId="16" fillId="0" borderId="8" xfId="1" applyNumberFormat="1" applyFont="1" applyFill="1" applyBorder="1" applyAlignment="1" applyProtection="1">
      <alignment horizontal="right"/>
    </xf>
    <xf numFmtId="0" fontId="16" fillId="0" borderId="13" xfId="0" applyFont="1" applyBorder="1" applyProtection="1"/>
    <xf numFmtId="0" fontId="16" fillId="0" borderId="13" xfId="0" applyFont="1" applyBorder="1" applyAlignment="1" applyProtection="1">
      <alignment wrapText="1"/>
    </xf>
    <xf numFmtId="0" fontId="1" fillId="7" borderId="15" xfId="0" applyFont="1" applyFill="1" applyBorder="1" applyAlignment="1" applyProtection="1">
      <alignment vertical="center"/>
    </xf>
    <xf numFmtId="0" fontId="16" fillId="0" borderId="11" xfId="0" applyFont="1" applyBorder="1" applyProtection="1"/>
    <xf numFmtId="0" fontId="16" fillId="0" borderId="11" xfId="0" applyFont="1" applyBorder="1" applyAlignment="1" applyProtection="1">
      <alignment wrapText="1"/>
    </xf>
    <xf numFmtId="0" fontId="1" fillId="7" borderId="16" xfId="0" applyFont="1" applyFill="1" applyBorder="1" applyAlignment="1" applyProtection="1">
      <alignment vertical="center"/>
    </xf>
    <xf numFmtId="0" fontId="16" fillId="0" borderId="2" xfId="0" applyFont="1" applyBorder="1" applyProtection="1"/>
    <xf numFmtId="0" fontId="16" fillId="0" borderId="2" xfId="0" applyFont="1" applyBorder="1" applyAlignment="1" applyProtection="1">
      <alignment wrapText="1"/>
    </xf>
    <xf numFmtId="0" fontId="0" fillId="0" borderId="11" xfId="0" applyBorder="1" applyAlignment="1" applyProtection="1"/>
    <xf numFmtId="0" fontId="0" fillId="0" borderId="2" xfId="0" applyBorder="1" applyAlignment="1" applyProtection="1"/>
    <xf numFmtId="0" fontId="0" fillId="0" borderId="12" xfId="0" applyBorder="1" applyAlignment="1" applyProtection="1"/>
    <xf numFmtId="0" fontId="1" fillId="7" borderId="16" xfId="0" applyFont="1" applyFill="1" applyBorder="1" applyProtection="1"/>
    <xf numFmtId="0" fontId="16" fillId="7" borderId="13" xfId="0" applyFont="1" applyFill="1" applyBorder="1" applyProtection="1"/>
    <xf numFmtId="0" fontId="17" fillId="0" borderId="13" xfId="0" applyFont="1" applyBorder="1" applyProtection="1"/>
    <xf numFmtId="0" fontId="16" fillId="7" borderId="8" xfId="0" applyFont="1" applyFill="1" applyBorder="1" applyProtection="1"/>
    <xf numFmtId="0" fontId="16" fillId="0" borderId="8" xfId="0" applyFont="1" applyBorder="1" applyProtection="1"/>
    <xf numFmtId="0" fontId="17" fillId="0" borderId="8" xfId="0" applyFont="1" applyBorder="1" applyProtection="1"/>
    <xf numFmtId="0" fontId="16" fillId="0" borderId="8" xfId="0" applyFont="1" applyBorder="1" applyAlignment="1" applyProtection="1">
      <alignment wrapText="1"/>
    </xf>
    <xf numFmtId="0" fontId="25" fillId="0" borderId="0" xfId="0" applyFont="1" applyAlignment="1" applyProtection="1">
      <alignment horizontal="center"/>
    </xf>
    <xf numFmtId="166" fontId="2" fillId="3" borderId="0" xfId="0" applyNumberFormat="1" applyFont="1" applyFill="1" applyProtection="1"/>
    <xf numFmtId="165" fontId="1" fillId="0" borderId="0" xfId="0" applyNumberFormat="1" applyFont="1" applyProtection="1"/>
    <xf numFmtId="165" fontId="8" fillId="0" borderId="0" xfId="0" applyNumberFormat="1" applyFont="1" applyProtection="1"/>
    <xf numFmtId="174" fontId="1" fillId="3" borderId="0" xfId="0" applyNumberFormat="1" applyFont="1" applyFill="1" applyAlignment="1" applyProtection="1">
      <alignment horizontal="right"/>
    </xf>
    <xf numFmtId="174" fontId="2" fillId="3" borderId="0" xfId="0" applyNumberFormat="1" applyFont="1" applyFill="1" applyAlignment="1" applyProtection="1">
      <alignment horizontal="right"/>
    </xf>
    <xf numFmtId="169" fontId="16" fillId="0" borderId="3" xfId="1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6" fillId="0" borderId="0" xfId="0" applyFont="1" applyAlignment="1">
      <alignment horizontal="center"/>
    </xf>
    <xf numFmtId="0" fontId="26" fillId="0" borderId="0" xfId="0" applyFont="1"/>
    <xf numFmtId="0" fontId="16" fillId="0" borderId="3" xfId="0" applyFont="1" applyBorder="1"/>
    <xf numFmtId="0" fontId="16" fillId="0" borderId="3" xfId="0" applyFont="1" applyBorder="1" applyAlignment="1">
      <alignment horizontal="center"/>
    </xf>
    <xf numFmtId="164" fontId="25" fillId="0" borderId="3" xfId="2" applyFont="1" applyBorder="1"/>
    <xf numFmtId="170" fontId="25" fillId="0" borderId="3" xfId="7" applyNumberFormat="1" applyFont="1" applyBorder="1" applyAlignment="1">
      <alignment horizontal="center"/>
    </xf>
    <xf numFmtId="164" fontId="16" fillId="0" borderId="3" xfId="2" applyFont="1" applyBorder="1"/>
    <xf numFmtId="170" fontId="16" fillId="0" borderId="3" xfId="7" applyNumberFormat="1" applyFont="1" applyBorder="1" applyAlignment="1">
      <alignment horizontal="center"/>
    </xf>
    <xf numFmtId="0" fontId="25" fillId="7" borderId="3" xfId="0" applyFont="1" applyFill="1" applyBorder="1"/>
    <xf numFmtId="0" fontId="25" fillId="7" borderId="3" xfId="0" applyFont="1" applyFill="1" applyBorder="1" applyAlignment="1">
      <alignment horizontal="center"/>
    </xf>
    <xf numFmtId="0" fontId="16" fillId="0" borderId="11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0" xfId="0" applyFont="1" applyBorder="1" applyAlignment="1" applyProtection="1">
      <alignment horizontal="left" vertical="top"/>
    </xf>
  </cellXfs>
  <cellStyles count="8">
    <cellStyle name="Comma" xfId="1" builtinId="3"/>
    <cellStyle name="Currency" xfId="2" builtinId="4"/>
    <cellStyle name="Normal" xfId="0" builtinId="0"/>
    <cellStyle name="Normal 2" xfId="3"/>
    <cellStyle name="Normal 3" xfId="4"/>
    <cellStyle name="Normal 3 2" xfId="5"/>
    <cellStyle name="Percent" xfId="7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mbenum\Pictures\Elenchus\Elenchus%20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mbenum\Pictures\Elenchus\Elenchus%20Logo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1074123</xdr:colOff>
      <xdr:row>1</xdr:row>
      <xdr:rowOff>22492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6200"/>
          <a:ext cx="969348" cy="146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940858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6675" y="76200"/>
          <a:ext cx="874183" cy="133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0</xdr:col>
      <xdr:colOff>1037168</xdr:colOff>
      <xdr:row>1</xdr:row>
      <xdr:rowOff>23980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6676" y="76200"/>
          <a:ext cx="970492" cy="147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9525</xdr:colOff>
      <xdr:row>1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0572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42"/>
  <sheetViews>
    <sheetView showGridLines="0" zoomScale="118" zoomScaleNormal="118" workbookViewId="0">
      <selection activeCell="D23" sqref="D23"/>
    </sheetView>
  </sheetViews>
  <sheetFormatPr defaultColWidth="0" defaultRowHeight="15" zeroHeight="1" x14ac:dyDescent="0.25"/>
  <cols>
    <col min="1" max="1" width="15.7109375" style="2" customWidth="1"/>
    <col min="2" max="2" width="0" style="2" hidden="1" customWidth="1"/>
    <col min="3" max="3" width="55.7109375" style="2" customWidth="1"/>
    <col min="4" max="4" width="40.7109375" style="2" customWidth="1"/>
    <col min="5" max="5" width="2.7109375" style="2" customWidth="1"/>
    <col min="6" max="16384" width="0" style="2" hidden="1"/>
  </cols>
  <sheetData>
    <row r="1" spans="1:4" x14ac:dyDescent="0.25">
      <c r="A1" s="1"/>
      <c r="B1" s="1"/>
      <c r="C1" s="1"/>
      <c r="D1" s="1"/>
    </row>
    <row r="2" spans="1:4" s="1" customFormat="1" x14ac:dyDescent="0.25"/>
    <row r="3" spans="1:4" s="1" customFormat="1" ht="18" x14ac:dyDescent="0.25">
      <c r="C3" s="3" t="str">
        <f xml:space="preserve"> "Name of LDC:       " &amp;D21</f>
        <v>Name of LDC:       Natural Resource Gas Limited</v>
      </c>
    </row>
    <row r="4" spans="1:4" s="1" customFormat="1" ht="18" x14ac:dyDescent="0.25">
      <c r="C4" s="3" t="str">
        <f xml:space="preserve"> "OEB Application Number:          " &amp; D23</f>
        <v xml:space="preserve">OEB Application Number:          </v>
      </c>
    </row>
    <row r="5" spans="1:4" s="1" customFormat="1" x14ac:dyDescent="0.25"/>
    <row r="6" spans="1:4" s="1" customFormat="1" x14ac:dyDescent="0.25"/>
    <row r="7" spans="1:4" s="1" customFormat="1" x14ac:dyDescent="0.25">
      <c r="C7" s="1" t="s">
        <v>189</v>
      </c>
    </row>
    <row r="8" spans="1:4" s="1" customFormat="1" x14ac:dyDescent="0.25"/>
    <row r="9" spans="1:4" s="1" customFormat="1" x14ac:dyDescent="0.25"/>
    <row r="10" spans="1:4" s="1" customFormat="1" x14ac:dyDescent="0.25"/>
    <row r="11" spans="1:4" s="1" customFormat="1" ht="20.25" x14ac:dyDescent="0.3">
      <c r="C11" s="4" t="s">
        <v>22</v>
      </c>
    </row>
    <row r="12" spans="1:4" s="1" customFormat="1" x14ac:dyDescent="0.25"/>
    <row r="13" spans="1:4" s="1" customFormat="1" x14ac:dyDescent="0.25"/>
    <row r="14" spans="1:4" s="1" customFormat="1" x14ac:dyDescent="0.25"/>
    <row r="15" spans="1:4" s="1" customFormat="1" x14ac:dyDescent="0.25"/>
    <row r="16" spans="1:4" s="1" customFormat="1" x14ac:dyDescent="0.25"/>
    <row r="17" spans="3:4" s="1" customFormat="1" x14ac:dyDescent="0.25"/>
    <row r="18" spans="3:4" s="1" customFormat="1" x14ac:dyDescent="0.25"/>
    <row r="19" spans="3:4" s="1" customFormat="1" x14ac:dyDescent="0.25"/>
    <row r="20" spans="3:4" s="1" customFormat="1" x14ac:dyDescent="0.25"/>
    <row r="21" spans="3:4" s="1" customFormat="1" ht="15.75" x14ac:dyDescent="0.25">
      <c r="C21" s="5" t="s">
        <v>23</v>
      </c>
      <c r="D21" s="6" t="s">
        <v>55</v>
      </c>
    </row>
    <row r="22" spans="3:4" s="1" customFormat="1" ht="15.75" x14ac:dyDescent="0.25">
      <c r="C22" s="5"/>
      <c r="D22" s="5"/>
    </row>
    <row r="23" spans="3:4" s="1" customFormat="1" ht="15.75" x14ac:dyDescent="0.25">
      <c r="C23" s="5" t="s">
        <v>56</v>
      </c>
      <c r="D23" s="81"/>
    </row>
    <row r="24" spans="3:4" s="1" customFormat="1" x14ac:dyDescent="0.25"/>
    <row r="25" spans="3:4" s="1" customFormat="1" x14ac:dyDescent="0.25"/>
    <row r="26" spans="3:4" s="1" customFormat="1" x14ac:dyDescent="0.25"/>
    <row r="27" spans="3:4" s="1" customFormat="1" x14ac:dyDescent="0.25"/>
    <row r="28" spans="3:4" s="1" customFormat="1" x14ac:dyDescent="0.25"/>
    <row r="29" spans="3:4" s="1" customFormat="1" x14ac:dyDescent="0.25"/>
    <row r="30" spans="3:4" s="1" customFormat="1" x14ac:dyDescent="0.25"/>
    <row r="31" spans="3:4" s="1" customFormat="1" x14ac:dyDescent="0.25"/>
    <row r="32" spans="3: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</sheetData>
  <sheetProtection password="B400" sheet="1" objects="1" scenarios="1" formatColumns="0" formatRows="0"/>
  <pageMargins left="0.70866141732283505" right="0.70866141732283505" top="0.74803149606299202" bottom="0.74803149606299202" header="0.31496062992126" footer="0.31496062992126"/>
  <pageSetup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45"/>
  <sheetViews>
    <sheetView showGridLines="0" topLeftCell="A5" workbookViewId="0">
      <selection activeCell="K19" sqref="K19"/>
    </sheetView>
  </sheetViews>
  <sheetFormatPr defaultColWidth="0" defaultRowHeight="15" customHeight="1" zeroHeight="1" x14ac:dyDescent="0.25"/>
  <cols>
    <col min="1" max="1" width="15.7109375" style="2" customWidth="1"/>
    <col min="2" max="2" width="0" style="2" hidden="1" customWidth="1"/>
    <col min="3" max="3" width="35.7109375" style="2" customWidth="1"/>
    <col min="4" max="4" width="2.7109375" style="2" customWidth="1"/>
    <col min="5" max="5" width="12.140625" style="2" bestFit="1" customWidth="1"/>
    <col min="6" max="6" width="9.140625" style="2" bestFit="1" customWidth="1"/>
    <col min="7" max="7" width="14.42578125" style="2" bestFit="1" customWidth="1"/>
    <col min="8" max="8" width="13.28515625" style="2" bestFit="1" customWidth="1"/>
    <col min="9" max="9" width="12.7109375" style="2" bestFit="1" customWidth="1"/>
    <col min="10" max="10" width="12.28515625" style="2" bestFit="1" customWidth="1"/>
    <col min="11" max="11" width="14.42578125" style="2" bestFit="1" customWidth="1"/>
    <col min="12" max="12" width="12.7109375" style="2" bestFit="1" customWidth="1"/>
    <col min="13" max="14" width="15.7109375" style="2" customWidth="1"/>
    <col min="15" max="15" width="15.7109375" style="2" hidden="1" customWidth="1"/>
    <col min="16" max="16384" width="0" style="2" hidden="1"/>
  </cols>
  <sheetData>
    <row r="1" spans="1:14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</row>
    <row r="2" spans="1:14" s="1" customFormat="1" ht="18" x14ac:dyDescent="0.25">
      <c r="C2" s="8" t="str">
        <f>'A1.1 Distributor Information'!C3</f>
        <v>Name of LDC:       Natural Resource Gas Limited</v>
      </c>
    </row>
    <row r="3" spans="1:14" s="1" customFormat="1" ht="18" x14ac:dyDescent="0.25">
      <c r="C3" s="8" t="str">
        <f>'A1.1 Distributor Information'!C4</f>
        <v xml:space="preserve">OEB Application Number:          </v>
      </c>
    </row>
    <row r="4" spans="1:14" s="1" customFormat="1" ht="15" customHeight="1" x14ac:dyDescent="0.25"/>
    <row r="5" spans="1:14" s="1" customFormat="1" ht="15" customHeight="1" x14ac:dyDescent="0.25"/>
    <row r="6" spans="1:14" s="1" customFormat="1" ht="15" customHeight="1" x14ac:dyDescent="0.25"/>
    <row r="7" spans="1:14" s="1" customFormat="1" ht="15" customHeight="1" x14ac:dyDescent="0.25"/>
    <row r="8" spans="1:14" s="1" customFormat="1" ht="20.25" x14ac:dyDescent="0.3">
      <c r="C8" s="4" t="s">
        <v>118</v>
      </c>
    </row>
    <row r="9" spans="1:14" s="1" customFormat="1" ht="15" customHeight="1" x14ac:dyDescent="0.25"/>
    <row r="10" spans="1:14" s="1" customFormat="1" ht="15" customHeight="1" x14ac:dyDescent="0.25"/>
    <row r="11" spans="1:14" s="1" customFormat="1" x14ac:dyDescent="0.25">
      <c r="C11" s="1" t="s">
        <v>33</v>
      </c>
      <c r="E11" s="48">
        <f>'D1.1 Rate 1 Adjustment'!E11</f>
        <v>1.6E-2</v>
      </c>
    </row>
    <row r="12" spans="1:14" s="1" customFormat="1" x14ac:dyDescent="0.25">
      <c r="C12" s="1" t="s">
        <v>34</v>
      </c>
      <c r="E12" s="48">
        <f>'D1.1 Rate 1 Adjustment'!E12</f>
        <v>0</v>
      </c>
    </row>
    <row r="13" spans="1:14" s="1" customFormat="1" x14ac:dyDescent="0.25">
      <c r="C13" s="1" t="s">
        <v>35</v>
      </c>
      <c r="E13" s="48">
        <f>'D1.1 Rate 1 Adjustment'!E13</f>
        <v>4.0000000000000001E-3</v>
      </c>
      <c r="H13" s="15"/>
      <c r="I13" s="15"/>
      <c r="J13" s="15"/>
      <c r="K13" s="15"/>
      <c r="L13" s="15"/>
      <c r="N13" s="15"/>
    </row>
    <row r="14" spans="1:14" s="1" customFormat="1" x14ac:dyDescent="0.25">
      <c r="C14" s="1" t="s">
        <v>36</v>
      </c>
      <c r="E14" s="52">
        <f>E11-E12-E13</f>
        <v>1.2E-2</v>
      </c>
    </row>
    <row r="15" spans="1:14" s="1" customFormat="1" ht="15" customHeight="1" x14ac:dyDescent="0.25"/>
    <row r="16" spans="1:14" s="1" customFormat="1" ht="30" x14ac:dyDescent="0.25">
      <c r="E16" s="17" t="s">
        <v>37</v>
      </c>
      <c r="F16" s="17" t="s">
        <v>38</v>
      </c>
      <c r="G16" s="17" t="s">
        <v>39</v>
      </c>
      <c r="H16" s="17" t="s">
        <v>40</v>
      </c>
      <c r="I16" s="17" t="s">
        <v>41</v>
      </c>
      <c r="J16" s="17"/>
      <c r="K16" s="17" t="s">
        <v>42</v>
      </c>
      <c r="L16" s="17" t="s">
        <v>41</v>
      </c>
    </row>
    <row r="17" spans="3:12" s="1" customFormat="1" x14ac:dyDescent="0.25">
      <c r="C17" s="1" t="s">
        <v>30</v>
      </c>
      <c r="E17" s="121">
        <f>'C2.3 Adj Monthly Service Chg'!I19</f>
        <v>15</v>
      </c>
      <c r="F17" s="48">
        <f>$E$14</f>
        <v>1.2E-2</v>
      </c>
      <c r="G17" s="49">
        <f>E17*(1+F17)</f>
        <v>15.18</v>
      </c>
      <c r="H17" s="33">
        <f>'B1.2 Billing Determinants'!E19</f>
        <v>73</v>
      </c>
      <c r="I17" s="33">
        <f>G17*H17*12</f>
        <v>13297.679999999998</v>
      </c>
      <c r="J17" s="77" t="s">
        <v>114</v>
      </c>
      <c r="K17" s="49">
        <f>E17+H11</f>
        <v>15</v>
      </c>
      <c r="L17" s="33">
        <f>H17*K17*12</f>
        <v>13140</v>
      </c>
    </row>
    <row r="18" spans="3:12" s="1" customFormat="1" x14ac:dyDescent="0.25">
      <c r="C18" s="1" t="s">
        <v>43</v>
      </c>
      <c r="E18" s="53">
        <f>'B1.1 Current Distribution Rates'!F19</f>
        <v>14.5236</v>
      </c>
      <c r="F18" s="48">
        <f t="shared" ref="F18:F23" si="0">$E$14</f>
        <v>1.2E-2</v>
      </c>
      <c r="G18" s="50">
        <f t="shared" ref="G18:G24" si="1">E18*(1+F18)</f>
        <v>14.6978832</v>
      </c>
      <c r="H18" s="33">
        <f>'B1.2 Billing Determinants'!F19</f>
        <v>123779</v>
      </c>
      <c r="I18" s="33">
        <f>G18*H18/100</f>
        <v>18192.892846128001</v>
      </c>
      <c r="J18" s="77" t="s">
        <v>115</v>
      </c>
      <c r="K18" s="50">
        <f>L18/H18*100</f>
        <v>15.167689605087705</v>
      </c>
      <c r="L18" s="33">
        <f>(I18/($I$18+$I$21))*(I25-SUM(L17,L19:L20,L22:L24))</f>
        <v>18774.414516281511</v>
      </c>
    </row>
    <row r="19" spans="3:12" s="1" customFormat="1" x14ac:dyDescent="0.25">
      <c r="C19" s="12" t="s">
        <v>44</v>
      </c>
      <c r="E19" s="53">
        <f>'B1.1 Current Distribution Rates'!H19</f>
        <v>9.4825999999999997</v>
      </c>
      <c r="F19" s="48">
        <f t="shared" si="0"/>
        <v>1.2E-2</v>
      </c>
      <c r="G19" s="50">
        <f t="shared" si="1"/>
        <v>9.5963911999999993</v>
      </c>
      <c r="H19" s="33">
        <f>'B1.2 Billing Determinants'!H19</f>
        <v>329621.00000000006</v>
      </c>
      <c r="I19" s="33">
        <f t="shared" ref="I19:I24" si="2">G19*H19/100</f>
        <v>31631.720637352006</v>
      </c>
      <c r="J19" s="77" t="s">
        <v>114</v>
      </c>
      <c r="K19" s="50">
        <f>E19</f>
        <v>9.4825999999999997</v>
      </c>
      <c r="L19" s="33">
        <f t="shared" ref="L19:L20" si="3">H19*K19/100</f>
        <v>31256.640946000003</v>
      </c>
    </row>
    <row r="20" spans="3:12" s="1" customFormat="1" x14ac:dyDescent="0.25">
      <c r="C20" s="12" t="s">
        <v>45</v>
      </c>
      <c r="E20" s="53">
        <f>'B1.1 Current Distribution Rates'!I19</f>
        <v>6.1698000000000004</v>
      </c>
      <c r="F20" s="48">
        <f t="shared" si="0"/>
        <v>1.2E-2</v>
      </c>
      <c r="G20" s="50">
        <f t="shared" si="1"/>
        <v>6.2438376000000009</v>
      </c>
      <c r="H20" s="33">
        <f>'B1.2 Billing Determinants'!I19</f>
        <v>0</v>
      </c>
      <c r="I20" s="33">
        <f t="shared" si="2"/>
        <v>0</v>
      </c>
      <c r="J20" s="77" t="s">
        <v>114</v>
      </c>
      <c r="K20" s="50">
        <f>E20</f>
        <v>6.1698000000000004</v>
      </c>
      <c r="L20" s="33">
        <f t="shared" si="3"/>
        <v>0</v>
      </c>
    </row>
    <row r="21" spans="3:12" s="1" customFormat="1" x14ac:dyDescent="0.25">
      <c r="C21" s="1" t="s">
        <v>46</v>
      </c>
      <c r="E21" s="53">
        <f>'B1.1 Current Distribution Rates'!F20</f>
        <v>18.306799999999999</v>
      </c>
      <c r="F21" s="48">
        <f t="shared" si="0"/>
        <v>1.2E-2</v>
      </c>
      <c r="G21" s="50">
        <f t="shared" si="1"/>
        <v>18.5264816</v>
      </c>
      <c r="H21" s="33">
        <f>'B1.2 Billing Determinants'!F20</f>
        <v>5688</v>
      </c>
      <c r="I21" s="33">
        <f t="shared" si="2"/>
        <v>1053.7862734079999</v>
      </c>
      <c r="J21" s="77" t="s">
        <v>115</v>
      </c>
      <c r="K21" s="50">
        <f>L21/H21*100</f>
        <v>19.118666175219612</v>
      </c>
      <c r="L21" s="33">
        <f>(I21/($I$18+$I$21))*(I25-SUM(L17,L19:L20,L22:L24))</f>
        <v>1087.4697320464916</v>
      </c>
    </row>
    <row r="22" spans="3:12" s="1" customFormat="1" x14ac:dyDescent="0.25">
      <c r="C22" s="12" t="s">
        <v>47</v>
      </c>
      <c r="E22" s="53">
        <f>'B1.1 Current Distribution Rates'!H20</f>
        <v>15.696</v>
      </c>
      <c r="F22" s="48">
        <f t="shared" si="0"/>
        <v>1.2E-2</v>
      </c>
      <c r="G22" s="50">
        <f t="shared" si="1"/>
        <v>15.884352</v>
      </c>
      <c r="H22" s="33">
        <f>'B1.2 Billing Determinants'!H20</f>
        <v>43772.000000000007</v>
      </c>
      <c r="I22" s="33">
        <f t="shared" si="2"/>
        <v>6952.8985574400003</v>
      </c>
      <c r="J22" s="77" t="s">
        <v>114</v>
      </c>
      <c r="K22" s="50">
        <f>E22</f>
        <v>15.696</v>
      </c>
      <c r="L22" s="33">
        <f t="shared" ref="L22:L24" si="4">H22*K22/100</f>
        <v>6870.4531200000019</v>
      </c>
    </row>
    <row r="23" spans="3:12" s="1" customFormat="1" x14ac:dyDescent="0.25">
      <c r="C23" s="12" t="s">
        <v>48</v>
      </c>
      <c r="E23" s="53">
        <f>'B1.1 Current Distribution Rates'!I20</f>
        <v>15.289899999999999</v>
      </c>
      <c r="F23" s="48">
        <f t="shared" si="0"/>
        <v>1.2E-2</v>
      </c>
      <c r="G23" s="50">
        <f t="shared" si="1"/>
        <v>15.473378799999999</v>
      </c>
      <c r="H23" s="33">
        <f>'B1.2 Billing Determinants'!I20</f>
        <v>0</v>
      </c>
      <c r="I23" s="33">
        <f t="shared" si="2"/>
        <v>0</v>
      </c>
      <c r="J23" s="77" t="s">
        <v>114</v>
      </c>
      <c r="K23" s="50">
        <f t="shared" ref="K23:K24" si="5">E23</f>
        <v>15.289899999999999</v>
      </c>
      <c r="L23" s="33">
        <f t="shared" si="4"/>
        <v>0</v>
      </c>
    </row>
    <row r="24" spans="3:12" s="1" customFormat="1" x14ac:dyDescent="0.25">
      <c r="C24" s="1" t="s">
        <v>8</v>
      </c>
      <c r="E24" s="53">
        <f>'B1.1 Current Distribution Rates'!L19</f>
        <v>3.6299999999999999E-2</v>
      </c>
      <c r="F24" s="126">
        <v>0</v>
      </c>
      <c r="G24" s="50">
        <f t="shared" si="1"/>
        <v>3.6299999999999999E-2</v>
      </c>
      <c r="H24" s="33">
        <f>SUM('B1.2 Billing Determinants'!L19:L20)</f>
        <v>502860.00000000006</v>
      </c>
      <c r="I24" s="33">
        <f t="shared" si="2"/>
        <v>182.53818000000004</v>
      </c>
      <c r="J24" s="77" t="s">
        <v>114</v>
      </c>
      <c r="K24" s="50">
        <f t="shared" si="5"/>
        <v>3.6299999999999999E-2</v>
      </c>
      <c r="L24" s="33">
        <f t="shared" si="4"/>
        <v>182.53818000000004</v>
      </c>
    </row>
    <row r="25" spans="3:12" s="1" customFormat="1" x14ac:dyDescent="0.25">
      <c r="I25" s="44">
        <f>SUM(I17:I24)</f>
        <v>71311.516494328011</v>
      </c>
      <c r="L25" s="44">
        <f>SUM(L17:L24)</f>
        <v>71311.516494328011</v>
      </c>
    </row>
    <row r="26" spans="3:12" s="1" customFormat="1" ht="15" customHeight="1" x14ac:dyDescent="0.25">
      <c r="L26" s="11">
        <f>I25-L25</f>
        <v>0</v>
      </c>
    </row>
    <row r="27" spans="3:12" s="1" customFormat="1" ht="15" customHeight="1" x14ac:dyDescent="0.25"/>
    <row r="28" spans="3:12" s="1" customFormat="1" ht="15" customHeight="1" x14ac:dyDescent="0.25"/>
    <row r="29" spans="3:12" s="1" customFormat="1" ht="15" customHeight="1" x14ac:dyDescent="0.25"/>
    <row r="30" spans="3:12" s="1" customFormat="1" ht="15" customHeight="1" x14ac:dyDescent="0.25"/>
    <row r="31" spans="3:12" s="1" customFormat="1" ht="15" customHeight="1" x14ac:dyDescent="0.25"/>
    <row r="32" spans="3:12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  <row r="39" s="1" customFormat="1" ht="15" customHeight="1" x14ac:dyDescent="0.25"/>
    <row r="40" s="1" customFormat="1" ht="15" customHeight="1" x14ac:dyDescent="0.25"/>
    <row r="41" s="1" customFormat="1" ht="15" customHeight="1" x14ac:dyDescent="0.25"/>
    <row r="42" s="1" customFormat="1" ht="15" customHeight="1" x14ac:dyDescent="0.25"/>
    <row r="43" s="1" customFormat="1" ht="15" customHeight="1" x14ac:dyDescent="0.25"/>
    <row r="44" s="1" customFormat="1" ht="15" customHeight="1" x14ac:dyDescent="0.25"/>
    <row r="45" s="1" customFormat="1" ht="15" customHeight="1" x14ac:dyDescent="0.25"/>
  </sheetData>
  <sheetProtection password="B400" sheet="1" objects="1" scenarios="1" formatColumns="0" formatRows="0"/>
  <dataValidations count="1">
    <dataValidation type="list" allowBlank="1" showInputMessage="1" showErrorMessage="1" sqref="J17:J24">
      <formula1>"Change,No Change,Re-Balance"</formula1>
    </dataValidation>
  </dataValidations>
  <pageMargins left="0.70866141732283505" right="0.70866141732283505" top="0.74803149606299202" bottom="0.74803149606299202" header="0.31496062992126" footer="0.31496062992126"/>
  <pageSetup scale="78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O41"/>
  <sheetViews>
    <sheetView showGridLines="0" workbookViewId="0">
      <selection sqref="A1:XFD1048576"/>
    </sheetView>
  </sheetViews>
  <sheetFormatPr defaultColWidth="0" defaultRowHeight="15" customHeight="1" zeroHeight="1" x14ac:dyDescent="0.25"/>
  <cols>
    <col min="1" max="1" width="15.7109375" style="2" customWidth="1"/>
    <col min="2" max="2" width="0" style="2" hidden="1" customWidth="1"/>
    <col min="3" max="3" width="35.7109375" style="2" customWidth="1"/>
    <col min="4" max="4" width="2.7109375" style="2" customWidth="1"/>
    <col min="5" max="5" width="12.140625" style="2" bestFit="1" customWidth="1"/>
    <col min="6" max="6" width="9.140625" style="2" bestFit="1" customWidth="1"/>
    <col min="7" max="7" width="14.42578125" style="2" bestFit="1" customWidth="1"/>
    <col min="8" max="8" width="13.28515625" style="2" bestFit="1" customWidth="1"/>
    <col min="9" max="9" width="12.7109375" style="2" bestFit="1" customWidth="1"/>
    <col min="10" max="10" width="12.28515625" style="2" bestFit="1" customWidth="1"/>
    <col min="11" max="11" width="14.42578125" style="2" bestFit="1" customWidth="1"/>
    <col min="12" max="12" width="12.7109375" style="2" bestFit="1" customWidth="1"/>
    <col min="13" max="14" width="15.7109375" style="2" customWidth="1"/>
    <col min="15" max="15" width="15.7109375" style="2" hidden="1" customWidth="1"/>
    <col min="16" max="16384" width="0" style="2" hidden="1"/>
  </cols>
  <sheetData>
    <row r="1" spans="1:14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</row>
    <row r="2" spans="1:14" s="1" customFormat="1" ht="18" x14ac:dyDescent="0.25">
      <c r="C2" s="8" t="str">
        <f>'A1.1 Distributor Information'!C3</f>
        <v>Name of LDC:       Natural Resource Gas Limited</v>
      </c>
    </row>
    <row r="3" spans="1:14" s="1" customFormat="1" ht="18" x14ac:dyDescent="0.25">
      <c r="C3" s="8" t="str">
        <f>'A1.1 Distributor Information'!C4</f>
        <v xml:space="preserve">OEB Application Number:          </v>
      </c>
    </row>
    <row r="4" spans="1:14" s="1" customFormat="1" ht="15" customHeight="1" x14ac:dyDescent="0.25"/>
    <row r="5" spans="1:14" s="1" customFormat="1" ht="15" customHeight="1" x14ac:dyDescent="0.25"/>
    <row r="6" spans="1:14" s="1" customFormat="1" ht="15" customHeight="1" x14ac:dyDescent="0.25"/>
    <row r="7" spans="1:14" s="1" customFormat="1" ht="15" customHeight="1" x14ac:dyDescent="0.25"/>
    <row r="8" spans="1:14" s="1" customFormat="1" ht="20.25" x14ac:dyDescent="0.3">
      <c r="C8" s="4" t="s">
        <v>119</v>
      </c>
    </row>
    <row r="9" spans="1:14" s="1" customFormat="1" ht="15" customHeight="1" x14ac:dyDescent="0.25"/>
    <row r="10" spans="1:14" s="1" customFormat="1" ht="15" customHeight="1" x14ac:dyDescent="0.25"/>
    <row r="11" spans="1:14" s="1" customFormat="1" x14ac:dyDescent="0.25">
      <c r="C11" s="1" t="s">
        <v>33</v>
      </c>
      <c r="E11" s="48">
        <f>'D1.1 Rate 1 Adjustment'!E11</f>
        <v>1.6E-2</v>
      </c>
    </row>
    <row r="12" spans="1:14" s="1" customFormat="1" x14ac:dyDescent="0.25">
      <c r="C12" s="1" t="s">
        <v>34</v>
      </c>
      <c r="E12" s="48">
        <f>'D1.1 Rate 1 Adjustment'!E12</f>
        <v>0</v>
      </c>
    </row>
    <row r="13" spans="1:14" s="1" customFormat="1" x14ac:dyDescent="0.25">
      <c r="C13" s="1" t="s">
        <v>35</v>
      </c>
      <c r="E13" s="48">
        <f>'D1.1 Rate 1 Adjustment'!E13</f>
        <v>4.0000000000000001E-3</v>
      </c>
      <c r="H13" s="15"/>
      <c r="I13" s="15"/>
      <c r="J13" s="15"/>
      <c r="K13" s="15"/>
      <c r="L13" s="15"/>
      <c r="N13" s="15"/>
    </row>
    <row r="14" spans="1:14" s="1" customFormat="1" x14ac:dyDescent="0.25">
      <c r="C14" s="1" t="s">
        <v>36</v>
      </c>
      <c r="E14" s="52">
        <f>E11-E12-E13</f>
        <v>1.2E-2</v>
      </c>
    </row>
    <row r="15" spans="1:14" s="1" customFormat="1" ht="15" customHeight="1" x14ac:dyDescent="0.25"/>
    <row r="16" spans="1:14" s="1" customFormat="1" ht="30" x14ac:dyDescent="0.25">
      <c r="E16" s="17" t="s">
        <v>37</v>
      </c>
      <c r="F16" s="17" t="s">
        <v>38</v>
      </c>
      <c r="G16" s="17" t="s">
        <v>39</v>
      </c>
      <c r="H16" s="17" t="s">
        <v>40</v>
      </c>
      <c r="I16" s="17" t="s">
        <v>41</v>
      </c>
      <c r="J16" s="17"/>
      <c r="K16" s="17" t="s">
        <v>42</v>
      </c>
      <c r="L16" s="17" t="s">
        <v>41</v>
      </c>
    </row>
    <row r="17" spans="3:12" s="1" customFormat="1" x14ac:dyDescent="0.25">
      <c r="C17" s="1" t="s">
        <v>30</v>
      </c>
      <c r="E17" s="121">
        <f>'C2.3 Adj Monthly Service Chg'!I21</f>
        <v>150</v>
      </c>
      <c r="F17" s="48">
        <f>E14</f>
        <v>1.2E-2</v>
      </c>
      <c r="G17" s="49">
        <f>E17*(1+F17)</f>
        <v>151.80000000000001</v>
      </c>
      <c r="H17" s="33">
        <f>'B1.2 Billing Determinants'!E21</f>
        <v>4</v>
      </c>
      <c r="I17" s="33">
        <f>G17*H17*12</f>
        <v>7286.4000000000005</v>
      </c>
      <c r="J17" s="77" t="s">
        <v>114</v>
      </c>
      <c r="K17" s="49">
        <f>E17+H11</f>
        <v>150</v>
      </c>
      <c r="L17" s="33">
        <f>H17*K17*12</f>
        <v>7200</v>
      </c>
    </row>
    <row r="18" spans="3:12" s="1" customFormat="1" x14ac:dyDescent="0.25">
      <c r="C18" s="1" t="s">
        <v>49</v>
      </c>
      <c r="E18" s="53">
        <f>'B1.1 Current Distribution Rates'!J21</f>
        <v>3.8521000000000001</v>
      </c>
      <c r="F18" s="48">
        <f>E14</f>
        <v>1.2E-2</v>
      </c>
      <c r="G18" s="53">
        <f t="shared" ref="G18:G20" si="0">E18*(1+F18)</f>
        <v>3.8983251999999999</v>
      </c>
      <c r="H18" s="33">
        <f>'B1.2 Billing Determinants'!J21</f>
        <v>2195299.0893468545</v>
      </c>
      <c r="I18" s="33">
        <f>G18*H18/100</f>
        <v>85579.897615378941</v>
      </c>
      <c r="J18" s="77" t="s">
        <v>115</v>
      </c>
      <c r="K18" s="53">
        <f>L18/H18*100</f>
        <v>3.9431266753884224</v>
      </c>
      <c r="L18" s="33">
        <f>I21-(L17+L19+L20)</f>
        <v>86563.423996594938</v>
      </c>
    </row>
    <row r="19" spans="3:12" s="1" customFormat="1" x14ac:dyDescent="0.25">
      <c r="C19" s="1" t="s">
        <v>50</v>
      </c>
      <c r="E19" s="53">
        <f>'B1.1 Current Distribution Rates'!K21</f>
        <v>29.0974</v>
      </c>
      <c r="F19" s="48">
        <f>E14</f>
        <v>1.2E-2</v>
      </c>
      <c r="G19" s="53">
        <f t="shared" si="0"/>
        <v>29.446568800000001</v>
      </c>
      <c r="H19" s="33">
        <f>'B1.2 Billing Determinants'!K21</f>
        <v>256932</v>
      </c>
      <c r="I19" s="33">
        <f t="shared" ref="I19:I20" si="1">G19*H19/100</f>
        <v>75657.658149216004</v>
      </c>
      <c r="J19" s="77" t="s">
        <v>114</v>
      </c>
      <c r="K19" s="53">
        <v>29.0974</v>
      </c>
      <c r="L19" s="33">
        <f>H19*K19/100</f>
        <v>74760.531768000001</v>
      </c>
    </row>
    <row r="20" spans="3:12" s="1" customFormat="1" x14ac:dyDescent="0.25">
      <c r="C20" s="1" t="s">
        <v>8</v>
      </c>
      <c r="E20" s="53">
        <f>'B1.1 Current Distribution Rates'!L21</f>
        <v>3.6299999999999999E-2</v>
      </c>
      <c r="F20" s="48">
        <v>0</v>
      </c>
      <c r="G20" s="53">
        <f t="shared" si="0"/>
        <v>3.6299999999999999E-2</v>
      </c>
      <c r="H20" s="33">
        <f>'B1.2 Billing Determinants'!L21</f>
        <v>2195299.0893468545</v>
      </c>
      <c r="I20" s="33">
        <f t="shared" si="1"/>
        <v>796.89356943290807</v>
      </c>
      <c r="J20" s="77" t="s">
        <v>114</v>
      </c>
      <c r="K20" s="53">
        <f>E20</f>
        <v>3.6299999999999999E-2</v>
      </c>
      <c r="L20" s="33">
        <f>H20*K20/100</f>
        <v>796.89356943290807</v>
      </c>
    </row>
    <row r="21" spans="3:12" s="1" customFormat="1" x14ac:dyDescent="0.25">
      <c r="I21" s="44">
        <f>SUM(I17:I20)</f>
        <v>169320.84933402785</v>
      </c>
      <c r="L21" s="44">
        <f>SUM(L17:L20)</f>
        <v>169320.84933402785</v>
      </c>
    </row>
    <row r="22" spans="3:12" s="1" customFormat="1" ht="15" customHeight="1" x14ac:dyDescent="0.25">
      <c r="L22" s="11">
        <f>I21-L21</f>
        <v>0</v>
      </c>
    </row>
    <row r="23" spans="3:12" s="1" customFormat="1" ht="15" customHeight="1" x14ac:dyDescent="0.25"/>
    <row r="24" spans="3:12" s="1" customFormat="1" ht="15" customHeight="1" x14ac:dyDescent="0.25"/>
    <row r="25" spans="3:12" s="1" customFormat="1" ht="15" customHeight="1" x14ac:dyDescent="0.25"/>
    <row r="26" spans="3:12" s="1" customFormat="1" ht="15" customHeight="1" x14ac:dyDescent="0.25"/>
    <row r="27" spans="3:12" s="1" customFormat="1" ht="15" customHeight="1" x14ac:dyDescent="0.25"/>
    <row r="28" spans="3:12" s="1" customFormat="1" ht="15" customHeight="1" x14ac:dyDescent="0.25"/>
    <row r="29" spans="3:12" s="1" customFormat="1" ht="15" customHeight="1" x14ac:dyDescent="0.25"/>
    <row r="30" spans="3:12" s="1" customFormat="1" ht="15" customHeight="1" x14ac:dyDescent="0.25"/>
    <row r="31" spans="3:12" s="1" customFormat="1" ht="15" customHeight="1" x14ac:dyDescent="0.25"/>
    <row r="32" spans="3:12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  <row r="39" s="1" customFormat="1" ht="15" customHeight="1" x14ac:dyDescent="0.25"/>
    <row r="40" s="1" customFormat="1" ht="15" customHeight="1" x14ac:dyDescent="0.25"/>
    <row r="41" s="1" customFormat="1" ht="15" customHeight="1" x14ac:dyDescent="0.25"/>
  </sheetData>
  <sheetProtection password="B400" sheet="1" objects="1" scenarios="1" formatColumns="0" formatRows="0"/>
  <dataValidations count="1">
    <dataValidation type="list" allowBlank="1" showInputMessage="1" showErrorMessage="1" sqref="J17:J20">
      <formula1>"Change,No Change,Re-Balance"</formula1>
    </dataValidation>
  </dataValidations>
  <pageMargins left="0.70866141732283505" right="0.70866141732283505" top="0.74803149606299202" bottom="0.74803149606299202" header="0.31496062992126" footer="0.31496062992126"/>
  <pageSetup scale="78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43"/>
  <sheetViews>
    <sheetView showGridLines="0" topLeftCell="A6" workbookViewId="0">
      <selection sqref="A1:XFD1048576"/>
    </sheetView>
  </sheetViews>
  <sheetFormatPr defaultColWidth="0" defaultRowHeight="15" customHeight="1" zeroHeight="1" x14ac:dyDescent="0.25"/>
  <cols>
    <col min="1" max="1" width="15.7109375" style="2" customWidth="1"/>
    <col min="2" max="2" width="0" style="2" hidden="1" customWidth="1"/>
    <col min="3" max="3" width="35.7109375" style="2" customWidth="1"/>
    <col min="4" max="4" width="2.7109375" style="2" customWidth="1"/>
    <col min="5" max="5" width="12.140625" style="2" bestFit="1" customWidth="1"/>
    <col min="6" max="6" width="9.140625" style="2" bestFit="1" customWidth="1"/>
    <col min="7" max="7" width="14.42578125" style="2" bestFit="1" customWidth="1"/>
    <col min="8" max="8" width="13.28515625" style="2" bestFit="1" customWidth="1"/>
    <col min="9" max="9" width="12.7109375" style="2" bestFit="1" customWidth="1"/>
    <col min="10" max="10" width="12.28515625" style="2" bestFit="1" customWidth="1"/>
    <col min="11" max="11" width="14.42578125" style="2" bestFit="1" customWidth="1"/>
    <col min="12" max="12" width="12.7109375" style="2" bestFit="1" customWidth="1"/>
    <col min="13" max="14" width="15.7109375" style="2" customWidth="1"/>
    <col min="15" max="15" width="15.7109375" style="2" hidden="1" customWidth="1"/>
    <col min="16" max="16384" width="0" style="2" hidden="1"/>
  </cols>
  <sheetData>
    <row r="1" spans="1:14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</row>
    <row r="2" spans="1:14" s="1" customFormat="1" ht="18" x14ac:dyDescent="0.25">
      <c r="C2" s="8" t="str">
        <f>'A1.1 Distributor Information'!C3</f>
        <v>Name of LDC:       Natural Resource Gas Limited</v>
      </c>
    </row>
    <row r="3" spans="1:14" s="1" customFormat="1" ht="18" x14ac:dyDescent="0.25">
      <c r="C3" s="8" t="str">
        <f>'A1.1 Distributor Information'!C4</f>
        <v xml:space="preserve">OEB Application Number:          </v>
      </c>
    </row>
    <row r="4" spans="1:14" s="1" customFormat="1" ht="15" customHeight="1" x14ac:dyDescent="0.25"/>
    <row r="5" spans="1:14" s="1" customFormat="1" ht="15" customHeight="1" x14ac:dyDescent="0.25"/>
    <row r="6" spans="1:14" s="1" customFormat="1" ht="15" customHeight="1" x14ac:dyDescent="0.25"/>
    <row r="7" spans="1:14" s="1" customFormat="1" ht="15" customHeight="1" x14ac:dyDescent="0.25"/>
    <row r="8" spans="1:14" s="1" customFormat="1" ht="20.25" x14ac:dyDescent="0.3">
      <c r="C8" s="4" t="s">
        <v>120</v>
      </c>
    </row>
    <row r="9" spans="1:14" s="1" customFormat="1" ht="15" customHeight="1" x14ac:dyDescent="0.25"/>
    <row r="10" spans="1:14" s="1" customFormat="1" ht="15" customHeight="1" x14ac:dyDescent="0.25"/>
    <row r="11" spans="1:14" s="1" customFormat="1" x14ac:dyDescent="0.25">
      <c r="C11" s="1" t="s">
        <v>33</v>
      </c>
      <c r="E11" s="48">
        <f>'D1.1 Rate 1 Adjustment'!E11</f>
        <v>1.6E-2</v>
      </c>
    </row>
    <row r="12" spans="1:14" s="1" customFormat="1" x14ac:dyDescent="0.25">
      <c r="C12" s="1" t="s">
        <v>34</v>
      </c>
      <c r="E12" s="48">
        <f>'D1.1 Rate 1 Adjustment'!E12</f>
        <v>0</v>
      </c>
    </row>
    <row r="13" spans="1:14" s="1" customFormat="1" x14ac:dyDescent="0.25">
      <c r="C13" s="1" t="s">
        <v>35</v>
      </c>
      <c r="E13" s="48">
        <f>'D1.1 Rate 1 Adjustment'!E13</f>
        <v>4.0000000000000001E-3</v>
      </c>
      <c r="H13" s="15"/>
      <c r="I13" s="15"/>
      <c r="J13" s="15"/>
      <c r="K13" s="15"/>
      <c r="L13" s="15"/>
      <c r="N13" s="15"/>
    </row>
    <row r="14" spans="1:14" s="1" customFormat="1" x14ac:dyDescent="0.25">
      <c r="C14" s="1" t="s">
        <v>36</v>
      </c>
      <c r="E14" s="52">
        <f>E11-E12-E13</f>
        <v>1.2E-2</v>
      </c>
    </row>
    <row r="15" spans="1:14" s="1" customFormat="1" ht="15" customHeight="1" x14ac:dyDescent="0.25"/>
    <row r="16" spans="1:14" s="1" customFormat="1" ht="30" x14ac:dyDescent="0.25">
      <c r="E16" s="17" t="s">
        <v>37</v>
      </c>
      <c r="F16" s="17" t="s">
        <v>38</v>
      </c>
      <c r="G16" s="17" t="s">
        <v>39</v>
      </c>
      <c r="H16" s="17" t="s">
        <v>40</v>
      </c>
      <c r="I16" s="17" t="s">
        <v>41</v>
      </c>
      <c r="J16" s="17"/>
      <c r="K16" s="17" t="s">
        <v>42</v>
      </c>
      <c r="L16" s="17" t="s">
        <v>41</v>
      </c>
    </row>
    <row r="17" spans="3:12" s="1" customFormat="1" x14ac:dyDescent="0.25">
      <c r="C17" s="1" t="s">
        <v>30</v>
      </c>
      <c r="E17" s="121">
        <f>'C2.3 Adj Monthly Service Chg'!I22</f>
        <v>15</v>
      </c>
      <c r="F17" s="48">
        <f>$E$14</f>
        <v>1.2E-2</v>
      </c>
      <c r="G17" s="49">
        <f>E17*(1+F17)</f>
        <v>15.18</v>
      </c>
      <c r="H17" s="33">
        <f>'B1.2 Billing Determinants'!E22</f>
        <v>23</v>
      </c>
      <c r="I17" s="33">
        <f>G17*H17*12</f>
        <v>4189.68</v>
      </c>
      <c r="J17" s="77" t="s">
        <v>114</v>
      </c>
      <c r="K17" s="49">
        <f>E17+H11</f>
        <v>15</v>
      </c>
      <c r="L17" s="33">
        <f>H17*K17*12</f>
        <v>4140</v>
      </c>
    </row>
    <row r="18" spans="3:12" s="1" customFormat="1" x14ac:dyDescent="0.25">
      <c r="C18" s="1" t="s">
        <v>51</v>
      </c>
      <c r="E18" s="53">
        <f>'B1.1 Current Distribution Rates'!F22</f>
        <v>15.1257</v>
      </c>
      <c r="F18" s="48">
        <f t="shared" ref="F18:F21" si="0">$E$14</f>
        <v>1.2E-2</v>
      </c>
      <c r="G18" s="50">
        <f t="shared" ref="G18:G22" si="1">E18*(1+F18)</f>
        <v>15.3072084</v>
      </c>
      <c r="H18" s="33">
        <f>'B1.2 Billing Determinants'!F22</f>
        <v>215710</v>
      </c>
      <c r="I18" s="33">
        <f>G18*H18/100</f>
        <v>33019.179239640005</v>
      </c>
      <c r="J18" s="77" t="s">
        <v>115</v>
      </c>
      <c r="K18" s="50">
        <f>L18/H18*100</f>
        <v>15.467772358201707</v>
      </c>
      <c r="L18" s="33">
        <f>(I18/($I$18+$I$20))*($I$23-SUM($L$17,$L$19,$L$21:$L$22))</f>
        <v>33365.531753876901</v>
      </c>
    </row>
    <row r="19" spans="3:12" s="1" customFormat="1" x14ac:dyDescent="0.25">
      <c r="C19" s="12" t="s">
        <v>53</v>
      </c>
      <c r="E19" s="53">
        <f>'B1.1 Current Distribution Rates'!G22</f>
        <v>10.521800000000001</v>
      </c>
      <c r="F19" s="48">
        <f t="shared" si="0"/>
        <v>1.2E-2</v>
      </c>
      <c r="G19" s="50">
        <f t="shared" si="1"/>
        <v>10.6480616</v>
      </c>
      <c r="H19" s="33">
        <f>'B1.2 Billing Determinants'!G22</f>
        <v>221214.44489017199</v>
      </c>
      <c r="I19" s="33">
        <f t="shared" ref="I19:I22" si="2">G19*H19/100</f>
        <v>23555.050360003566</v>
      </c>
      <c r="J19" s="77" t="s">
        <v>114</v>
      </c>
      <c r="K19" s="50">
        <v>10.521800000000001</v>
      </c>
      <c r="L19" s="33">
        <f>H19*K19/100</f>
        <v>23275.741462454116</v>
      </c>
    </row>
    <row r="20" spans="3:12" s="1" customFormat="1" x14ac:dyDescent="0.25">
      <c r="C20" s="1" t="s">
        <v>52</v>
      </c>
      <c r="E20" s="53">
        <f>'B1.1 Current Distribution Rates'!F23</f>
        <v>19.296299999999999</v>
      </c>
      <c r="F20" s="48">
        <f t="shared" si="0"/>
        <v>1.2E-2</v>
      </c>
      <c r="G20" s="50">
        <f t="shared" si="1"/>
        <v>19.527855599999999</v>
      </c>
      <c r="H20" s="33">
        <f>'B1.2 Billing Determinants'!F23</f>
        <v>4368.1919191919205</v>
      </c>
      <c r="I20" s="33">
        <f t="shared" si="2"/>
        <v>853.01421031066684</v>
      </c>
      <c r="J20" s="77" t="s">
        <v>115</v>
      </c>
      <c r="K20" s="50">
        <f>L20/H20*100</f>
        <v>19.732691760088294</v>
      </c>
      <c r="L20" s="33">
        <f>(I20/($I$18+$I$20))*($I$23-SUM($L$17,$L$19,$L$21:$L$22))</f>
        <v>861.96184690322684</v>
      </c>
    </row>
    <row r="21" spans="3:12" s="1" customFormat="1" x14ac:dyDescent="0.25">
      <c r="C21" s="12" t="s">
        <v>54</v>
      </c>
      <c r="E21" s="53">
        <f>'B1.1 Current Distribution Rates'!G23</f>
        <v>16.905200000000001</v>
      </c>
      <c r="F21" s="48">
        <f t="shared" si="0"/>
        <v>1.2E-2</v>
      </c>
      <c r="G21" s="50">
        <f t="shared" si="1"/>
        <v>17.108062400000001</v>
      </c>
      <c r="H21" s="33">
        <f>'B1.2 Billing Determinants'!G23</f>
        <v>12970</v>
      </c>
      <c r="I21" s="33">
        <f t="shared" si="2"/>
        <v>2218.9156932800001</v>
      </c>
      <c r="J21" s="77" t="s">
        <v>114</v>
      </c>
      <c r="K21" s="50">
        <v>16.905200000000001</v>
      </c>
      <c r="L21" s="33">
        <f t="shared" ref="L21:L22" si="3">H21*K21/100</f>
        <v>2192.6044400000001</v>
      </c>
    </row>
    <row r="22" spans="3:12" s="1" customFormat="1" x14ac:dyDescent="0.25">
      <c r="C22" s="1" t="s">
        <v>8</v>
      </c>
      <c r="E22" s="53">
        <f>'B1.1 Current Distribution Rates'!L22</f>
        <v>3.6299999999999999E-2</v>
      </c>
      <c r="F22" s="48">
        <v>0</v>
      </c>
      <c r="G22" s="50">
        <f t="shared" si="1"/>
        <v>3.6299999999999999E-2</v>
      </c>
      <c r="H22" s="33">
        <f>SUM('B1.2 Billing Determinants'!L22:L23)</f>
        <v>454262.6368093639</v>
      </c>
      <c r="I22" s="33">
        <f t="shared" si="2"/>
        <v>164.89733716179907</v>
      </c>
      <c r="J22" s="77" t="s">
        <v>114</v>
      </c>
      <c r="K22" s="50">
        <f>E22</f>
        <v>3.6299999999999999E-2</v>
      </c>
      <c r="L22" s="33">
        <f t="shared" si="3"/>
        <v>164.89733716179907</v>
      </c>
    </row>
    <row r="23" spans="3:12" s="1" customFormat="1" x14ac:dyDescent="0.25">
      <c r="I23" s="44">
        <f>SUM(I17:I22)</f>
        <v>64000.736840396043</v>
      </c>
      <c r="L23" s="44">
        <f>SUM(L17:L22)</f>
        <v>64000.736840396043</v>
      </c>
    </row>
    <row r="24" spans="3:12" s="1" customFormat="1" ht="15" customHeight="1" x14ac:dyDescent="0.25">
      <c r="L24" s="11">
        <f>I23-L23</f>
        <v>0</v>
      </c>
    </row>
    <row r="25" spans="3:12" s="1" customFormat="1" ht="15" customHeight="1" x14ac:dyDescent="0.25"/>
    <row r="26" spans="3:12" s="1" customFormat="1" ht="15" customHeight="1" x14ac:dyDescent="0.25"/>
    <row r="27" spans="3:12" s="1" customFormat="1" ht="15" customHeight="1" x14ac:dyDescent="0.25"/>
    <row r="28" spans="3:12" s="1" customFormat="1" ht="15" customHeight="1" x14ac:dyDescent="0.25"/>
    <row r="29" spans="3:12" s="1" customFormat="1" ht="15" customHeight="1" x14ac:dyDescent="0.25"/>
    <row r="30" spans="3:12" s="1" customFormat="1" ht="15" customHeight="1" x14ac:dyDescent="0.25"/>
    <row r="31" spans="3:12" s="1" customFormat="1" ht="15" customHeight="1" x14ac:dyDescent="0.25"/>
    <row r="32" spans="3:12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  <row r="39" s="1" customFormat="1" ht="15" customHeight="1" x14ac:dyDescent="0.25"/>
    <row r="40" s="1" customFormat="1" ht="15" customHeight="1" x14ac:dyDescent="0.25"/>
    <row r="41" s="1" customFormat="1" ht="15" customHeight="1" x14ac:dyDescent="0.25"/>
    <row r="42" s="1" customFormat="1" ht="15" customHeight="1" x14ac:dyDescent="0.25"/>
    <row r="43" s="1" customFormat="1" ht="15" customHeight="1" x14ac:dyDescent="0.25"/>
  </sheetData>
  <sheetProtection password="B400" sheet="1" objects="1" scenarios="1" formatColumns="0" formatRows="0"/>
  <dataValidations count="1">
    <dataValidation type="list" allowBlank="1" showInputMessage="1" showErrorMessage="1" sqref="J17:J22">
      <formula1>"Change,No Change,Re-Balance"</formula1>
    </dataValidation>
  </dataValidations>
  <pageMargins left="0.70866141732283505" right="0.70866141732283505" top="0.74803149606299202" bottom="0.74803149606299202" header="0.31496062992126" footer="0.31496062992126"/>
  <pageSetup scale="78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40"/>
  <sheetViews>
    <sheetView showGridLines="0" workbookViewId="0">
      <selection sqref="A1:XFD1048576"/>
    </sheetView>
  </sheetViews>
  <sheetFormatPr defaultColWidth="0" defaultRowHeight="15" customHeight="1" zeroHeight="1" x14ac:dyDescent="0.25"/>
  <cols>
    <col min="1" max="1" width="15.7109375" style="2" customWidth="1"/>
    <col min="2" max="2" width="0" style="2" hidden="1" customWidth="1"/>
    <col min="3" max="3" width="35.7109375" style="2" customWidth="1"/>
    <col min="4" max="4" width="2.7109375" style="2" customWidth="1"/>
    <col min="5" max="5" width="12.140625" style="2" bestFit="1" customWidth="1"/>
    <col min="6" max="6" width="9.140625" style="2" bestFit="1" customWidth="1"/>
    <col min="7" max="7" width="14.42578125" style="2" bestFit="1" customWidth="1"/>
    <col min="8" max="8" width="13.28515625" style="2" bestFit="1" customWidth="1"/>
    <col min="9" max="9" width="12.7109375" style="2" bestFit="1" customWidth="1"/>
    <col min="10" max="10" width="12.28515625" style="2" bestFit="1" customWidth="1"/>
    <col min="11" max="11" width="14.42578125" style="2" bestFit="1" customWidth="1"/>
    <col min="12" max="12" width="12.7109375" style="2" bestFit="1" customWidth="1"/>
    <col min="13" max="14" width="15.7109375" style="2" customWidth="1"/>
    <col min="15" max="15" width="15.7109375" style="2" hidden="1" customWidth="1"/>
    <col min="16" max="16384" width="0" style="2" hidden="1"/>
  </cols>
  <sheetData>
    <row r="1" spans="1:14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</row>
    <row r="2" spans="1:14" s="1" customFormat="1" ht="18" x14ac:dyDescent="0.25">
      <c r="C2" s="8" t="str">
        <f>'A1.1 Distributor Information'!C3</f>
        <v>Name of LDC:       Natural Resource Gas Limited</v>
      </c>
    </row>
    <row r="3" spans="1:14" s="1" customFormat="1" ht="18" x14ac:dyDescent="0.25">
      <c r="C3" s="8" t="str">
        <f>'A1.1 Distributor Information'!C4</f>
        <v xml:space="preserve">OEB Application Number:          </v>
      </c>
    </row>
    <row r="4" spans="1:14" s="1" customFormat="1" ht="15" customHeight="1" x14ac:dyDescent="0.25"/>
    <row r="5" spans="1:14" s="1" customFormat="1" ht="15" customHeight="1" x14ac:dyDescent="0.25"/>
    <row r="6" spans="1:14" s="1" customFormat="1" ht="15" customHeight="1" x14ac:dyDescent="0.25"/>
    <row r="7" spans="1:14" s="1" customFormat="1" ht="15" customHeight="1" x14ac:dyDescent="0.25"/>
    <row r="8" spans="1:14" s="1" customFormat="1" ht="20.25" x14ac:dyDescent="0.3">
      <c r="C8" s="4" t="s">
        <v>121</v>
      </c>
    </row>
    <row r="9" spans="1:14" s="1" customFormat="1" ht="15" customHeight="1" x14ac:dyDescent="0.25"/>
    <row r="10" spans="1:14" s="1" customFormat="1" ht="15" customHeight="1" x14ac:dyDescent="0.25"/>
    <row r="11" spans="1:14" s="1" customFormat="1" x14ac:dyDescent="0.25">
      <c r="C11" s="1" t="s">
        <v>33</v>
      </c>
      <c r="E11" s="48">
        <f>'D1.1 Rate 1 Adjustment'!E11</f>
        <v>1.6E-2</v>
      </c>
    </row>
    <row r="12" spans="1:14" s="1" customFormat="1" x14ac:dyDescent="0.25">
      <c r="C12" s="1" t="s">
        <v>34</v>
      </c>
      <c r="E12" s="48">
        <f>'D1.1 Rate 1 Adjustment'!E12</f>
        <v>0</v>
      </c>
    </row>
    <row r="13" spans="1:14" s="1" customFormat="1" x14ac:dyDescent="0.25">
      <c r="C13" s="1" t="s">
        <v>35</v>
      </c>
      <c r="E13" s="48">
        <f>'D1.1 Rate 1 Adjustment'!E13</f>
        <v>4.0000000000000001E-3</v>
      </c>
      <c r="H13" s="15"/>
      <c r="I13" s="15"/>
      <c r="J13" s="15"/>
      <c r="K13" s="15"/>
      <c r="L13" s="15"/>
      <c r="N13" s="15"/>
    </row>
    <row r="14" spans="1:14" s="1" customFormat="1" x14ac:dyDescent="0.25">
      <c r="C14" s="1" t="s">
        <v>36</v>
      </c>
      <c r="E14" s="52">
        <f>E11-E12-E13</f>
        <v>1.2E-2</v>
      </c>
    </row>
    <row r="15" spans="1:14" s="1" customFormat="1" ht="15" customHeight="1" x14ac:dyDescent="0.25"/>
    <row r="16" spans="1:14" s="1" customFormat="1" ht="30" x14ac:dyDescent="0.25">
      <c r="E16" s="17" t="s">
        <v>37</v>
      </c>
      <c r="F16" s="17" t="s">
        <v>38</v>
      </c>
      <c r="G16" s="17" t="s">
        <v>39</v>
      </c>
      <c r="H16" s="17" t="s">
        <v>40</v>
      </c>
      <c r="I16" s="17" t="s">
        <v>41</v>
      </c>
      <c r="J16" s="17"/>
      <c r="K16" s="17" t="s">
        <v>42</v>
      </c>
      <c r="L16" s="17" t="s">
        <v>41</v>
      </c>
    </row>
    <row r="17" spans="3:12" s="1" customFormat="1" x14ac:dyDescent="0.25">
      <c r="C17" s="1" t="s">
        <v>30</v>
      </c>
      <c r="E17" s="121">
        <f>'C2.3 Adj Monthly Service Chg'!I24</f>
        <v>150</v>
      </c>
      <c r="F17" s="48">
        <f>E14</f>
        <v>1.2E-2</v>
      </c>
      <c r="G17" s="49">
        <f>E17*(1+F17)</f>
        <v>151.80000000000001</v>
      </c>
      <c r="H17" s="33">
        <f>'B1.2 Billing Determinants'!E24</f>
        <v>5</v>
      </c>
      <c r="I17" s="33">
        <f>G17*H17*12</f>
        <v>9108</v>
      </c>
      <c r="J17" s="77" t="s">
        <v>114</v>
      </c>
      <c r="K17" s="49">
        <f>E17+H11</f>
        <v>150</v>
      </c>
      <c r="L17" s="33">
        <f>H17*K17*12</f>
        <v>9000</v>
      </c>
    </row>
    <row r="18" spans="3:12" s="1" customFormat="1" x14ac:dyDescent="0.25">
      <c r="C18" s="1" t="s">
        <v>49</v>
      </c>
      <c r="E18" s="53">
        <f>'B1.1 Current Distribution Rates'!J24</f>
        <v>7.0068999999999999</v>
      </c>
      <c r="F18" s="48">
        <f>E14</f>
        <v>1.2E-2</v>
      </c>
      <c r="G18" s="50">
        <f t="shared" ref="G18:G19" si="0">E18*(1+F18)</f>
        <v>7.0909827999999999</v>
      </c>
      <c r="H18" s="33">
        <f>'B1.2 Billing Determinants'!J24</f>
        <v>947161.70962962962</v>
      </c>
      <c r="I18" s="33">
        <f>G18*H18/100</f>
        <v>67163.073918022972</v>
      </c>
      <c r="J18" s="77" t="s">
        <v>115</v>
      </c>
      <c r="K18" s="50">
        <f>L18/H18*100</f>
        <v>7.1023852879703195</v>
      </c>
      <c r="L18" s="33">
        <f>I20-L17-L19</f>
        <v>67271.073918022972</v>
      </c>
    </row>
    <row r="19" spans="3:12" s="1" customFormat="1" x14ac:dyDescent="0.25">
      <c r="C19" s="1" t="s">
        <v>8</v>
      </c>
      <c r="E19" s="53">
        <f>'B1.1 Current Distribution Rates'!L24</f>
        <v>3.6299999999999999E-2</v>
      </c>
      <c r="F19" s="48">
        <v>0</v>
      </c>
      <c r="G19" s="50">
        <f t="shared" si="0"/>
        <v>3.6299999999999999E-2</v>
      </c>
      <c r="H19" s="33">
        <f>'B1.2 Billing Determinants'!L24</f>
        <v>947161.70962962962</v>
      </c>
      <c r="I19" s="33">
        <f t="shared" ref="I19" si="1">G19*H19/100</f>
        <v>343.81970059555556</v>
      </c>
      <c r="J19" s="77" t="s">
        <v>114</v>
      </c>
      <c r="K19" s="50">
        <f>E19</f>
        <v>3.6299999999999999E-2</v>
      </c>
      <c r="L19" s="33">
        <f>H19*K19/100</f>
        <v>343.81970059555556</v>
      </c>
    </row>
    <row r="20" spans="3:12" s="1" customFormat="1" x14ac:dyDescent="0.25">
      <c r="I20" s="44">
        <f>SUM(I17:I19)</f>
        <v>76614.893618618531</v>
      </c>
      <c r="L20" s="44">
        <f>SUM(L17:L19)</f>
        <v>76614.893618618531</v>
      </c>
    </row>
    <row r="21" spans="3:12" s="1" customFormat="1" ht="15" customHeight="1" x14ac:dyDescent="0.25">
      <c r="L21" s="11">
        <f>I20-L20</f>
        <v>0</v>
      </c>
    </row>
    <row r="22" spans="3:12" s="1" customFormat="1" ht="15" customHeight="1" x14ac:dyDescent="0.25"/>
    <row r="23" spans="3:12" s="1" customFormat="1" ht="15" customHeight="1" x14ac:dyDescent="0.25"/>
    <row r="24" spans="3:12" s="1" customFormat="1" ht="15" customHeight="1" x14ac:dyDescent="0.25"/>
    <row r="25" spans="3:12" s="1" customFormat="1" ht="15" customHeight="1" x14ac:dyDescent="0.25"/>
    <row r="26" spans="3:12" s="1" customFormat="1" ht="15" customHeight="1" x14ac:dyDescent="0.25"/>
    <row r="27" spans="3:12" s="1" customFormat="1" ht="15" customHeight="1" x14ac:dyDescent="0.25"/>
    <row r="28" spans="3:12" s="1" customFormat="1" ht="15" customHeight="1" x14ac:dyDescent="0.25"/>
    <row r="29" spans="3:12" s="1" customFormat="1" ht="15" customHeight="1" x14ac:dyDescent="0.25"/>
    <row r="30" spans="3:12" s="1" customFormat="1" ht="15" customHeight="1" x14ac:dyDescent="0.25"/>
    <row r="31" spans="3:12" s="1" customFormat="1" ht="15" customHeight="1" x14ac:dyDescent="0.25"/>
    <row r="32" spans="3:12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  <row r="39" s="1" customFormat="1" ht="15" customHeight="1" x14ac:dyDescent="0.25"/>
    <row r="40" s="1" customFormat="1" ht="15" customHeight="1" x14ac:dyDescent="0.25"/>
  </sheetData>
  <sheetProtection password="B400" sheet="1" objects="1" scenarios="1" formatColumns="0" formatRows="0"/>
  <dataValidations count="1">
    <dataValidation type="list" allowBlank="1" showInputMessage="1" showErrorMessage="1" sqref="J17:J19">
      <formula1>"Change,No Change,Re-Balance"</formula1>
    </dataValidation>
  </dataValidations>
  <pageMargins left="0.70866141732283505" right="0.70866141732283505" top="0.74803149606299202" bottom="0.74803149606299202" header="0.31496062992126" footer="0.31496062992126"/>
  <pageSetup scale="78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40"/>
  <sheetViews>
    <sheetView showGridLines="0" workbookViewId="0">
      <selection sqref="A1:XFD1048576"/>
    </sheetView>
  </sheetViews>
  <sheetFormatPr defaultColWidth="0" defaultRowHeight="15" customHeight="1" zeroHeight="1" x14ac:dyDescent="0.25"/>
  <cols>
    <col min="1" max="1" width="15.7109375" style="2" customWidth="1"/>
    <col min="2" max="2" width="0" style="2" hidden="1" customWidth="1"/>
    <col min="3" max="3" width="35.7109375" style="2" customWidth="1"/>
    <col min="4" max="4" width="2.7109375" style="2" customWidth="1"/>
    <col min="5" max="5" width="12.140625" style="2" bestFit="1" customWidth="1"/>
    <col min="6" max="6" width="9.140625" style="2" bestFit="1" customWidth="1"/>
    <col min="7" max="7" width="14.42578125" style="2" bestFit="1" customWidth="1"/>
    <col min="8" max="8" width="13.28515625" style="2" bestFit="1" customWidth="1"/>
    <col min="9" max="9" width="12.7109375" style="2" bestFit="1" customWidth="1"/>
    <col min="10" max="10" width="12.28515625" style="2" bestFit="1" customWidth="1"/>
    <col min="11" max="11" width="14.42578125" style="2" bestFit="1" customWidth="1"/>
    <col min="12" max="12" width="12.7109375" style="2" bestFit="1" customWidth="1"/>
    <col min="13" max="14" width="15.7109375" style="2" customWidth="1"/>
    <col min="15" max="15" width="15.7109375" style="2" hidden="1" customWidth="1"/>
    <col min="16" max="16384" width="0" style="2" hidden="1"/>
  </cols>
  <sheetData>
    <row r="1" spans="1:14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</row>
    <row r="2" spans="1:14" s="1" customFormat="1" ht="18" x14ac:dyDescent="0.25">
      <c r="C2" s="8" t="str">
        <f>'A1.1 Distributor Information'!C3</f>
        <v>Name of LDC:       Natural Resource Gas Limited</v>
      </c>
    </row>
    <row r="3" spans="1:14" s="1" customFormat="1" ht="18" x14ac:dyDescent="0.25">
      <c r="C3" s="8" t="str">
        <f>'A1.1 Distributor Information'!C4</f>
        <v xml:space="preserve">OEB Application Number:          </v>
      </c>
    </row>
    <row r="4" spans="1:14" s="1" customFormat="1" ht="15" customHeight="1" x14ac:dyDescent="0.25"/>
    <row r="5" spans="1:14" s="1" customFormat="1" ht="15" customHeight="1" x14ac:dyDescent="0.25"/>
    <row r="6" spans="1:14" s="1" customFormat="1" ht="15" customHeight="1" x14ac:dyDescent="0.25"/>
    <row r="7" spans="1:14" s="1" customFormat="1" ht="15" customHeight="1" x14ac:dyDescent="0.25"/>
    <row r="8" spans="1:14" s="1" customFormat="1" ht="20.25" x14ac:dyDescent="0.3">
      <c r="C8" s="4" t="s">
        <v>122</v>
      </c>
    </row>
    <row r="9" spans="1:14" s="1" customFormat="1" ht="15" customHeight="1" x14ac:dyDescent="0.25"/>
    <row r="10" spans="1:14" s="1" customFormat="1" ht="15" customHeight="1" x14ac:dyDescent="0.25"/>
    <row r="11" spans="1:14" s="1" customFormat="1" x14ac:dyDescent="0.25">
      <c r="C11" s="1" t="s">
        <v>33</v>
      </c>
      <c r="E11" s="48">
        <f>'D1.1 Rate 1 Adjustment'!E11</f>
        <v>1.6E-2</v>
      </c>
    </row>
    <row r="12" spans="1:14" s="1" customFormat="1" x14ac:dyDescent="0.25">
      <c r="C12" s="1" t="s">
        <v>34</v>
      </c>
      <c r="E12" s="48">
        <f>'D1.1 Rate 1 Adjustment'!E12</f>
        <v>0</v>
      </c>
    </row>
    <row r="13" spans="1:14" s="1" customFormat="1" x14ac:dyDescent="0.25">
      <c r="C13" s="1" t="s">
        <v>35</v>
      </c>
      <c r="E13" s="48">
        <f>'D1.1 Rate 1 Adjustment'!E13</f>
        <v>4.0000000000000001E-3</v>
      </c>
      <c r="H13" s="15"/>
      <c r="I13" s="15"/>
      <c r="J13" s="15"/>
      <c r="K13" s="15"/>
      <c r="L13" s="15"/>
      <c r="N13" s="15"/>
    </row>
    <row r="14" spans="1:14" s="1" customFormat="1" x14ac:dyDescent="0.25">
      <c r="C14" s="1" t="s">
        <v>36</v>
      </c>
      <c r="E14" s="52">
        <f>E11-E12-E13</f>
        <v>1.2E-2</v>
      </c>
    </row>
    <row r="15" spans="1:14" s="1" customFormat="1" ht="15" customHeight="1" x14ac:dyDescent="0.25"/>
    <row r="16" spans="1:14" s="1" customFormat="1" ht="30" x14ac:dyDescent="0.25">
      <c r="E16" s="17" t="s">
        <v>37</v>
      </c>
      <c r="F16" s="17" t="s">
        <v>38</v>
      </c>
      <c r="G16" s="17" t="s">
        <v>39</v>
      </c>
      <c r="H16" s="17" t="s">
        <v>40</v>
      </c>
      <c r="I16" s="17" t="s">
        <v>41</v>
      </c>
      <c r="J16" s="17"/>
      <c r="K16" s="17" t="s">
        <v>42</v>
      </c>
      <c r="L16" s="17" t="s">
        <v>41</v>
      </c>
    </row>
    <row r="17" spans="3:12" s="1" customFormat="1" x14ac:dyDescent="0.25">
      <c r="C17" s="1" t="s">
        <v>30</v>
      </c>
      <c r="E17" s="121">
        <f>'C2.3 Adj Monthly Service Chg'!I25</f>
        <v>150</v>
      </c>
      <c r="F17" s="48">
        <f>E14</f>
        <v>1.2E-2</v>
      </c>
      <c r="G17" s="49">
        <f>E17*(1+F17)</f>
        <v>151.80000000000001</v>
      </c>
      <c r="H17" s="33">
        <f>'B1.2 Billing Determinants'!E25</f>
        <v>1</v>
      </c>
      <c r="I17" s="33">
        <f>G17*H17*12</f>
        <v>1821.6000000000001</v>
      </c>
      <c r="J17" s="77" t="s">
        <v>114</v>
      </c>
      <c r="K17" s="49">
        <f>E17+H11</f>
        <v>150</v>
      </c>
      <c r="L17" s="33">
        <f>H17*K17*12</f>
        <v>1800</v>
      </c>
    </row>
    <row r="18" spans="3:12" s="1" customFormat="1" x14ac:dyDescent="0.25">
      <c r="C18" s="1" t="s">
        <v>49</v>
      </c>
      <c r="E18" s="53">
        <f>'B1.1 Current Distribution Rates'!J25</f>
        <v>3.7976000000000001</v>
      </c>
      <c r="F18" s="48">
        <f>E14</f>
        <v>1.2E-2</v>
      </c>
      <c r="G18" s="50">
        <f t="shared" ref="G18:G19" si="0">E18*(1+F18)</f>
        <v>3.8431712</v>
      </c>
      <c r="H18" s="33">
        <f>'B1.2 Billing Determinants'!J25</f>
        <v>33416816</v>
      </c>
      <c r="I18" s="33">
        <f>G18*H18/100</f>
        <v>1284265.448468992</v>
      </c>
      <c r="J18" s="77" t="s">
        <v>115</v>
      </c>
      <c r="K18" s="50">
        <f>L18/H18*100</f>
        <v>3.8432358381151341</v>
      </c>
      <c r="L18" s="33">
        <f>I20-(L17+L19)</f>
        <v>1284287.0484689921</v>
      </c>
    </row>
    <row r="19" spans="3:12" s="1" customFormat="1" x14ac:dyDescent="0.25">
      <c r="C19" s="1" t="s">
        <v>50</v>
      </c>
      <c r="E19" s="53">
        <f>'B1.1 Current Distribution Rates'!K25</f>
        <v>18.395099999999999</v>
      </c>
      <c r="F19" s="48">
        <f>E14</f>
        <v>1.2E-2</v>
      </c>
      <c r="G19" s="50">
        <f t="shared" si="0"/>
        <v>18.615841199999998</v>
      </c>
      <c r="H19" s="33">
        <f>'B1.2 Billing Determinants'!K25</f>
        <v>1298256</v>
      </c>
      <c r="I19" s="33">
        <f t="shared" ref="I19" si="1">G19*H19/100</f>
        <v>241681.27532947197</v>
      </c>
      <c r="J19" s="77" t="s">
        <v>116</v>
      </c>
      <c r="K19" s="50">
        <f>G19</f>
        <v>18.615841199999998</v>
      </c>
      <c r="L19" s="33">
        <f>H19*K19/100</f>
        <v>241681.27532947197</v>
      </c>
    </row>
    <row r="20" spans="3:12" s="1" customFormat="1" x14ac:dyDescent="0.25">
      <c r="I20" s="44">
        <f>SUM(I17:I19)</f>
        <v>1527768.3237984641</v>
      </c>
      <c r="L20" s="44">
        <f>SUM(L17:L19)</f>
        <v>1527768.3237984641</v>
      </c>
    </row>
    <row r="21" spans="3:12" s="1" customFormat="1" ht="15" customHeight="1" x14ac:dyDescent="0.25">
      <c r="L21" s="78">
        <f>I20-L20</f>
        <v>0</v>
      </c>
    </row>
    <row r="22" spans="3:12" s="1" customFormat="1" ht="15" customHeight="1" x14ac:dyDescent="0.25"/>
    <row r="23" spans="3:12" s="1" customFormat="1" ht="15" customHeight="1" x14ac:dyDescent="0.25"/>
    <row r="24" spans="3:12" s="1" customFormat="1" ht="15" customHeight="1" x14ac:dyDescent="0.25"/>
    <row r="25" spans="3:12" s="1" customFormat="1" ht="15" customHeight="1" x14ac:dyDescent="0.25"/>
    <row r="26" spans="3:12" s="1" customFormat="1" ht="15" customHeight="1" x14ac:dyDescent="0.25"/>
    <row r="27" spans="3:12" s="1" customFormat="1" ht="15" customHeight="1" x14ac:dyDescent="0.25"/>
    <row r="28" spans="3:12" s="1" customFormat="1" ht="15" customHeight="1" x14ac:dyDescent="0.25"/>
    <row r="29" spans="3:12" s="1" customFormat="1" ht="15" customHeight="1" x14ac:dyDescent="0.25"/>
    <row r="30" spans="3:12" s="1" customFormat="1" ht="15" customHeight="1" x14ac:dyDescent="0.25"/>
    <row r="31" spans="3:12" s="1" customFormat="1" ht="15" customHeight="1" x14ac:dyDescent="0.25"/>
    <row r="32" spans="3:12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  <row r="39" s="1" customFormat="1" ht="15" customHeight="1" x14ac:dyDescent="0.25"/>
    <row r="40" s="1" customFormat="1" ht="15" customHeight="1" x14ac:dyDescent="0.25"/>
  </sheetData>
  <sheetProtection password="B400" sheet="1" objects="1" scenarios="1" formatColumns="0" formatRows="0"/>
  <dataValidations count="1">
    <dataValidation type="list" allowBlank="1" showInputMessage="1" showErrorMessage="1" sqref="J17:J19">
      <formula1>"Change,No Change,Re-Balance"</formula1>
    </dataValidation>
  </dataValidations>
  <pageMargins left="0.70866141732283505" right="0.70866141732283505" top="0.74803149606299202" bottom="0.74803149606299202" header="0.31496062992126" footer="0.31496062992126"/>
  <pageSetup scale="78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S46"/>
  <sheetViews>
    <sheetView showGridLines="0" topLeftCell="C9" zoomScale="90" zoomScaleNormal="90" workbookViewId="0">
      <selection activeCell="F20" sqref="F20"/>
    </sheetView>
  </sheetViews>
  <sheetFormatPr defaultColWidth="0" defaultRowHeight="15" zeroHeight="1" x14ac:dyDescent="0.25"/>
  <cols>
    <col min="1" max="1" width="15.7109375" style="2" customWidth="1"/>
    <col min="2" max="2" width="10.7109375" style="2" hidden="1" customWidth="1"/>
    <col min="3" max="3" width="55.7109375" style="2" customWidth="1"/>
    <col min="4" max="4" width="2.7109375" style="2" customWidth="1"/>
    <col min="5" max="5" width="8.85546875" style="134" bestFit="1" customWidth="1"/>
    <col min="6" max="6" width="12" style="134" bestFit="1" customWidth="1"/>
    <col min="7" max="7" width="12.42578125" style="134" bestFit="1" customWidth="1"/>
    <col min="8" max="8" width="13" style="134" bestFit="1" customWidth="1"/>
    <col min="9" max="9" width="13.5703125" style="134" bestFit="1" customWidth="1"/>
    <col min="10" max="10" width="10.5703125" style="134" bestFit="1" customWidth="1"/>
    <col min="11" max="11" width="11.140625" style="134" bestFit="1" customWidth="1"/>
    <col min="12" max="12" width="12.7109375" style="134" customWidth="1"/>
    <col min="13" max="14" width="13.5703125" style="134" bestFit="1" customWidth="1"/>
    <col min="15" max="15" width="2.5703125" style="134" hidden="1" customWidth="1"/>
    <col min="16" max="17" width="13.5703125" style="134" hidden="1" customWidth="1"/>
    <col min="18" max="18" width="12.7109375" style="134" hidden="1" customWidth="1"/>
    <col min="19" max="19" width="12.7109375" style="2" hidden="1" customWidth="1"/>
    <col min="20" max="16384" width="0" style="2" hidden="1"/>
  </cols>
  <sheetData>
    <row r="1" spans="1:18" ht="15.75" x14ac:dyDescent="0.25">
      <c r="A1" s="1"/>
      <c r="B1" s="1"/>
      <c r="C1" s="7"/>
      <c r="D1" s="7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8" s="1" customFormat="1" ht="18" x14ac:dyDescent="0.25">
      <c r="C2" s="8" t="str">
        <f>'A1.1 Distributor Information'!C3</f>
        <v>Name of LDC:       Natural Resource Gas Limited</v>
      </c>
      <c r="D2" s="8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8" s="1" customFormat="1" ht="18" x14ac:dyDescent="0.25">
      <c r="C3" s="8" t="str">
        <f>'A1.1 Distributor Information'!C4</f>
        <v xml:space="preserve">OEB Application Number:          </v>
      </c>
      <c r="D3" s="8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1:18" s="1" customFormat="1" x14ac:dyDescent="0.25"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18" s="1" customFormat="1" x14ac:dyDescent="0.25"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1:18" s="1" customFormat="1" x14ac:dyDescent="0.25"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1:18" s="1" customFormat="1" x14ac:dyDescent="0.25"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pans="1:18" s="1" customFormat="1" x14ac:dyDescent="0.25"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</row>
    <row r="9" spans="1:18" s="1" customFormat="1" x14ac:dyDescent="0.25"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pans="1:18" s="1" customFormat="1" ht="20.25" x14ac:dyDescent="0.3">
      <c r="C10" s="9" t="s">
        <v>78</v>
      </c>
      <c r="D10" s="9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</row>
    <row r="11" spans="1:18" s="1" customFormat="1" x14ac:dyDescent="0.25"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18" s="1" customFormat="1" x14ac:dyDescent="0.25">
      <c r="E12" s="130"/>
      <c r="F12" s="130"/>
      <c r="G12" s="130"/>
      <c r="H12" s="130"/>
      <c r="I12" s="130"/>
      <c r="K12" s="130"/>
      <c r="L12" s="130"/>
      <c r="M12" s="130"/>
      <c r="N12" s="130"/>
      <c r="O12" s="130"/>
      <c r="P12" s="130"/>
      <c r="Q12" s="130"/>
      <c r="R12" s="130"/>
    </row>
    <row r="13" spans="1:18" s="1" customFormat="1" x14ac:dyDescent="0.25"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</row>
    <row r="14" spans="1:18" s="1" customFormat="1" ht="15.75" thickBot="1" x14ac:dyDescent="0.3"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</row>
    <row r="15" spans="1:18" s="5" customFormat="1" ht="52.5" customHeight="1" x14ac:dyDescent="0.2">
      <c r="C15" s="158" t="s">
        <v>0</v>
      </c>
      <c r="D15" s="161"/>
      <c r="E15" s="144" t="s">
        <v>30</v>
      </c>
      <c r="F15" s="144" t="s">
        <v>24</v>
      </c>
      <c r="G15" s="144" t="s">
        <v>25</v>
      </c>
      <c r="H15" s="144" t="s">
        <v>26</v>
      </c>
      <c r="I15" s="144" t="s">
        <v>27</v>
      </c>
      <c r="J15" s="144" t="s">
        <v>6</v>
      </c>
      <c r="K15" s="144" t="s">
        <v>7</v>
      </c>
      <c r="L15" s="144" t="s">
        <v>8</v>
      </c>
      <c r="M15" s="144" t="s">
        <v>9</v>
      </c>
      <c r="N15" s="146" t="s">
        <v>10</v>
      </c>
    </row>
    <row r="16" spans="1:18" s="1" customFormat="1" x14ac:dyDescent="0.25">
      <c r="C16" s="159" t="s">
        <v>12</v>
      </c>
      <c r="D16" s="162"/>
      <c r="E16" s="131">
        <f>'D1.1 Rate 1 Adjustment'!K17</f>
        <v>13.5</v>
      </c>
      <c r="F16" s="132">
        <f>'D1.1 Rate 1 Adjustment'!K18</f>
        <v>15.943658704618338</v>
      </c>
      <c r="G16" s="132">
        <f>'D1.1 Rate 1 Adjustment'!K19</f>
        <v>10.7805324</v>
      </c>
      <c r="H16" s="133"/>
      <c r="I16" s="133"/>
      <c r="J16" s="133"/>
      <c r="K16" s="133"/>
      <c r="L16" s="132">
        <f>'D1.1 Rate 1 Adjustment'!K20</f>
        <v>3.6299999999999999E-2</v>
      </c>
      <c r="M16" s="133"/>
      <c r="N16" s="135"/>
    </row>
    <row r="17" spans="3:18" s="1" customFormat="1" x14ac:dyDescent="0.25">
      <c r="C17" s="159" t="s">
        <v>13</v>
      </c>
      <c r="D17" s="162"/>
      <c r="E17" s="131">
        <f>'D1.1 Rate 1 Adjustment'!K17</f>
        <v>13.5</v>
      </c>
      <c r="F17" s="132">
        <f>'D1.1 Rate 1 Adjustment'!K18</f>
        <v>15.943658704618338</v>
      </c>
      <c r="G17" s="132">
        <f>'D1.1 Rate 1 Adjustment'!K19</f>
        <v>10.7805324</v>
      </c>
      <c r="H17" s="133"/>
      <c r="I17" s="133"/>
      <c r="J17" s="133"/>
      <c r="K17" s="133"/>
      <c r="L17" s="132">
        <f>'D1.1 Rate 1 Adjustment'!K20</f>
        <v>3.6299999999999999E-2</v>
      </c>
      <c r="M17" s="133"/>
      <c r="N17" s="135"/>
    </row>
    <row r="18" spans="3:18" s="1" customFormat="1" x14ac:dyDescent="0.25">
      <c r="C18" s="159" t="s">
        <v>14</v>
      </c>
      <c r="D18" s="162"/>
      <c r="E18" s="131">
        <f>'D1.1 Rate 1 Adjustment'!K17</f>
        <v>13.5</v>
      </c>
      <c r="F18" s="132">
        <f>'D1.1 Rate 1 Adjustment'!K18</f>
        <v>15.943658704618338</v>
      </c>
      <c r="G18" s="132">
        <f>'D1.1 Rate 1 Adjustment'!K19</f>
        <v>10.7805324</v>
      </c>
      <c r="H18" s="133"/>
      <c r="I18" s="133"/>
      <c r="J18" s="133"/>
      <c r="K18" s="133"/>
      <c r="L18" s="132">
        <f>'D1.1 Rate 1 Adjustment'!K20</f>
        <v>3.6299999999999999E-2</v>
      </c>
      <c r="M18" s="133"/>
      <c r="N18" s="135"/>
    </row>
    <row r="19" spans="3:18" s="1" customFormat="1" x14ac:dyDescent="0.25">
      <c r="C19" s="159" t="s">
        <v>15</v>
      </c>
      <c r="D19" s="162"/>
      <c r="E19" s="131">
        <f>'D1.2 Rate 2 Adjustment'!K17</f>
        <v>15</v>
      </c>
      <c r="F19" s="132">
        <f>'D1.2 Rate 2 Adjustment'!K18</f>
        <v>15.167689605087705</v>
      </c>
      <c r="G19" s="133"/>
      <c r="H19" s="132">
        <f>'D1.2 Rate 2 Adjustment'!K19</f>
        <v>9.4825999999999997</v>
      </c>
      <c r="I19" s="132">
        <f>'D1.2 Rate 2 Adjustment'!K20</f>
        <v>6.1698000000000004</v>
      </c>
      <c r="J19" s="133"/>
      <c r="K19" s="133"/>
      <c r="L19" s="132">
        <f>'D1.2 Rate 2 Adjustment'!K24</f>
        <v>3.6299999999999999E-2</v>
      </c>
      <c r="M19" s="133"/>
      <c r="N19" s="135"/>
    </row>
    <row r="20" spans="3:18" s="1" customFormat="1" x14ac:dyDescent="0.25">
      <c r="C20" s="159" t="s">
        <v>16</v>
      </c>
      <c r="D20" s="162"/>
      <c r="E20" s="131">
        <f>'D1.2 Rate 2 Adjustment'!K17</f>
        <v>15</v>
      </c>
      <c r="F20" s="132">
        <f>'D1.2 Rate 2 Adjustment'!K21</f>
        <v>19.118666175219612</v>
      </c>
      <c r="G20" s="133"/>
      <c r="H20" s="132">
        <f>'D1.2 Rate 2 Adjustment'!K22</f>
        <v>15.696</v>
      </c>
      <c r="I20" s="132">
        <f>'D1.2 Rate 2 Adjustment'!K23</f>
        <v>15.289899999999999</v>
      </c>
      <c r="J20" s="133"/>
      <c r="K20" s="133"/>
      <c r="L20" s="132">
        <f>'D1.2 Rate 2 Adjustment'!K24</f>
        <v>3.6299999999999999E-2</v>
      </c>
      <c r="M20" s="133"/>
      <c r="N20" s="135"/>
    </row>
    <row r="21" spans="3:18" s="1" customFormat="1" x14ac:dyDescent="0.25">
      <c r="C21" s="159" t="s">
        <v>17</v>
      </c>
      <c r="D21" s="162"/>
      <c r="E21" s="131">
        <f>'D1.3 Rate 3 Adjustment'!K17</f>
        <v>150</v>
      </c>
      <c r="F21" s="132"/>
      <c r="G21" s="133"/>
      <c r="H21" s="133"/>
      <c r="I21" s="133"/>
      <c r="J21" s="132">
        <f>'D1.3 Rate 3 Adjustment'!K18</f>
        <v>3.9431266753884224</v>
      </c>
      <c r="K21" s="132">
        <f>'D1.3 Rate 3 Adjustment'!K19</f>
        <v>29.0974</v>
      </c>
      <c r="L21" s="132">
        <f>'D1.3 Rate 3 Adjustment'!K20</f>
        <v>3.6299999999999999E-2</v>
      </c>
      <c r="M21" s="132">
        <f>'B1.1 Current Distribution Rates'!M21</f>
        <v>7.9412000000000003</v>
      </c>
      <c r="N21" s="136">
        <f>'B1.1 Current Distribution Rates'!N21</f>
        <v>10.9612</v>
      </c>
    </row>
    <row r="22" spans="3:18" s="1" customFormat="1" x14ac:dyDescent="0.25">
      <c r="C22" s="159" t="s">
        <v>18</v>
      </c>
      <c r="D22" s="162"/>
      <c r="E22" s="131">
        <f>'D1.4 Rate 4 Adjustment'!K17</f>
        <v>15</v>
      </c>
      <c r="F22" s="132">
        <f>'D1.4 Rate 4 Adjustment'!K18</f>
        <v>15.467772358201707</v>
      </c>
      <c r="G22" s="132">
        <f>'D1.4 Rate 4 Adjustment'!K19</f>
        <v>10.521800000000001</v>
      </c>
      <c r="H22" s="133"/>
      <c r="I22" s="133"/>
      <c r="J22" s="133"/>
      <c r="K22" s="133"/>
      <c r="L22" s="132">
        <f>'D1.4 Rate 4 Adjustment'!K22</f>
        <v>3.6299999999999999E-2</v>
      </c>
      <c r="M22" s="133"/>
      <c r="N22" s="135"/>
    </row>
    <row r="23" spans="3:18" s="1" customFormat="1" x14ac:dyDescent="0.25">
      <c r="C23" s="159" t="s">
        <v>19</v>
      </c>
      <c r="D23" s="162"/>
      <c r="E23" s="131">
        <f>'D1.4 Rate 4 Adjustment'!K17</f>
        <v>15</v>
      </c>
      <c r="F23" s="132">
        <f>'D1.4 Rate 4 Adjustment'!K20</f>
        <v>19.732691760088294</v>
      </c>
      <c r="G23" s="132">
        <f>'D1.4 Rate 4 Adjustment'!K21</f>
        <v>16.905200000000001</v>
      </c>
      <c r="H23" s="133"/>
      <c r="I23" s="133"/>
      <c r="J23" s="133"/>
      <c r="K23" s="133"/>
      <c r="L23" s="132">
        <f>'D1.4 Rate 4 Adjustment'!K22</f>
        <v>3.6299999999999999E-2</v>
      </c>
      <c r="M23" s="133"/>
      <c r="N23" s="135"/>
    </row>
    <row r="24" spans="3:18" s="1" customFormat="1" x14ac:dyDescent="0.25">
      <c r="C24" s="159" t="s">
        <v>20</v>
      </c>
      <c r="D24" s="162"/>
      <c r="E24" s="131">
        <f>'D1.5 Rate 5 Adjustment'!K17</f>
        <v>150</v>
      </c>
      <c r="F24" s="133"/>
      <c r="G24" s="133"/>
      <c r="H24" s="133"/>
      <c r="I24" s="133"/>
      <c r="J24" s="155">
        <f>'D1.5 Rate 5 Adjustment'!K18</f>
        <v>7.1023852879703195</v>
      </c>
      <c r="K24" s="140">
        <v>1</v>
      </c>
      <c r="L24" s="132">
        <f>'D1.5 Rate 5 Adjustment'!K19</f>
        <v>3.6299999999999999E-2</v>
      </c>
      <c r="M24" s="132">
        <f>'B1.1 Current Distribution Rates'!M24</f>
        <v>5.4611999999999998</v>
      </c>
      <c r="N24" s="136">
        <f>'B1.1 Current Distribution Rates'!N24</f>
        <v>8.4611999999999998</v>
      </c>
    </row>
    <row r="25" spans="3:18" s="1" customFormat="1" ht="29.25" x14ac:dyDescent="0.25">
      <c r="C25" s="160" t="s">
        <v>21</v>
      </c>
      <c r="D25" s="163"/>
      <c r="E25" s="131">
        <f>'D1.6 Rate 6 Adjustment'!K17</f>
        <v>150</v>
      </c>
      <c r="F25" s="133"/>
      <c r="G25" s="133"/>
      <c r="H25" s="133"/>
      <c r="I25" s="133"/>
      <c r="J25" s="132">
        <f>'D1.6 Rate 6 Adjustment'!K18</f>
        <v>3.8432358381151341</v>
      </c>
      <c r="K25" s="132">
        <f>'D1.6 Rate 6 Adjustment'!K19</f>
        <v>18.615841199999998</v>
      </c>
      <c r="L25" s="133"/>
      <c r="M25" s="132">
        <f>'B1.1 Current Distribution Rates'!M25</f>
        <v>7.9412000000000003</v>
      </c>
      <c r="N25" s="136">
        <f>'B1.1 Current Distribution Rates'!N25</f>
        <v>10.9612</v>
      </c>
    </row>
    <row r="26" spans="3:18" s="1" customFormat="1" x14ac:dyDescent="0.25">
      <c r="C26" s="164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6"/>
      <c r="Q26" s="166"/>
    </row>
    <row r="27" spans="3:18" s="1" customFormat="1" ht="18" thickBot="1" x14ac:dyDescent="0.3">
      <c r="C27" s="137" t="s">
        <v>190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9"/>
      <c r="Q27" s="139"/>
    </row>
    <row r="28" spans="3:18" s="1" customFormat="1" x14ac:dyDescent="0.25"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</row>
    <row r="29" spans="3:18" s="1" customFormat="1" x14ac:dyDescent="0.25"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</row>
    <row r="30" spans="3:18" s="1" customFormat="1" x14ac:dyDescent="0.25"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</row>
    <row r="31" spans="3:18" s="1" customFormat="1" x14ac:dyDescent="0.25"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</row>
    <row r="32" spans="3:18" s="1" customFormat="1" x14ac:dyDescent="0.25"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</row>
    <row r="33" spans="5:18" s="1" customFormat="1" x14ac:dyDescent="0.25"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</row>
    <row r="34" spans="5:18" s="1" customFormat="1" x14ac:dyDescent="0.25"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</row>
    <row r="35" spans="5:18" s="1" customFormat="1" x14ac:dyDescent="0.25"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</row>
    <row r="36" spans="5:18" s="1" customFormat="1" x14ac:dyDescent="0.25"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</row>
    <row r="37" spans="5:18" s="1" customFormat="1" x14ac:dyDescent="0.25"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</row>
    <row r="38" spans="5:18" s="1" customFormat="1" x14ac:dyDescent="0.25"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</row>
    <row r="39" spans="5:18" s="1" customFormat="1" x14ac:dyDescent="0.25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</row>
    <row r="40" spans="5:18" s="1" customFormat="1" x14ac:dyDescent="0.25"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</row>
    <row r="41" spans="5:18" s="1" customFormat="1" x14ac:dyDescent="0.25"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</row>
    <row r="42" spans="5:18" s="1" customFormat="1" x14ac:dyDescent="0.25"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</row>
    <row r="43" spans="5:18" s="1" customFormat="1" x14ac:dyDescent="0.25"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</row>
    <row r="44" spans="5:18" s="1" customFormat="1" x14ac:dyDescent="0.25"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</row>
    <row r="45" spans="5:18" s="1" customFormat="1" x14ac:dyDescent="0.25"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</row>
    <row r="46" spans="5:18" s="1" customFormat="1" x14ac:dyDescent="0.25"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</row>
  </sheetData>
  <sheetProtection password="B400" sheet="1" objects="1" scenarios="1" formatColumns="0" formatRows="0"/>
  <pageMargins left="0.70866141732283505" right="0.70866141732283505" top="0.74803149606299202" bottom="0.74803149606299202" header="0.31496062992126" footer="0.31496062992126"/>
  <pageSetup scale="62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5"/>
  <sheetViews>
    <sheetView showGridLines="0" topLeftCell="C11" workbookViewId="0">
      <selection sqref="A1:XFD1048576"/>
    </sheetView>
  </sheetViews>
  <sheetFormatPr defaultColWidth="0" defaultRowHeight="15" customHeight="1" zeroHeight="1" x14ac:dyDescent="0.25"/>
  <cols>
    <col min="1" max="1" width="15.7109375" style="2" customWidth="1"/>
    <col min="2" max="2" width="1.7109375" style="2" hidden="1" customWidth="1"/>
    <col min="3" max="3" width="55.7109375" style="2" customWidth="1"/>
    <col min="4" max="4" width="2.7109375" style="2" customWidth="1"/>
    <col min="5" max="5" width="8.42578125" style="2" bestFit="1" customWidth="1"/>
    <col min="6" max="6" width="12.7109375" style="2" customWidth="1"/>
    <col min="7" max="7" width="10.5703125" style="2" bestFit="1" customWidth="1"/>
    <col min="8" max="9" width="11.28515625" style="2" bestFit="1" customWidth="1"/>
    <col min="10" max="10" width="11.5703125" style="2" bestFit="1" customWidth="1"/>
    <col min="11" max="11" width="10.5703125" style="2" bestFit="1" customWidth="1"/>
    <col min="12" max="12" width="11.5703125" style="2" bestFit="1" customWidth="1"/>
    <col min="13" max="14" width="12.42578125" style="2" bestFit="1" customWidth="1"/>
    <col min="15" max="16384" width="0" style="2" hidden="1"/>
  </cols>
  <sheetData>
    <row r="1" spans="1:14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" customFormat="1" ht="18" x14ac:dyDescent="0.25">
      <c r="C2" s="8" t="str">
        <f>'A1.1 Distributor Information'!C3</f>
        <v>Name of LDC:       Natural Resource Gas Limited</v>
      </c>
    </row>
    <row r="3" spans="1:14" s="1" customFormat="1" ht="18" x14ac:dyDescent="0.25">
      <c r="C3" s="8" t="str">
        <f>'A1.1 Distributor Information'!C4</f>
        <v xml:space="preserve">OEB Application Number:          </v>
      </c>
    </row>
    <row r="4" spans="1:14" s="1" customFormat="1" ht="15" customHeight="1" x14ac:dyDescent="0.25"/>
    <row r="5" spans="1:14" s="1" customFormat="1" ht="15" customHeight="1" x14ac:dyDescent="0.25"/>
    <row r="6" spans="1:14" s="1" customFormat="1" ht="15" customHeight="1" x14ac:dyDescent="0.25"/>
    <row r="7" spans="1:14" s="1" customFormat="1" ht="15" customHeight="1" x14ac:dyDescent="0.25"/>
    <row r="8" spans="1:14" s="1" customFormat="1" x14ac:dyDescent="0.25">
      <c r="C8" s="14"/>
    </row>
    <row r="9" spans="1:14" s="1" customFormat="1" ht="15" customHeight="1" x14ac:dyDescent="0.25"/>
    <row r="10" spans="1:14" s="1" customFormat="1" ht="20.25" x14ac:dyDescent="0.3">
      <c r="C10" s="4" t="s">
        <v>28</v>
      </c>
    </row>
    <row r="11" spans="1:14" s="1" customFormat="1" ht="15" customHeight="1" x14ac:dyDescent="0.25"/>
    <row r="12" spans="1:14" s="1" customFormat="1" ht="15" customHeight="1" x14ac:dyDescent="0.25"/>
    <row r="13" spans="1:14" s="1" customFormat="1" ht="15" customHeight="1" x14ac:dyDescent="0.25"/>
    <row r="14" spans="1:14" s="1" customFormat="1" ht="15" customHeight="1" x14ac:dyDescent="0.25"/>
    <row r="15" spans="1:14" s="1" customFormat="1" ht="47.25" x14ac:dyDescent="0.25">
      <c r="C15" s="1" t="s">
        <v>0</v>
      </c>
      <c r="E15" s="13" t="s">
        <v>1</v>
      </c>
      <c r="F15" s="13" t="s">
        <v>2</v>
      </c>
      <c r="G15" s="13" t="s">
        <v>3</v>
      </c>
      <c r="H15" s="13" t="s">
        <v>4</v>
      </c>
      <c r="I15" s="13" t="s">
        <v>5</v>
      </c>
      <c r="J15" s="13" t="s">
        <v>6</v>
      </c>
      <c r="K15" s="13" t="s">
        <v>7</v>
      </c>
      <c r="L15" s="13" t="s">
        <v>8</v>
      </c>
      <c r="M15" s="13" t="s">
        <v>9</v>
      </c>
      <c r="N15" s="13" t="s">
        <v>10</v>
      </c>
    </row>
    <row r="16" spans="1:14" s="1" customFormat="1" x14ac:dyDescent="0.25">
      <c r="C16" s="1" t="s">
        <v>12</v>
      </c>
      <c r="E16" s="33">
        <f>'B1.2 Billing Determinants'!E16</f>
        <v>6559.916666666667</v>
      </c>
      <c r="F16" s="33">
        <f>'B1.2 Billing Determinants'!F16</f>
        <v>12369781</v>
      </c>
      <c r="G16" s="33">
        <f>'B1.2 Billing Determinants'!G16</f>
        <v>733799.79984444298</v>
      </c>
      <c r="H16" s="33">
        <f>'B1.2 Billing Determinants'!H16</f>
        <v>0</v>
      </c>
      <c r="I16" s="33">
        <f>'B1.2 Billing Determinants'!I16</f>
        <v>0</v>
      </c>
      <c r="J16" s="33">
        <f>'B1.2 Billing Determinants'!J16</f>
        <v>0</v>
      </c>
      <c r="K16" s="33">
        <f>'B1.2 Billing Determinants'!K16</f>
        <v>0</v>
      </c>
      <c r="L16" s="33">
        <f>'B1.2 Billing Determinants'!L16</f>
        <v>13103580.799844444</v>
      </c>
      <c r="M16" s="33">
        <f>'B1.2 Billing Determinants'!M16</f>
        <v>0</v>
      </c>
      <c r="N16" s="33">
        <f>'B1.2 Billing Determinants'!N16</f>
        <v>0</v>
      </c>
    </row>
    <row r="17" spans="3:14" s="1" customFormat="1" x14ac:dyDescent="0.25">
      <c r="C17" s="1" t="s">
        <v>13</v>
      </c>
      <c r="E17" s="33">
        <f>'B1.2 Billing Determinants'!E17</f>
        <v>414</v>
      </c>
      <c r="F17" s="33">
        <f>'B1.2 Billing Determinants'!F17</f>
        <v>1760200</v>
      </c>
      <c r="G17" s="33">
        <f>'B1.2 Billing Determinants'!G17</f>
        <v>2371550.0078849494</v>
      </c>
      <c r="H17" s="33">
        <f>'B1.2 Billing Determinants'!H17</f>
        <v>0</v>
      </c>
      <c r="I17" s="33">
        <f>'B1.2 Billing Determinants'!I17</f>
        <v>0</v>
      </c>
      <c r="J17" s="33">
        <f>'B1.2 Billing Determinants'!J17</f>
        <v>0</v>
      </c>
      <c r="K17" s="33">
        <f>'B1.2 Billing Determinants'!K17</f>
        <v>0</v>
      </c>
      <c r="L17" s="33">
        <f>'B1.2 Billing Determinants'!L17</f>
        <v>4131750.0078849494</v>
      </c>
      <c r="M17" s="33">
        <f>'B1.2 Billing Determinants'!M17</f>
        <v>0</v>
      </c>
      <c r="N17" s="33">
        <f>'B1.2 Billing Determinants'!N17</f>
        <v>0</v>
      </c>
    </row>
    <row r="18" spans="3:14" s="1" customFormat="1" x14ac:dyDescent="0.25">
      <c r="C18" s="1" t="s">
        <v>14</v>
      </c>
      <c r="E18" s="33">
        <f>'B1.2 Billing Determinants'!E18</f>
        <v>42</v>
      </c>
      <c r="F18" s="33">
        <f>'B1.2 Billing Determinants'!F18</f>
        <v>131099.99999999997</v>
      </c>
      <c r="G18" s="33">
        <f>'B1.2 Billing Determinants'!G18</f>
        <v>466927.66606406035</v>
      </c>
      <c r="H18" s="33">
        <f>'B1.2 Billing Determinants'!H18</f>
        <v>0</v>
      </c>
      <c r="I18" s="33">
        <f>'B1.2 Billing Determinants'!I18</f>
        <v>0</v>
      </c>
      <c r="J18" s="33">
        <f>'B1.2 Billing Determinants'!J18</f>
        <v>0</v>
      </c>
      <c r="K18" s="33">
        <f>'B1.2 Billing Determinants'!K18</f>
        <v>0</v>
      </c>
      <c r="L18" s="33">
        <f>'B1.2 Billing Determinants'!L18</f>
        <v>598027.66606406029</v>
      </c>
      <c r="M18" s="33">
        <f>'B1.2 Billing Determinants'!M18</f>
        <v>0</v>
      </c>
      <c r="N18" s="33">
        <f>'B1.2 Billing Determinants'!N18</f>
        <v>0</v>
      </c>
    </row>
    <row r="19" spans="3:14" s="1" customFormat="1" x14ac:dyDescent="0.25">
      <c r="C19" s="1" t="s">
        <v>15</v>
      </c>
      <c r="E19" s="33">
        <f>'B1.2 Billing Determinants'!E19</f>
        <v>73</v>
      </c>
      <c r="F19" s="33">
        <f>'B1.2 Billing Determinants'!F19</f>
        <v>123779</v>
      </c>
      <c r="G19" s="33">
        <f>'B1.2 Billing Determinants'!G19</f>
        <v>0</v>
      </c>
      <c r="H19" s="33">
        <f>'B1.2 Billing Determinants'!H19</f>
        <v>329621.00000000006</v>
      </c>
      <c r="I19" s="33">
        <f>'B1.2 Billing Determinants'!I19</f>
        <v>0</v>
      </c>
      <c r="J19" s="33">
        <f>'B1.2 Billing Determinants'!J19</f>
        <v>0</v>
      </c>
      <c r="K19" s="33">
        <f>'B1.2 Billing Determinants'!K19</f>
        <v>0</v>
      </c>
      <c r="L19" s="33">
        <f>'B1.2 Billing Determinants'!L19</f>
        <v>453400.00000000006</v>
      </c>
      <c r="M19" s="33">
        <f>'B1.2 Billing Determinants'!M19</f>
        <v>0</v>
      </c>
      <c r="N19" s="33">
        <f>'B1.2 Billing Determinants'!N19</f>
        <v>0</v>
      </c>
    </row>
    <row r="20" spans="3:14" s="1" customFormat="1" x14ac:dyDescent="0.25">
      <c r="C20" s="1" t="s">
        <v>16</v>
      </c>
      <c r="E20" s="33">
        <f>'B1.2 Billing Determinants'!E20</f>
        <v>73</v>
      </c>
      <c r="F20" s="33">
        <f>'B1.2 Billing Determinants'!F20</f>
        <v>5688</v>
      </c>
      <c r="G20" s="33">
        <f>'B1.2 Billing Determinants'!G20</f>
        <v>0</v>
      </c>
      <c r="H20" s="33">
        <f>'B1.2 Billing Determinants'!H20</f>
        <v>43772.000000000007</v>
      </c>
      <c r="I20" s="33">
        <f>'B1.2 Billing Determinants'!I20</f>
        <v>0</v>
      </c>
      <c r="J20" s="33">
        <f>'B1.2 Billing Determinants'!J20</f>
        <v>0</v>
      </c>
      <c r="K20" s="33">
        <f>'B1.2 Billing Determinants'!K20</f>
        <v>0</v>
      </c>
      <c r="L20" s="33">
        <f>'B1.2 Billing Determinants'!L20</f>
        <v>49460.000000000007</v>
      </c>
      <c r="M20" s="33">
        <f>'B1.2 Billing Determinants'!M20</f>
        <v>0</v>
      </c>
      <c r="N20" s="33">
        <f>'B1.2 Billing Determinants'!N20</f>
        <v>0</v>
      </c>
    </row>
    <row r="21" spans="3:14" s="1" customFormat="1" x14ac:dyDescent="0.25">
      <c r="C21" s="1" t="s">
        <v>17</v>
      </c>
      <c r="E21" s="33">
        <f>'B1.2 Billing Determinants'!E21</f>
        <v>4</v>
      </c>
      <c r="F21" s="33">
        <f>'B1.2 Billing Determinants'!F21</f>
        <v>0</v>
      </c>
      <c r="G21" s="33">
        <f>'B1.2 Billing Determinants'!G21</f>
        <v>0</v>
      </c>
      <c r="H21" s="33">
        <f>'B1.2 Billing Determinants'!H21</f>
        <v>0</v>
      </c>
      <c r="I21" s="33">
        <f>'B1.2 Billing Determinants'!I21</f>
        <v>0</v>
      </c>
      <c r="J21" s="33">
        <f>'B1.2 Billing Determinants'!J21</f>
        <v>2195299.0893468545</v>
      </c>
      <c r="K21" s="33">
        <f>'B1.2 Billing Determinants'!K21</f>
        <v>256932</v>
      </c>
      <c r="L21" s="33">
        <f>'B1.2 Billing Determinants'!L21</f>
        <v>2195299.0893468545</v>
      </c>
      <c r="M21" s="33">
        <f>'B1.2 Billing Determinants'!M21</f>
        <v>0</v>
      </c>
      <c r="N21" s="33">
        <f>'B1.2 Billing Determinants'!N21</f>
        <v>0</v>
      </c>
    </row>
    <row r="22" spans="3:14" s="1" customFormat="1" x14ac:dyDescent="0.25">
      <c r="C22" s="1" t="s">
        <v>18</v>
      </c>
      <c r="E22" s="33">
        <f>'B1.2 Billing Determinants'!E22</f>
        <v>23</v>
      </c>
      <c r="F22" s="33">
        <f>'B1.2 Billing Determinants'!F22</f>
        <v>215710</v>
      </c>
      <c r="G22" s="33">
        <f>'B1.2 Billing Determinants'!G22</f>
        <v>221214.44489017199</v>
      </c>
      <c r="H22" s="33">
        <f>'B1.2 Billing Determinants'!H22</f>
        <v>0</v>
      </c>
      <c r="I22" s="33">
        <f>'B1.2 Billing Determinants'!I22</f>
        <v>0</v>
      </c>
      <c r="J22" s="33">
        <f>'B1.2 Billing Determinants'!J22</f>
        <v>0</v>
      </c>
      <c r="K22" s="33">
        <f>'B1.2 Billing Determinants'!K22</f>
        <v>0</v>
      </c>
      <c r="L22" s="33">
        <f>'B1.2 Billing Determinants'!L22</f>
        <v>436924.44489017199</v>
      </c>
      <c r="M22" s="33">
        <f>'B1.2 Billing Determinants'!M22</f>
        <v>0</v>
      </c>
      <c r="N22" s="33">
        <f>'B1.2 Billing Determinants'!N22</f>
        <v>0</v>
      </c>
    </row>
    <row r="23" spans="3:14" s="1" customFormat="1" x14ac:dyDescent="0.25">
      <c r="C23" s="1" t="s">
        <v>19</v>
      </c>
      <c r="E23" s="33">
        <f>'B1.2 Billing Determinants'!E23</f>
        <v>23</v>
      </c>
      <c r="F23" s="33">
        <f>'B1.2 Billing Determinants'!F23</f>
        <v>4368.1919191919205</v>
      </c>
      <c r="G23" s="33">
        <f>'B1.2 Billing Determinants'!G23</f>
        <v>12970</v>
      </c>
      <c r="H23" s="33">
        <f>'B1.2 Billing Determinants'!H23</f>
        <v>0</v>
      </c>
      <c r="I23" s="33">
        <f>'B1.2 Billing Determinants'!I23</f>
        <v>0</v>
      </c>
      <c r="J23" s="33">
        <f>'B1.2 Billing Determinants'!J23</f>
        <v>0</v>
      </c>
      <c r="K23" s="33">
        <f>'B1.2 Billing Determinants'!K23</f>
        <v>0</v>
      </c>
      <c r="L23" s="33">
        <f>'B1.2 Billing Determinants'!L23</f>
        <v>17338.191919191922</v>
      </c>
      <c r="M23" s="33">
        <f>'B1.2 Billing Determinants'!M23</f>
        <v>0</v>
      </c>
      <c r="N23" s="33">
        <f>'B1.2 Billing Determinants'!N23</f>
        <v>0</v>
      </c>
    </row>
    <row r="24" spans="3:14" s="1" customFormat="1" x14ac:dyDescent="0.25">
      <c r="C24" s="1" t="s">
        <v>20</v>
      </c>
      <c r="E24" s="33">
        <f>'B1.2 Billing Determinants'!E24</f>
        <v>5</v>
      </c>
      <c r="F24" s="33">
        <f>'B1.2 Billing Determinants'!F24</f>
        <v>0</v>
      </c>
      <c r="G24" s="33">
        <f>'B1.2 Billing Determinants'!G24</f>
        <v>0</v>
      </c>
      <c r="H24" s="33">
        <f>'B1.2 Billing Determinants'!H24</f>
        <v>0</v>
      </c>
      <c r="I24" s="33">
        <f>'B1.2 Billing Determinants'!I24</f>
        <v>0</v>
      </c>
      <c r="J24" s="33">
        <f>'B1.2 Billing Determinants'!J24</f>
        <v>947161.70962962962</v>
      </c>
      <c r="K24" s="33">
        <f>'B1.2 Billing Determinants'!K24</f>
        <v>0</v>
      </c>
      <c r="L24" s="33">
        <f>'B1.2 Billing Determinants'!L24</f>
        <v>947161.70962962962</v>
      </c>
      <c r="M24" s="33">
        <f>'B1.2 Billing Determinants'!M24</f>
        <v>0</v>
      </c>
      <c r="N24" s="33">
        <f>'B1.2 Billing Determinants'!N24</f>
        <v>0</v>
      </c>
    </row>
    <row r="25" spans="3:14" s="1" customFormat="1" ht="30" x14ac:dyDescent="0.25">
      <c r="C25" s="12" t="s">
        <v>21</v>
      </c>
      <c r="E25" s="33">
        <f>'B1.2 Billing Determinants'!E25</f>
        <v>1</v>
      </c>
      <c r="F25" s="33">
        <f>'B1.2 Billing Determinants'!F25</f>
        <v>0</v>
      </c>
      <c r="G25" s="33">
        <f>'B1.2 Billing Determinants'!G25</f>
        <v>0</v>
      </c>
      <c r="H25" s="33">
        <f>'B1.2 Billing Determinants'!H25</f>
        <v>0</v>
      </c>
      <c r="I25" s="33">
        <f>'B1.2 Billing Determinants'!I25</f>
        <v>0</v>
      </c>
      <c r="J25" s="33">
        <f>'B1.2 Billing Determinants'!J25</f>
        <v>33416816</v>
      </c>
      <c r="K25" s="33">
        <f>'B1.2 Billing Determinants'!K25</f>
        <v>1298256</v>
      </c>
      <c r="L25" s="33">
        <f>'B1.2 Billing Determinants'!L25</f>
        <v>0</v>
      </c>
      <c r="M25" s="33">
        <f>'B1.2 Billing Determinants'!M25</f>
        <v>0</v>
      </c>
      <c r="N25" s="33">
        <f>'B1.2 Billing Determinants'!N25</f>
        <v>0</v>
      </c>
    </row>
    <row r="26" spans="3:14" s="1" customFormat="1" ht="15" customHeight="1" thickBot="1" x14ac:dyDescent="0.3">
      <c r="E26" s="98">
        <f>SUM(E16:E19,E21:E22,E24:E25)</f>
        <v>7121.916666666667</v>
      </c>
      <c r="F26" s="98">
        <f t="shared" ref="F26:N26" si="0">SUM(F16:F25)</f>
        <v>14610626.191919193</v>
      </c>
      <c r="G26" s="98">
        <f t="shared" si="0"/>
        <v>3806461.9186836248</v>
      </c>
      <c r="H26" s="98">
        <f t="shared" si="0"/>
        <v>373393.00000000006</v>
      </c>
      <c r="I26" s="98">
        <f t="shared" si="0"/>
        <v>0</v>
      </c>
      <c r="J26" s="98">
        <f t="shared" si="0"/>
        <v>36559276.798976481</v>
      </c>
      <c r="K26" s="98">
        <f t="shared" si="0"/>
        <v>1555188</v>
      </c>
      <c r="L26" s="98">
        <f t="shared" si="0"/>
        <v>21932941.909579303</v>
      </c>
      <c r="M26" s="98">
        <f t="shared" si="0"/>
        <v>0</v>
      </c>
      <c r="N26" s="98">
        <f t="shared" si="0"/>
        <v>0</v>
      </c>
    </row>
    <row r="27" spans="3:14" s="1" customFormat="1" ht="15" customHeight="1" x14ac:dyDescent="0.25"/>
    <row r="28" spans="3:14" s="1" customFormat="1" ht="15" customHeight="1" x14ac:dyDescent="0.25"/>
    <row r="29" spans="3:14" s="1" customFormat="1" ht="15" customHeight="1" x14ac:dyDescent="0.25"/>
    <row r="30" spans="3:14" s="1" customFormat="1" ht="15" customHeight="1" x14ac:dyDescent="0.25"/>
    <row r="31" spans="3:14" s="1" customFormat="1" ht="15" customHeight="1" x14ac:dyDescent="0.25"/>
    <row r="32" spans="3:14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  <row r="39" s="1" customFormat="1" ht="15" customHeight="1" x14ac:dyDescent="0.25"/>
    <row r="40" s="1" customFormat="1" ht="15" customHeight="1" x14ac:dyDescent="0.25"/>
    <row r="41" s="1" customFormat="1" ht="15" customHeight="1" x14ac:dyDescent="0.25"/>
    <row r="42" s="1" customFormat="1" ht="15" customHeight="1" x14ac:dyDescent="0.25"/>
    <row r="43" s="1" customFormat="1" ht="15" customHeight="1" x14ac:dyDescent="0.25"/>
    <row r="44" s="1" customFormat="1" ht="15" customHeight="1" x14ac:dyDescent="0.25"/>
    <row r="45" s="1" customFormat="1" ht="15" customHeight="1" x14ac:dyDescent="0.25"/>
  </sheetData>
  <sheetProtection password="B400" sheet="1" objects="1" scenarios="1" formatColumns="0" formatRows="0"/>
  <pageMargins left="0.70866141732283505" right="0.70866141732283505" top="0.74803149606299202" bottom="0.74803149606299202" header="0.31496062992126" footer="0.31496062992126"/>
  <pageSetup scale="65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50"/>
  <sheetViews>
    <sheetView showGridLines="0" topLeftCell="D14" workbookViewId="0">
      <selection sqref="A1:XFD1048576"/>
    </sheetView>
  </sheetViews>
  <sheetFormatPr defaultColWidth="0" defaultRowHeight="15" customHeight="1" zeroHeight="1" x14ac:dyDescent="0.25"/>
  <cols>
    <col min="1" max="1" width="15.7109375" style="2" customWidth="1"/>
    <col min="2" max="2" width="14.85546875" style="2" hidden="1" customWidth="1"/>
    <col min="3" max="3" width="55.7109375" style="2" customWidth="1"/>
    <col min="4" max="4" width="2.7109375" style="2" customWidth="1"/>
    <col min="5" max="5" width="11.5703125" style="2" bestFit="1" customWidth="1"/>
    <col min="6" max="6" width="12.7109375" style="2" customWidth="1"/>
    <col min="7" max="7" width="10.28515625" style="2" bestFit="1" customWidth="1"/>
    <col min="8" max="9" width="11.28515625" style="2" bestFit="1" customWidth="1"/>
    <col min="10" max="10" width="11.5703125" style="2" bestFit="1" customWidth="1"/>
    <col min="11" max="11" width="10" style="2" bestFit="1" customWidth="1"/>
    <col min="12" max="12" width="11.28515625" style="2" bestFit="1" customWidth="1"/>
    <col min="13" max="13" width="12.42578125" style="2" bestFit="1" customWidth="1"/>
    <col min="14" max="14" width="30.5703125" style="2" bestFit="1" customWidth="1"/>
    <col min="15" max="15" width="11.5703125" style="2" bestFit="1" customWidth="1"/>
    <col min="16" max="16" width="2.7109375" style="2" customWidth="1"/>
    <col min="17" max="16384" width="0" style="2" hidden="1"/>
  </cols>
  <sheetData>
    <row r="1" spans="1:15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1" customFormat="1" ht="18" x14ac:dyDescent="0.25">
      <c r="C2" s="8" t="str">
        <f>'A1.1 Distributor Information'!C3</f>
        <v>Name of LDC:       Natural Resource Gas Limited</v>
      </c>
    </row>
    <row r="3" spans="1:15" s="1" customFormat="1" ht="18" x14ac:dyDescent="0.25">
      <c r="C3" s="8" t="str">
        <f>'A1.1 Distributor Information'!C4</f>
        <v xml:space="preserve">OEB Application Number:          </v>
      </c>
    </row>
    <row r="4" spans="1:15" s="1" customFormat="1" ht="15" customHeight="1" x14ac:dyDescent="0.25"/>
    <row r="5" spans="1:15" s="1" customFormat="1" ht="15" customHeight="1" x14ac:dyDescent="0.25"/>
    <row r="6" spans="1:15" s="1" customFormat="1" ht="15" customHeight="1" x14ac:dyDescent="0.25"/>
    <row r="7" spans="1:15" s="1" customFormat="1" ht="15" customHeight="1" x14ac:dyDescent="0.25"/>
    <row r="8" spans="1:15" s="1" customFormat="1" ht="15" customHeight="1" x14ac:dyDescent="0.25"/>
    <row r="9" spans="1:15" s="1" customFormat="1" ht="15" customHeight="1" x14ac:dyDescent="0.25"/>
    <row r="10" spans="1:15" s="1" customFormat="1" ht="20.25" x14ac:dyDescent="0.3">
      <c r="C10" s="4" t="s">
        <v>29</v>
      </c>
    </row>
    <row r="11" spans="1:15" s="1" customFormat="1" ht="15" customHeight="1" x14ac:dyDescent="0.25"/>
    <row r="12" spans="1:15" s="1" customFormat="1" ht="15" customHeight="1" x14ac:dyDescent="0.25"/>
    <row r="13" spans="1:15" s="1" customFormat="1" ht="15" customHeight="1" x14ac:dyDescent="0.25"/>
    <row r="14" spans="1:15" s="1" customFormat="1" ht="15" customHeight="1" x14ac:dyDescent="0.25"/>
    <row r="15" spans="1:15" s="1" customFormat="1" ht="47.25" x14ac:dyDescent="0.25">
      <c r="C15" s="1" t="s">
        <v>0</v>
      </c>
      <c r="E15" s="13" t="s">
        <v>1</v>
      </c>
      <c r="F15" s="13" t="s">
        <v>2</v>
      </c>
      <c r="G15" s="13" t="s">
        <v>3</v>
      </c>
      <c r="H15" s="13" t="s">
        <v>4</v>
      </c>
      <c r="I15" s="13" t="s">
        <v>5</v>
      </c>
      <c r="J15" s="13" t="s">
        <v>7</v>
      </c>
      <c r="K15" s="13" t="s">
        <v>6</v>
      </c>
      <c r="L15" s="13" t="s">
        <v>8</v>
      </c>
      <c r="M15" s="13" t="s">
        <v>9</v>
      </c>
      <c r="N15" s="13" t="s">
        <v>10</v>
      </c>
      <c r="O15" s="13" t="s">
        <v>11</v>
      </c>
    </row>
    <row r="16" spans="1:15" s="1" customFormat="1" x14ac:dyDescent="0.25">
      <c r="C16" s="1" t="s">
        <v>12</v>
      </c>
      <c r="E16" s="45">
        <f>'E1.1 Proposed Dist Rates '!E16*'E1.2 Billing Determinants'!E16*12</f>
        <v>1062706.5</v>
      </c>
      <c r="F16" s="45">
        <f>'E1.1 Proposed Dist Rates '!F16*'E1.2 Billing Determinants'!F16/100</f>
        <v>1972195.6651487253</v>
      </c>
      <c r="G16" s="45">
        <f>'E1.1 Proposed Dist Rates '!G16*'E1.2 Billing Determinants'!G16/100</f>
        <v>79107.525173365328</v>
      </c>
      <c r="H16" s="45">
        <f>'E1.1 Proposed Dist Rates '!H16*'E1.2 Billing Determinants'!H16/100</f>
        <v>0</v>
      </c>
      <c r="I16" s="45">
        <f>'E1.1 Proposed Dist Rates '!I16*'E1.2 Billing Determinants'!I16/100</f>
        <v>0</v>
      </c>
      <c r="J16" s="45">
        <f>'E1.1 Proposed Dist Rates '!J16*'E1.2 Billing Determinants'!J16/100</f>
        <v>0</v>
      </c>
      <c r="K16" s="45">
        <f>'E1.1 Proposed Dist Rates '!K16*'E1.2 Billing Determinants'!K16/100</f>
        <v>0</v>
      </c>
      <c r="L16" s="127">
        <f>'E1.1 Proposed Dist Rates '!L16*'E1.2 Billing Determinants'!L16/100</f>
        <v>4756.5998303435326</v>
      </c>
      <c r="M16" s="45">
        <f>'E1.1 Proposed Dist Rates '!M16*'E1.2 Billing Determinants'!M16/100</f>
        <v>0</v>
      </c>
      <c r="N16" s="45">
        <f>'E1.1 Proposed Dist Rates '!N16*'E1.2 Billing Determinants'!N16/100</f>
        <v>0</v>
      </c>
      <c r="O16" s="45">
        <f>SUM(E16:N16)</f>
        <v>3118766.2901524338</v>
      </c>
    </row>
    <row r="17" spans="3:15" s="1" customFormat="1" x14ac:dyDescent="0.25">
      <c r="C17" s="1" t="s">
        <v>13</v>
      </c>
      <c r="E17" s="45">
        <f>'E1.1 Proposed Dist Rates '!E17*'E1.2 Billing Determinants'!E17*12</f>
        <v>67068</v>
      </c>
      <c r="F17" s="45">
        <f>'E1.1 Proposed Dist Rates '!F17*'E1.2 Billing Determinants'!F17/100</f>
        <v>280640.28051869199</v>
      </c>
      <c r="G17" s="45">
        <f>'E1.1 Proposed Dist Rates '!G17*'E1.2 Billing Determinants'!G17/100</f>
        <v>255665.71698223951</v>
      </c>
      <c r="H17" s="45">
        <f>'E1.1 Proposed Dist Rates '!H17*'E1.2 Billing Determinants'!H17/100</f>
        <v>0</v>
      </c>
      <c r="I17" s="45">
        <f>'E1.1 Proposed Dist Rates '!I17*'E1.2 Billing Determinants'!I17/100</f>
        <v>0</v>
      </c>
      <c r="J17" s="45">
        <f>'E1.1 Proposed Dist Rates '!J17*'E1.2 Billing Determinants'!J17/100</f>
        <v>0</v>
      </c>
      <c r="K17" s="45">
        <f>'E1.1 Proposed Dist Rates '!K17*'E1.2 Billing Determinants'!K17/100</f>
        <v>0</v>
      </c>
      <c r="L17" s="127">
        <f>'E1.1 Proposed Dist Rates '!L17*'E1.2 Billing Determinants'!L17/100</f>
        <v>1499.8252528622365</v>
      </c>
      <c r="M17" s="45">
        <f>'E1.1 Proposed Dist Rates '!M17*'E1.2 Billing Determinants'!M17/100</f>
        <v>0</v>
      </c>
      <c r="N17" s="45">
        <f>'E1.1 Proposed Dist Rates '!N17*'E1.2 Billing Determinants'!N17/100</f>
        <v>0</v>
      </c>
      <c r="O17" s="45">
        <f t="shared" ref="O17:O25" si="0">SUM(E17:N17)</f>
        <v>604873.82275379368</v>
      </c>
    </row>
    <row r="18" spans="3:15" s="1" customFormat="1" x14ac:dyDescent="0.25">
      <c r="C18" s="1" t="s">
        <v>14</v>
      </c>
      <c r="E18" s="45">
        <f>'E1.1 Proposed Dist Rates '!E18*'E1.2 Billing Determinants'!E18*12</f>
        <v>6804</v>
      </c>
      <c r="F18" s="45">
        <f>'E1.1 Proposed Dist Rates '!F18*'E1.2 Billing Determinants'!F18/100</f>
        <v>20902.136561754636</v>
      </c>
      <c r="G18" s="45">
        <f>'E1.1 Proposed Dist Rates '!G18*'E1.2 Billing Determinants'!G18/100</f>
        <v>50337.288324599831</v>
      </c>
      <c r="H18" s="45">
        <f>'E1.1 Proposed Dist Rates '!H18*'E1.2 Billing Determinants'!H18/100</f>
        <v>0</v>
      </c>
      <c r="I18" s="45">
        <f>'E1.1 Proposed Dist Rates '!I18*'E1.2 Billing Determinants'!I18/100</f>
        <v>0</v>
      </c>
      <c r="J18" s="45">
        <f>'E1.1 Proposed Dist Rates '!J18*'E1.2 Billing Determinants'!J18/100</f>
        <v>0</v>
      </c>
      <c r="K18" s="45">
        <f>'E1.1 Proposed Dist Rates '!K18*'E1.2 Billing Determinants'!K18/100</f>
        <v>0</v>
      </c>
      <c r="L18" s="127">
        <f>'E1.1 Proposed Dist Rates '!L18*'E1.2 Billing Determinants'!L18/100</f>
        <v>217.08404278125388</v>
      </c>
      <c r="M18" s="45">
        <f>'E1.1 Proposed Dist Rates '!M18*'E1.2 Billing Determinants'!M18/100</f>
        <v>0</v>
      </c>
      <c r="N18" s="45">
        <f>'E1.1 Proposed Dist Rates '!N18*'E1.2 Billing Determinants'!N18/100</f>
        <v>0</v>
      </c>
      <c r="O18" s="45">
        <f t="shared" si="0"/>
        <v>78260.508929135714</v>
      </c>
    </row>
    <row r="19" spans="3:15" s="1" customFormat="1" x14ac:dyDescent="0.25">
      <c r="C19" s="1" t="s">
        <v>15</v>
      </c>
      <c r="E19" s="45">
        <f>'E1.1 Proposed Dist Rates '!E19*'E1.2 Billing Determinants'!E19*7</f>
        <v>7665</v>
      </c>
      <c r="F19" s="45">
        <f>'E1.1 Proposed Dist Rates '!F19*'E1.2 Billing Determinants'!F19/100</f>
        <v>18774.414516281511</v>
      </c>
      <c r="G19" s="45">
        <f>'E1.1 Proposed Dist Rates '!G19*'E1.2 Billing Determinants'!G19/100</f>
        <v>0</v>
      </c>
      <c r="H19" s="45">
        <f>'E1.1 Proposed Dist Rates '!H19*'E1.2 Billing Determinants'!H19/100</f>
        <v>31256.640946000003</v>
      </c>
      <c r="I19" s="45">
        <f>'E1.1 Proposed Dist Rates '!I19*'E1.2 Billing Determinants'!I19/100</f>
        <v>0</v>
      </c>
      <c r="J19" s="45">
        <f>'E1.1 Proposed Dist Rates '!J19*'E1.2 Billing Determinants'!J19/100</f>
        <v>0</v>
      </c>
      <c r="K19" s="45">
        <f>'E1.1 Proposed Dist Rates '!K19*'E1.2 Billing Determinants'!K19/100</f>
        <v>0</v>
      </c>
      <c r="L19" s="127">
        <f>'E1.1 Proposed Dist Rates '!L19*'E1.2 Billing Determinants'!L19/100</f>
        <v>164.58420000000001</v>
      </c>
      <c r="M19" s="45">
        <f>'E1.1 Proposed Dist Rates '!M19*'E1.2 Billing Determinants'!M19/100</f>
        <v>0</v>
      </c>
      <c r="N19" s="45">
        <f>'E1.1 Proposed Dist Rates '!N19*'E1.2 Billing Determinants'!N19/100</f>
        <v>0</v>
      </c>
      <c r="O19" s="45">
        <f t="shared" si="0"/>
        <v>57860.639662281508</v>
      </c>
    </row>
    <row r="20" spans="3:15" s="1" customFormat="1" x14ac:dyDescent="0.25">
      <c r="C20" s="1" t="s">
        <v>16</v>
      </c>
      <c r="E20" s="45">
        <f>'E1.1 Proposed Dist Rates '!E20*'E1.2 Billing Determinants'!E20*5</f>
        <v>5475</v>
      </c>
      <c r="F20" s="45">
        <f>'E1.1 Proposed Dist Rates '!F20*'E1.2 Billing Determinants'!F20/100</f>
        <v>1087.4697320464916</v>
      </c>
      <c r="G20" s="45">
        <f>'E1.1 Proposed Dist Rates '!G20*'E1.2 Billing Determinants'!G20/100</f>
        <v>0</v>
      </c>
      <c r="H20" s="45">
        <f>'E1.1 Proposed Dist Rates '!H20*'E1.2 Billing Determinants'!H20/100</f>
        <v>6870.4531200000019</v>
      </c>
      <c r="I20" s="45">
        <f>'E1.1 Proposed Dist Rates '!I20*'E1.2 Billing Determinants'!I20/100</f>
        <v>0</v>
      </c>
      <c r="J20" s="45">
        <f>'E1.1 Proposed Dist Rates '!J20*'E1.2 Billing Determinants'!J20/100</f>
        <v>0</v>
      </c>
      <c r="K20" s="45">
        <f>'E1.1 Proposed Dist Rates '!K20*'E1.2 Billing Determinants'!K20/100</f>
        <v>0</v>
      </c>
      <c r="L20" s="127">
        <f>'E1.1 Proposed Dist Rates '!L20*'E1.2 Billing Determinants'!L20/100</f>
        <v>17.953980000000001</v>
      </c>
      <c r="M20" s="45">
        <f>'E1.1 Proposed Dist Rates '!M20*'E1.2 Billing Determinants'!M20/100</f>
        <v>0</v>
      </c>
      <c r="N20" s="45">
        <f>'E1.1 Proposed Dist Rates '!N20*'E1.2 Billing Determinants'!N20/100</f>
        <v>0</v>
      </c>
      <c r="O20" s="45">
        <f t="shared" si="0"/>
        <v>13450.876832046493</v>
      </c>
    </row>
    <row r="21" spans="3:15" s="1" customFormat="1" x14ac:dyDescent="0.25">
      <c r="C21" s="1" t="s">
        <v>17</v>
      </c>
      <c r="E21" s="45">
        <f>'E1.1 Proposed Dist Rates '!E21*'E1.2 Billing Determinants'!E21*12</f>
        <v>7200</v>
      </c>
      <c r="F21" s="45">
        <f>'E1.1 Proposed Dist Rates '!F21*'E1.2 Billing Determinants'!F21/100</f>
        <v>0</v>
      </c>
      <c r="G21" s="45">
        <f>'E1.1 Proposed Dist Rates '!G21*'E1.2 Billing Determinants'!G21/100</f>
        <v>0</v>
      </c>
      <c r="H21" s="45">
        <f>'E1.1 Proposed Dist Rates '!H21*'E1.2 Billing Determinants'!H21/100</f>
        <v>0</v>
      </c>
      <c r="I21" s="45">
        <f>'E1.1 Proposed Dist Rates '!I21*'E1.2 Billing Determinants'!I21/100</f>
        <v>0</v>
      </c>
      <c r="J21" s="45">
        <f>'E1.1 Proposed Dist Rates '!J21*'E1.2 Billing Determinants'!J21/100</f>
        <v>86563.423996594938</v>
      </c>
      <c r="K21" s="45">
        <f>'E1.1 Proposed Dist Rates '!K21*'E1.2 Billing Determinants'!K21/100</f>
        <v>74760.531768000001</v>
      </c>
      <c r="L21" s="127">
        <f>'E1.1 Proposed Dist Rates '!L21*'E1.2 Billing Determinants'!L21/100</f>
        <v>796.89356943290807</v>
      </c>
      <c r="M21" s="45">
        <f>'E1.1 Proposed Dist Rates '!M21*'E1.2 Billing Determinants'!M21/100</f>
        <v>0</v>
      </c>
      <c r="N21" s="45">
        <f>'E1.1 Proposed Dist Rates '!N21*'E1.2 Billing Determinants'!N21/100</f>
        <v>0</v>
      </c>
      <c r="O21" s="45">
        <f t="shared" si="0"/>
        <v>169320.84933402785</v>
      </c>
    </row>
    <row r="22" spans="3:15" s="1" customFormat="1" x14ac:dyDescent="0.25">
      <c r="C22" s="1" t="s">
        <v>18</v>
      </c>
      <c r="E22" s="45">
        <f>'E1.1 Proposed Dist Rates '!E22*'E1.2 Billing Determinants'!E22*9</f>
        <v>3105</v>
      </c>
      <c r="F22" s="45">
        <f>'E1.1 Proposed Dist Rates '!F22*'E1.2 Billing Determinants'!F22/100</f>
        <v>33365.531753876901</v>
      </c>
      <c r="G22" s="45">
        <f>'E1.1 Proposed Dist Rates '!G22*'E1.2 Billing Determinants'!G22/100</f>
        <v>23275.741462454116</v>
      </c>
      <c r="H22" s="45">
        <f>'E1.1 Proposed Dist Rates '!H22*'E1.2 Billing Determinants'!H22/100</f>
        <v>0</v>
      </c>
      <c r="I22" s="45">
        <f>'E1.1 Proposed Dist Rates '!I22*'E1.2 Billing Determinants'!I22/100</f>
        <v>0</v>
      </c>
      <c r="J22" s="45">
        <f>'E1.1 Proposed Dist Rates '!J22*'E1.2 Billing Determinants'!J22/100</f>
        <v>0</v>
      </c>
      <c r="K22" s="45">
        <f>'E1.1 Proposed Dist Rates '!K22*'E1.2 Billing Determinants'!K22/100</f>
        <v>0</v>
      </c>
      <c r="L22" s="127">
        <f>'E1.1 Proposed Dist Rates '!L22*'E1.2 Billing Determinants'!L22/100</f>
        <v>158.60357349513242</v>
      </c>
      <c r="M22" s="45">
        <f>'E1.1 Proposed Dist Rates '!M22*'E1.2 Billing Determinants'!M22/100</f>
        <v>0</v>
      </c>
      <c r="N22" s="45">
        <f>'E1.1 Proposed Dist Rates '!N22*'E1.2 Billing Determinants'!N22/100</f>
        <v>0</v>
      </c>
      <c r="O22" s="45">
        <f t="shared" si="0"/>
        <v>59904.876789826143</v>
      </c>
    </row>
    <row r="23" spans="3:15" s="1" customFormat="1" x14ac:dyDescent="0.25">
      <c r="C23" s="1" t="s">
        <v>19</v>
      </c>
      <c r="E23" s="45">
        <f>'E1.1 Proposed Dist Rates '!E23*'E1.2 Billing Determinants'!E23*3</f>
        <v>1035</v>
      </c>
      <c r="F23" s="45">
        <f>'E1.1 Proposed Dist Rates '!F23*'E1.2 Billing Determinants'!F23/100</f>
        <v>861.96184690322684</v>
      </c>
      <c r="G23" s="45">
        <f>'E1.1 Proposed Dist Rates '!G23*'E1.2 Billing Determinants'!G23/100</f>
        <v>2192.6044400000001</v>
      </c>
      <c r="H23" s="45">
        <f>'E1.1 Proposed Dist Rates '!H23*'E1.2 Billing Determinants'!H23/100</f>
        <v>0</v>
      </c>
      <c r="I23" s="45">
        <f>'E1.1 Proposed Dist Rates '!I23*'E1.2 Billing Determinants'!I23/100</f>
        <v>0</v>
      </c>
      <c r="J23" s="45">
        <f>'E1.1 Proposed Dist Rates '!J23*'E1.2 Billing Determinants'!J23/100</f>
        <v>0</v>
      </c>
      <c r="K23" s="45">
        <f>'E1.1 Proposed Dist Rates '!K23*'E1.2 Billing Determinants'!K23/100</f>
        <v>0</v>
      </c>
      <c r="L23" s="127">
        <f>'E1.1 Proposed Dist Rates '!L23*'E1.2 Billing Determinants'!L23/100</f>
        <v>6.293763666666667</v>
      </c>
      <c r="M23" s="45">
        <f>'E1.1 Proposed Dist Rates '!M23*'E1.2 Billing Determinants'!M23/100</f>
        <v>0</v>
      </c>
      <c r="N23" s="45">
        <f>'E1.1 Proposed Dist Rates '!N23*'E1.2 Billing Determinants'!N23/100</f>
        <v>0</v>
      </c>
      <c r="O23" s="45">
        <f t="shared" si="0"/>
        <v>4095.8600505698932</v>
      </c>
    </row>
    <row r="24" spans="3:15" s="1" customFormat="1" x14ac:dyDescent="0.25">
      <c r="C24" s="1" t="s">
        <v>20</v>
      </c>
      <c r="E24" s="45">
        <f>'E1.1 Proposed Dist Rates '!E24*'E1.2 Billing Determinants'!E24*12</f>
        <v>9000</v>
      </c>
      <c r="F24" s="45">
        <f>'E1.1 Proposed Dist Rates '!F24*'E1.2 Billing Determinants'!F24/100</f>
        <v>0</v>
      </c>
      <c r="G24" s="45">
        <f>'E1.1 Proposed Dist Rates '!G24*'E1.2 Billing Determinants'!G24/100</f>
        <v>0</v>
      </c>
      <c r="H24" s="45">
        <f>'E1.1 Proposed Dist Rates '!H24*'E1.2 Billing Determinants'!H24/100</f>
        <v>0</v>
      </c>
      <c r="I24" s="45">
        <f>'E1.1 Proposed Dist Rates '!I24*'E1.2 Billing Determinants'!I24/100</f>
        <v>0</v>
      </c>
      <c r="J24" s="45">
        <f>'E1.1 Proposed Dist Rates '!J24*'E1.2 Billing Determinants'!J24/100</f>
        <v>67271.073918022972</v>
      </c>
      <c r="K24" s="45">
        <f>'E1.1 Proposed Dist Rates '!K24*'E1.2 Billing Determinants'!K24/100</f>
        <v>0</v>
      </c>
      <c r="L24" s="127">
        <f>'E1.1 Proposed Dist Rates '!L24*'E1.2 Billing Determinants'!L24/100</f>
        <v>343.81970059555556</v>
      </c>
      <c r="M24" s="45">
        <f>'E1.1 Proposed Dist Rates '!M24*'E1.2 Billing Determinants'!M24/100</f>
        <v>0</v>
      </c>
      <c r="N24" s="45">
        <f>'E1.1 Proposed Dist Rates '!N24*'E1.2 Billing Determinants'!N24/100</f>
        <v>0</v>
      </c>
      <c r="O24" s="45">
        <f t="shared" si="0"/>
        <v>76614.893618618531</v>
      </c>
    </row>
    <row r="25" spans="3:15" s="1" customFormat="1" x14ac:dyDescent="0.25">
      <c r="C25" s="1" t="s">
        <v>21</v>
      </c>
      <c r="E25" s="45">
        <f>'E1.1 Proposed Dist Rates '!E25*'E1.2 Billing Determinants'!E25*12</f>
        <v>1800</v>
      </c>
      <c r="F25" s="45">
        <f>'E1.1 Proposed Dist Rates '!F25*'E1.2 Billing Determinants'!F25/100</f>
        <v>0</v>
      </c>
      <c r="G25" s="45">
        <f>'E1.1 Proposed Dist Rates '!G25*'E1.2 Billing Determinants'!G25/100</f>
        <v>0</v>
      </c>
      <c r="H25" s="45">
        <f>'E1.1 Proposed Dist Rates '!H25*'E1.2 Billing Determinants'!H25/100</f>
        <v>0</v>
      </c>
      <c r="I25" s="45">
        <f>'E1.1 Proposed Dist Rates '!I25*'E1.2 Billing Determinants'!I25/100</f>
        <v>0</v>
      </c>
      <c r="J25" s="45">
        <f>'E1.1 Proposed Dist Rates '!J25*'E1.2 Billing Determinants'!J25/100</f>
        <v>1284287.0484689923</v>
      </c>
      <c r="K25" s="45">
        <f>'E1.1 Proposed Dist Rates '!K25*'E1.2 Billing Determinants'!K25/100</f>
        <v>241681.27532947197</v>
      </c>
      <c r="L25" s="127">
        <f>'E1.1 Proposed Dist Rates '!L25*'E1.2 Billing Determinants'!L25/100</f>
        <v>0</v>
      </c>
      <c r="M25" s="45">
        <f>'E1.1 Proposed Dist Rates '!M25*'E1.2 Billing Determinants'!M25/100</f>
        <v>0</v>
      </c>
      <c r="N25" s="45">
        <f>'E1.1 Proposed Dist Rates '!N25*'E1.2 Billing Determinants'!N25/100</f>
        <v>0</v>
      </c>
      <c r="O25" s="45">
        <f t="shared" si="0"/>
        <v>1527768.3237984644</v>
      </c>
    </row>
    <row r="26" spans="3:15" s="1" customFormat="1" ht="15.75" thickBot="1" x14ac:dyDescent="0.3">
      <c r="E26" s="46">
        <f>SUM(E16:E25)</f>
        <v>1171858.5</v>
      </c>
      <c r="F26" s="46">
        <f t="shared" ref="F26:O26" si="1">SUM(F16:F25)</f>
        <v>2327827.46007828</v>
      </c>
      <c r="G26" s="46">
        <f t="shared" si="1"/>
        <v>410578.87638265884</v>
      </c>
      <c r="H26" s="46">
        <f t="shared" si="1"/>
        <v>38127.094066000005</v>
      </c>
      <c r="I26" s="46">
        <f t="shared" si="1"/>
        <v>0</v>
      </c>
      <c r="J26" s="46">
        <f t="shared" si="1"/>
        <v>1438121.5463836102</v>
      </c>
      <c r="K26" s="46">
        <f t="shared" si="1"/>
        <v>316441.80709747196</v>
      </c>
      <c r="L26" s="46">
        <f t="shared" si="1"/>
        <v>7961.6579131772869</v>
      </c>
      <c r="M26" s="46">
        <f t="shared" si="1"/>
        <v>0</v>
      </c>
      <c r="N26" s="46">
        <f t="shared" si="1"/>
        <v>0</v>
      </c>
      <c r="O26" s="46">
        <f t="shared" si="1"/>
        <v>5710916.9419211978</v>
      </c>
    </row>
    <row r="27" spans="3:15" s="1" customFormat="1" ht="15" customHeight="1" x14ac:dyDescent="0.25"/>
    <row r="28" spans="3:15" s="1" customFormat="1" ht="15" customHeight="1" x14ac:dyDescent="0.25">
      <c r="N28" s="90" t="s">
        <v>175</v>
      </c>
      <c r="O28" s="113">
        <f>O26</f>
        <v>5710916.9419211978</v>
      </c>
    </row>
    <row r="29" spans="3:15" s="1" customFormat="1" ht="15" customHeight="1" x14ac:dyDescent="0.25">
      <c r="N29" s="90" t="s">
        <v>167</v>
      </c>
      <c r="O29" s="118">
        <f>'B1.3 Current Rev Req From Rates'!O26</f>
        <v>5643292.9662214993</v>
      </c>
    </row>
    <row r="30" spans="3:15" s="1" customFormat="1" ht="15" customHeight="1" thickBot="1" x14ac:dyDescent="0.3">
      <c r="N30" s="90" t="s">
        <v>116</v>
      </c>
      <c r="O30" s="114">
        <f>O28-O29</f>
        <v>67623.975699698552</v>
      </c>
    </row>
    <row r="31" spans="3:15" s="1" customFormat="1" ht="15" customHeight="1" x14ac:dyDescent="0.25">
      <c r="O31" s="119">
        <f>O30/O29</f>
        <v>1.1983070186940267E-2</v>
      </c>
    </row>
    <row r="32" spans="3:15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  <row r="39" s="1" customFormat="1" ht="15" customHeight="1" x14ac:dyDescent="0.25"/>
    <row r="40" s="1" customFormat="1" ht="15" customHeight="1" x14ac:dyDescent="0.25"/>
    <row r="41" s="1" customFormat="1" ht="15" customHeight="1" x14ac:dyDescent="0.25"/>
    <row r="42" s="1" customFormat="1" ht="15" customHeight="1" x14ac:dyDescent="0.25"/>
    <row r="43" s="1" customFormat="1" ht="15" customHeight="1" x14ac:dyDescent="0.25"/>
    <row r="44" s="1" customFormat="1" ht="15" customHeight="1" x14ac:dyDescent="0.25"/>
    <row r="45" s="1" customFormat="1" ht="15" customHeight="1" x14ac:dyDescent="0.25"/>
    <row r="46" s="1" customFormat="1" ht="15" customHeight="1" x14ac:dyDescent="0.25"/>
    <row r="47" s="1" customFormat="1" ht="15" customHeight="1" x14ac:dyDescent="0.25"/>
    <row r="48" s="1" customFormat="1" ht="15" customHeight="1" x14ac:dyDescent="0.25"/>
    <row r="49" s="1" customFormat="1" ht="15" customHeight="1" x14ac:dyDescent="0.25"/>
    <row r="50" s="1" customFormat="1" ht="15" customHeight="1" x14ac:dyDescent="0.25"/>
  </sheetData>
  <sheetProtection password="B400" sheet="1" objects="1" scenarios="1" formatColumns="0" formatRows="0"/>
  <pageMargins left="0.25" right="0.25" top="0.75" bottom="0.75" header="0.3" footer="0.3"/>
  <pageSetup scale="61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P52"/>
  <sheetViews>
    <sheetView showGridLines="0" topLeftCell="A12" workbookViewId="0">
      <selection sqref="A1:XFD1048576"/>
    </sheetView>
  </sheetViews>
  <sheetFormatPr defaultColWidth="0" defaultRowHeight="15" zeroHeight="1" x14ac:dyDescent="0.25"/>
  <cols>
    <col min="1" max="1" width="15.7109375" style="2" customWidth="1"/>
    <col min="2" max="2" width="9.140625" style="2" hidden="1" customWidth="1"/>
    <col min="3" max="3" width="55.7109375" style="2" customWidth="1"/>
    <col min="4" max="4" width="2.7109375" style="2" customWidth="1"/>
    <col min="5" max="5" width="9" style="2" bestFit="1" customWidth="1"/>
    <col min="6" max="6" width="2.7109375" style="2" customWidth="1"/>
    <col min="7" max="7" width="9" style="2" bestFit="1" customWidth="1"/>
    <col min="8" max="8" width="2.7109375" style="2" customWidth="1"/>
    <col min="9" max="9" width="9" style="2" bestFit="1" customWidth="1"/>
    <col min="10" max="10" width="2.7109375" style="2" customWidth="1"/>
    <col min="11" max="11" width="9" style="2" bestFit="1" customWidth="1"/>
    <col min="12" max="12" width="2.7109375" style="2" customWidth="1"/>
    <col min="13" max="13" width="9" style="2" bestFit="1" customWidth="1"/>
    <col min="14" max="14" width="2.7109375" style="2" customWidth="1"/>
    <col min="15" max="15" width="9" style="2" bestFit="1" customWidth="1"/>
    <col min="16" max="16" width="2.7109375" style="2" hidden="1" customWidth="1"/>
    <col min="17" max="16384" width="0" style="2" hidden="1"/>
  </cols>
  <sheetData>
    <row r="1" spans="1:15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1" customFormat="1" ht="18" x14ac:dyDescent="0.25">
      <c r="C2" s="8" t="str">
        <f>'A1.1 Distributor Information'!C3</f>
        <v>Name of LDC:       Natural Resource Gas Limited</v>
      </c>
    </row>
    <row r="3" spans="1:15" s="1" customFormat="1" ht="18" x14ac:dyDescent="0.25">
      <c r="C3" s="8" t="str">
        <f>'A1.1 Distributor Information'!C4</f>
        <v xml:space="preserve">OEB Application Number:          </v>
      </c>
    </row>
    <row r="4" spans="1:15" s="1" customFormat="1" x14ac:dyDescent="0.25"/>
    <row r="5" spans="1:15" s="1" customFormat="1" x14ac:dyDescent="0.25"/>
    <row r="6" spans="1:15" s="1" customFormat="1" x14ac:dyDescent="0.25"/>
    <row r="7" spans="1:15" s="1" customFormat="1" x14ac:dyDescent="0.25"/>
    <row r="8" spans="1:15" s="1" customFormat="1" x14ac:dyDescent="0.25"/>
    <row r="9" spans="1:15" s="1" customFormat="1" x14ac:dyDescent="0.25"/>
    <row r="10" spans="1:15" s="1" customFormat="1" ht="20.25" x14ac:dyDescent="0.3">
      <c r="C10" s="9" t="s">
        <v>89</v>
      </c>
    </row>
    <row r="11" spans="1:15" s="1" customFormat="1" x14ac:dyDescent="0.25"/>
    <row r="12" spans="1:15" s="1" customFormat="1" x14ac:dyDescent="0.25"/>
    <row r="13" spans="1:15" s="1" customFormat="1" x14ac:dyDescent="0.25"/>
    <row r="14" spans="1:15" s="1" customFormat="1" x14ac:dyDescent="0.25">
      <c r="E14" s="30">
        <v>2010</v>
      </c>
      <c r="G14" s="30">
        <v>2011</v>
      </c>
      <c r="I14" s="30">
        <v>2012</v>
      </c>
      <c r="K14" s="30">
        <v>2013</v>
      </c>
      <c r="M14" s="30">
        <v>2014</v>
      </c>
      <c r="O14" s="30">
        <v>2015</v>
      </c>
    </row>
    <row r="15" spans="1:15" s="1" customFormat="1" x14ac:dyDescent="0.25">
      <c r="C15" s="1" t="s">
        <v>98</v>
      </c>
      <c r="E15" s="31">
        <v>793363</v>
      </c>
      <c r="G15" s="32">
        <f>E15</f>
        <v>793363</v>
      </c>
      <c r="I15" s="32">
        <f>E15</f>
        <v>793363</v>
      </c>
      <c r="K15" s="32">
        <f>E15</f>
        <v>793363</v>
      </c>
      <c r="M15" s="32">
        <f>E15</f>
        <v>793363</v>
      </c>
      <c r="O15" s="32">
        <f>E15</f>
        <v>793363</v>
      </c>
    </row>
    <row r="16" spans="1:15" s="1" customFormat="1" x14ac:dyDescent="0.25"/>
    <row r="17" spans="3:15" s="1" customFormat="1" x14ac:dyDescent="0.25">
      <c r="C17" s="1" t="s">
        <v>91</v>
      </c>
      <c r="E17" s="54">
        <f>(0.18/12*3)+(0.165/12*9)</f>
        <v>0.16875000000000001</v>
      </c>
      <c r="G17" s="55">
        <f>(0.165/12*3)+(0.15/12*9)</f>
        <v>0.15375</v>
      </c>
      <c r="I17" s="55">
        <f>0.15</f>
        <v>0.15</v>
      </c>
      <c r="K17" s="55">
        <f>0.15</f>
        <v>0.15</v>
      </c>
      <c r="M17" s="55">
        <f>0.15</f>
        <v>0.15</v>
      </c>
      <c r="O17" s="55">
        <f>0.15</f>
        <v>0.15</v>
      </c>
    </row>
    <row r="18" spans="3:15" s="1" customFormat="1" x14ac:dyDescent="0.25">
      <c r="C18" s="1" t="s">
        <v>90</v>
      </c>
      <c r="E18" s="33">
        <f>E15*E17</f>
        <v>133880.00625000001</v>
      </c>
      <c r="G18" s="33">
        <f>G15*G17</f>
        <v>121979.56125</v>
      </c>
      <c r="I18" s="33">
        <f>I15*I17</f>
        <v>119004.45</v>
      </c>
      <c r="K18" s="33">
        <f>K15*K17</f>
        <v>119004.45</v>
      </c>
      <c r="M18" s="33">
        <f>M15*M17</f>
        <v>119004.45</v>
      </c>
      <c r="O18" s="33">
        <f>O15*O17</f>
        <v>119004.45</v>
      </c>
    </row>
    <row r="19" spans="3:15" s="1" customFormat="1" x14ac:dyDescent="0.25"/>
    <row r="20" spans="3:15" s="1" customFormat="1" x14ac:dyDescent="0.25">
      <c r="C20" s="1" t="s">
        <v>92</v>
      </c>
    </row>
    <row r="21" spans="3:15" s="1" customFormat="1" x14ac:dyDescent="0.25">
      <c r="C21" s="1" t="s">
        <v>93</v>
      </c>
      <c r="E21" s="16">
        <v>4.4999999999999998E-2</v>
      </c>
      <c r="G21" s="16">
        <f>E21</f>
        <v>4.4999999999999998E-2</v>
      </c>
      <c r="I21" s="16">
        <f>G21</f>
        <v>4.4999999999999998E-2</v>
      </c>
      <c r="K21" s="16">
        <f>I21</f>
        <v>4.4999999999999998E-2</v>
      </c>
      <c r="M21" s="16">
        <f>I21</f>
        <v>4.4999999999999998E-2</v>
      </c>
      <c r="O21" s="16">
        <f>K21</f>
        <v>4.4999999999999998E-2</v>
      </c>
    </row>
    <row r="22" spans="3:15" s="1" customFormat="1" x14ac:dyDescent="0.25">
      <c r="C22" s="1" t="s">
        <v>94</v>
      </c>
      <c r="E22" s="33">
        <f>IF(E15&gt;500000,500000*E21,E15*E21)</f>
        <v>22500</v>
      </c>
      <c r="G22" s="33">
        <f>IF(G15&gt;500000,500000*G21,G15*G21)</f>
        <v>22500</v>
      </c>
      <c r="I22" s="33">
        <f>IF(I15&gt;500000,500000*I21,I15*I21)</f>
        <v>22500</v>
      </c>
      <c r="K22" s="33">
        <f>IF(K15&gt;500000,500000*K21,K15*K21)</f>
        <v>22500</v>
      </c>
      <c r="M22" s="33">
        <f>IF(M15&gt;500000,500000*M21,M15*M21)</f>
        <v>22500</v>
      </c>
      <c r="O22" s="33">
        <f>IF(O15&gt;500000,500000*O21,O15*O21)</f>
        <v>22500</v>
      </c>
    </row>
    <row r="23" spans="3:15" s="1" customFormat="1" x14ac:dyDescent="0.25">
      <c r="C23" s="1" t="s">
        <v>95</v>
      </c>
      <c r="E23" s="54">
        <v>0.11874999999999999</v>
      </c>
      <c r="G23" s="55">
        <f>0.1175/12*9+0.1125/12*3</f>
        <v>0.11624999999999999</v>
      </c>
      <c r="I23" s="55">
        <v>0.115</v>
      </c>
      <c r="K23" s="55">
        <v>0.115</v>
      </c>
      <c r="M23" s="55">
        <v>0.115</v>
      </c>
      <c r="O23" s="55">
        <v>0.115</v>
      </c>
    </row>
    <row r="24" spans="3:15" s="1" customFormat="1" x14ac:dyDescent="0.25">
      <c r="C24" s="1" t="s">
        <v>96</v>
      </c>
      <c r="E24" s="33">
        <f>IF(E15&gt;500000,(E15-500000)*E23,0)</f>
        <v>34836.856249999997</v>
      </c>
      <c r="G24" s="33">
        <f>IF(G15&gt;500000,(G15-500000)*G23,0)</f>
        <v>34103.448749999996</v>
      </c>
      <c r="I24" s="33">
        <f>IF(I15&gt;500000,(I15-500000)*I23,0)</f>
        <v>33736.745000000003</v>
      </c>
      <c r="K24" s="33">
        <f>IF(K15&gt;500000,(K15-500000)*K23,0)</f>
        <v>33736.745000000003</v>
      </c>
      <c r="M24" s="33">
        <f>IF(M15&gt;500000,(M15-500000)*M23,0)</f>
        <v>33736.745000000003</v>
      </c>
      <c r="O24" s="33">
        <f>IF(O15&gt;500000,(O15-500000)*O23,0)</f>
        <v>33736.745000000003</v>
      </c>
    </row>
    <row r="25" spans="3:15" s="1" customFormat="1" x14ac:dyDescent="0.25"/>
    <row r="26" spans="3:15" s="1" customFormat="1" x14ac:dyDescent="0.25">
      <c r="C26" s="1" t="s">
        <v>97</v>
      </c>
      <c r="E26" s="32">
        <f>E18+E22+E24</f>
        <v>191216.86249999999</v>
      </c>
      <c r="G26" s="32">
        <f>G18+G22+G24</f>
        <v>178583.01</v>
      </c>
      <c r="I26" s="32">
        <f>I18+I22+I24</f>
        <v>175241.19500000001</v>
      </c>
      <c r="K26" s="32">
        <f>K18+K22+K24</f>
        <v>175241.19500000001</v>
      </c>
      <c r="M26" s="32">
        <f>M18+M22+M24</f>
        <v>175241.19500000001</v>
      </c>
      <c r="O26" s="32">
        <f>O18+O22+O24</f>
        <v>175241.19500000001</v>
      </c>
    </row>
    <row r="27" spans="3:15" s="1" customFormat="1" x14ac:dyDescent="0.25">
      <c r="C27" s="1" t="s">
        <v>99</v>
      </c>
      <c r="E27" s="56">
        <f>E26/E15</f>
        <v>0.24102064565652795</v>
      </c>
      <c r="G27" s="56">
        <f>G26/G15</f>
        <v>0.22509621699020499</v>
      </c>
      <c r="I27" s="56">
        <f>I26/I15</f>
        <v>0.2208840026570435</v>
      </c>
      <c r="K27" s="56">
        <f>K26/K15</f>
        <v>0.2208840026570435</v>
      </c>
      <c r="M27" s="56">
        <f>M26/M15</f>
        <v>0.2208840026570435</v>
      </c>
      <c r="O27" s="56">
        <f>O26/O15</f>
        <v>0.2208840026570435</v>
      </c>
    </row>
    <row r="28" spans="3:15" s="1" customFormat="1" x14ac:dyDescent="0.25"/>
    <row r="29" spans="3:15" s="1" customFormat="1" x14ac:dyDescent="0.25">
      <c r="C29" s="1" t="s">
        <v>100</v>
      </c>
      <c r="E29" s="33">
        <f>E26/(1-E27)</f>
        <v>251939.47820280999</v>
      </c>
      <c r="G29" s="33">
        <f>G26/(1-G27)</f>
        <v>230458.30194087807</v>
      </c>
      <c r="I29" s="33">
        <f>I26/(1-I27)</f>
        <v>224923.11234479913</v>
      </c>
      <c r="K29" s="33">
        <f>K26/(1-K27)</f>
        <v>224923.11234479913</v>
      </c>
      <c r="M29" s="33">
        <f>M26/(1-M27)</f>
        <v>224923.11234479913</v>
      </c>
      <c r="O29" s="33">
        <f>O26/(1-O27)</f>
        <v>224923.11234479913</v>
      </c>
    </row>
    <row r="30" spans="3:15" s="1" customFormat="1" x14ac:dyDescent="0.25"/>
    <row r="31" spans="3:15" s="1" customFormat="1" x14ac:dyDescent="0.25">
      <c r="C31" s="1" t="s">
        <v>101</v>
      </c>
      <c r="G31" s="32">
        <f>$E$29-G29</f>
        <v>21481.17626193192</v>
      </c>
      <c r="I31" s="32">
        <f>$E$29-I29</f>
        <v>27016.36585801086</v>
      </c>
      <c r="K31" s="32">
        <f>$E$29-K29</f>
        <v>27016.36585801086</v>
      </c>
      <c r="M31" s="32">
        <f>$E$29-M29</f>
        <v>27016.36585801086</v>
      </c>
      <c r="O31" s="32">
        <f>$E$29-O29</f>
        <v>27016.36585801086</v>
      </c>
    </row>
    <row r="32" spans="3:15" s="1" customFormat="1" x14ac:dyDescent="0.25"/>
    <row r="33" spans="3:15" s="1" customFormat="1" x14ac:dyDescent="0.25">
      <c r="C33" s="1" t="s">
        <v>102</v>
      </c>
      <c r="G33" s="34">
        <f>G31/2</f>
        <v>10740.58813096596</v>
      </c>
      <c r="I33" s="34">
        <f>I31/2</f>
        <v>13508.18292900543</v>
      </c>
      <c r="K33" s="34">
        <f>K31/2</f>
        <v>13508.18292900543</v>
      </c>
      <c r="M33" s="34">
        <f>M31/2</f>
        <v>13508.18292900543</v>
      </c>
      <c r="O33" s="34">
        <f>O31/2</f>
        <v>13508.18292900543</v>
      </c>
    </row>
    <row r="34" spans="3:15" s="1" customFormat="1" x14ac:dyDescent="0.25"/>
    <row r="35" spans="3:15" s="1" customFormat="1" x14ac:dyDescent="0.25"/>
    <row r="36" spans="3:15" s="1" customFormat="1" x14ac:dyDescent="0.25"/>
    <row r="37" spans="3:15" s="1" customFormat="1" x14ac:dyDescent="0.25"/>
    <row r="38" spans="3:15" s="1" customFormat="1" x14ac:dyDescent="0.25"/>
    <row r="39" spans="3:15" s="1" customFormat="1" x14ac:dyDescent="0.25"/>
    <row r="40" spans="3:15" s="1" customFormat="1" x14ac:dyDescent="0.25"/>
    <row r="41" spans="3:15" s="1" customFormat="1" x14ac:dyDescent="0.25"/>
    <row r="42" spans="3:15" s="1" customFormat="1" x14ac:dyDescent="0.25"/>
    <row r="43" spans="3:15" s="1" customFormat="1" x14ac:dyDescent="0.25"/>
    <row r="44" spans="3:15" s="1" customFormat="1" x14ac:dyDescent="0.25"/>
    <row r="45" spans="3:15" s="1" customFormat="1" x14ac:dyDescent="0.25"/>
    <row r="46" spans="3:15" s="1" customFormat="1" x14ac:dyDescent="0.25"/>
    <row r="47" spans="3:15" s="1" customFormat="1" x14ac:dyDescent="0.25"/>
    <row r="48" spans="3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</sheetData>
  <sheetProtection password="B400" sheet="1" objects="1" scenarios="1" formatColumns="0" formatRows="0"/>
  <pageMargins left="0.70866141732283505" right="0.70866141732283505" top="0.74803149606299202" bottom="0.74803149606299202" header="0.31496062992126" footer="0.31496062992126"/>
  <pageSetup scale="86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O41"/>
  <sheetViews>
    <sheetView showGridLines="0" topLeftCell="A6" workbookViewId="0">
      <selection sqref="A1:XFD1048576"/>
    </sheetView>
  </sheetViews>
  <sheetFormatPr defaultColWidth="0" defaultRowHeight="15" zeroHeight="1" x14ac:dyDescent="0.25"/>
  <cols>
    <col min="1" max="1" width="15.7109375" style="2" customWidth="1"/>
    <col min="2" max="2" width="9.140625" style="2" hidden="1" customWidth="1"/>
    <col min="3" max="3" width="55.7109375" style="2" customWidth="1"/>
    <col min="4" max="4" width="2.7109375" style="2" customWidth="1"/>
    <col min="5" max="5" width="11.42578125" style="2" bestFit="1" customWidth="1"/>
    <col min="6" max="6" width="2.7109375" style="2" customWidth="1"/>
    <col min="7" max="7" width="13.5703125" style="2" bestFit="1" customWidth="1"/>
    <col min="8" max="8" width="2.7109375" style="2" customWidth="1"/>
    <col min="9" max="9" width="10.5703125" style="2" bestFit="1" customWidth="1"/>
    <col min="10" max="10" width="2.7109375" style="2" customWidth="1"/>
    <col min="11" max="11" width="10.5703125" style="2" bestFit="1" customWidth="1"/>
    <col min="12" max="12" width="2.7109375" style="2" customWidth="1"/>
    <col min="13" max="13" width="10.5703125" style="2" bestFit="1" customWidth="1"/>
    <col min="14" max="14" width="2.7109375" style="2" customWidth="1"/>
    <col min="15" max="15" width="15.5703125" style="2" bestFit="1" customWidth="1"/>
    <col min="16" max="16" width="2.7109375" style="2" customWidth="1"/>
    <col min="17" max="16384" width="0" style="2" hidden="1"/>
  </cols>
  <sheetData>
    <row r="1" spans="1:15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1" customFormat="1" ht="18" x14ac:dyDescent="0.25">
      <c r="C2" s="8" t="str">
        <f>'A1.1 Distributor Information'!C3</f>
        <v>Name of LDC:       Natural Resource Gas Limited</v>
      </c>
    </row>
    <row r="3" spans="1:15" s="1" customFormat="1" ht="18" x14ac:dyDescent="0.25">
      <c r="C3" s="8" t="str">
        <f>'A1.1 Distributor Information'!C4</f>
        <v xml:space="preserve">OEB Application Number:          </v>
      </c>
    </row>
    <row r="4" spans="1:15" s="1" customFormat="1" x14ac:dyDescent="0.25"/>
    <row r="5" spans="1:15" s="1" customFormat="1" x14ac:dyDescent="0.25"/>
    <row r="6" spans="1:15" s="1" customFormat="1" x14ac:dyDescent="0.25"/>
    <row r="7" spans="1:15" s="1" customFormat="1" x14ac:dyDescent="0.25"/>
    <row r="8" spans="1:15" s="1" customFormat="1" x14ac:dyDescent="0.25"/>
    <row r="9" spans="1:15" s="1" customFormat="1" x14ac:dyDescent="0.25"/>
    <row r="10" spans="1:15" s="1" customFormat="1" ht="15.75" x14ac:dyDescent="0.25">
      <c r="C10" s="23" t="s">
        <v>103</v>
      </c>
    </row>
    <row r="11" spans="1:15" s="1" customFormat="1" x14ac:dyDescent="0.25"/>
    <row r="12" spans="1:15" s="1" customFormat="1" x14ac:dyDescent="0.25"/>
    <row r="13" spans="1:15" s="1" customFormat="1" x14ac:dyDescent="0.25"/>
    <row r="14" spans="1:15" s="1" customFormat="1" x14ac:dyDescent="0.25"/>
    <row r="15" spans="1:15" s="1" customFormat="1" ht="30" x14ac:dyDescent="0.25">
      <c r="C15" s="1" t="s">
        <v>0</v>
      </c>
      <c r="E15" s="17" t="s">
        <v>104</v>
      </c>
      <c r="G15" s="17" t="s">
        <v>105</v>
      </c>
      <c r="I15" s="17" t="s">
        <v>106</v>
      </c>
      <c r="K15" s="17" t="s">
        <v>107</v>
      </c>
      <c r="M15" s="17" t="s">
        <v>108</v>
      </c>
      <c r="O15" s="17" t="s">
        <v>109</v>
      </c>
    </row>
    <row r="16" spans="1:15" s="1" customFormat="1" x14ac:dyDescent="0.25">
      <c r="C16" s="1" t="s">
        <v>113</v>
      </c>
      <c r="E16" s="33">
        <f>SUM('B1.3 Current Rev Req From Rates'!O16:O18)</f>
        <v>3756895.5572577827</v>
      </c>
      <c r="G16" s="56">
        <f t="shared" ref="G16:G21" si="0">E16/$E$22</f>
        <v>0.6657275423666752</v>
      </c>
      <c r="I16" s="60">
        <f t="shared" ref="I16:I21" si="1">$I$22*G16</f>
        <v>-8992.7694231662608</v>
      </c>
      <c r="K16" s="60">
        <f>SUM('B1.2 Billing Determinants'!E16:E18)</f>
        <v>7015.916666666667</v>
      </c>
      <c r="M16" s="33">
        <v>12</v>
      </c>
      <c r="O16" s="35">
        <f>ROUND(I16/K16/M16,2)</f>
        <v>-0.11</v>
      </c>
    </row>
    <row r="17" spans="3:15" s="1" customFormat="1" x14ac:dyDescent="0.25">
      <c r="C17" s="1" t="s">
        <v>111</v>
      </c>
      <c r="E17" s="33">
        <f>SUM('B1.3 Current Rev Req From Rates'!O19:O20)</f>
        <v>70468.089874000012</v>
      </c>
      <c r="G17" s="56">
        <f t="shared" si="0"/>
        <v>1.2487051495606184E-2</v>
      </c>
      <c r="I17" s="60">
        <f t="shared" si="1"/>
        <v>-168.67737584655919</v>
      </c>
      <c r="K17" s="60">
        <f>'B1.2 Billing Determinants'!E19</f>
        <v>73</v>
      </c>
      <c r="M17" s="33">
        <v>12</v>
      </c>
      <c r="O17" s="35">
        <f t="shared" ref="O17:O21" si="2">ROUND(I17/K17/M17,2)</f>
        <v>-0.19</v>
      </c>
    </row>
    <row r="18" spans="3:15" s="1" customFormat="1" x14ac:dyDescent="0.25">
      <c r="C18" s="1" t="s">
        <v>17</v>
      </c>
      <c r="E18" s="33">
        <f>'B1.3 Current Rev Req From Rates'!O21</f>
        <v>167322.54155816307</v>
      </c>
      <c r="G18" s="56">
        <f t="shared" si="0"/>
        <v>2.964980598379157E-2</v>
      </c>
      <c r="I18" s="60">
        <f t="shared" si="1"/>
        <v>-400.51500303857637</v>
      </c>
      <c r="K18" s="60">
        <f>'B1.2 Billing Determinants'!E21</f>
        <v>4</v>
      </c>
      <c r="M18" s="33">
        <v>12</v>
      </c>
      <c r="O18" s="35">
        <f t="shared" si="2"/>
        <v>-8.34</v>
      </c>
    </row>
    <row r="19" spans="3:15" s="1" customFormat="1" x14ac:dyDescent="0.25">
      <c r="C19" s="1" t="s">
        <v>110</v>
      </c>
      <c r="E19" s="33">
        <f>SUM('B1.3 Current Rev Req From Rates'!O22:O23)</f>
        <v>63243.790126918931</v>
      </c>
      <c r="G19" s="56">
        <f t="shared" si="0"/>
        <v>1.1206894716519422E-2</v>
      </c>
      <c r="I19" s="60">
        <f t="shared" si="1"/>
        <v>-151.3847838968488</v>
      </c>
      <c r="K19" s="60">
        <f>'B1.2 Billing Determinants'!E22</f>
        <v>23</v>
      </c>
      <c r="M19" s="33">
        <v>12</v>
      </c>
      <c r="O19" s="35">
        <f t="shared" si="2"/>
        <v>-0.55000000000000004</v>
      </c>
    </row>
    <row r="20" spans="3:15" s="1" customFormat="1" x14ac:dyDescent="0.25">
      <c r="C20" s="1" t="s">
        <v>20</v>
      </c>
      <c r="E20" s="33">
        <f>'B1.3 Current Rev Req From Rates'!O24</f>
        <v>75710.493532634078</v>
      </c>
      <c r="G20" s="56">
        <f t="shared" si="0"/>
        <v>1.3416013307444236E-2</v>
      </c>
      <c r="I20" s="60">
        <f t="shared" si="1"/>
        <v>-181.22596193492791</v>
      </c>
      <c r="K20" s="60">
        <f>'B1.2 Billing Determinants'!E24</f>
        <v>5</v>
      </c>
      <c r="M20" s="33">
        <v>12</v>
      </c>
      <c r="O20" s="35">
        <f t="shared" si="2"/>
        <v>-3.02</v>
      </c>
    </row>
    <row r="21" spans="3:15" s="1" customFormat="1" ht="30" x14ac:dyDescent="0.25">
      <c r="C21" s="12" t="s">
        <v>21</v>
      </c>
      <c r="E21" s="33">
        <f>'B1.3 Current Rev Req From Rates'!O25</f>
        <v>1509652.4938720001</v>
      </c>
      <c r="G21" s="56">
        <f t="shared" si="0"/>
        <v>0.26751269212996348</v>
      </c>
      <c r="I21" s="60">
        <f t="shared" si="1"/>
        <v>-3613.6103811222579</v>
      </c>
      <c r="K21" s="60">
        <f>'B1.2 Billing Determinants'!E25</f>
        <v>1</v>
      </c>
      <c r="M21" s="33">
        <v>12</v>
      </c>
      <c r="O21" s="35">
        <f t="shared" si="2"/>
        <v>-301.13</v>
      </c>
    </row>
    <row r="22" spans="3:15" s="1" customFormat="1" ht="15.75" thickBot="1" x14ac:dyDescent="0.3">
      <c r="E22" s="57">
        <f>SUM(E16:E21)</f>
        <v>5643292.9662214983</v>
      </c>
      <c r="G22" s="58">
        <f>SUM(G16:G21)</f>
        <v>1</v>
      </c>
      <c r="I22" s="59">
        <f>-'F1.1 Calc Shared Tax Savings'!O33</f>
        <v>-13508.18292900543</v>
      </c>
      <c r="K22" s="57">
        <f>SUM(K16:K21)</f>
        <v>7121.916666666667</v>
      </c>
    </row>
    <row r="23" spans="3:15" s="1" customFormat="1" x14ac:dyDescent="0.25"/>
    <row r="24" spans="3:15" s="1" customFormat="1" x14ac:dyDescent="0.25"/>
    <row r="25" spans="3:15" s="1" customFormat="1" x14ac:dyDescent="0.25"/>
    <row r="26" spans="3:15" s="1" customFormat="1" x14ac:dyDescent="0.25"/>
    <row r="27" spans="3:15" s="1" customFormat="1" x14ac:dyDescent="0.25"/>
    <row r="28" spans="3:15" s="1" customFormat="1" x14ac:dyDescent="0.25"/>
    <row r="29" spans="3:15" s="1" customFormat="1" x14ac:dyDescent="0.25"/>
    <row r="30" spans="3:15" s="1" customFormat="1" x14ac:dyDescent="0.25"/>
    <row r="31" spans="3:15" s="1" customFormat="1" x14ac:dyDescent="0.25"/>
    <row r="32" spans="3:1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</sheetData>
  <sheetProtection password="B400" sheet="1" objects="1" scenarios="1" formatColumns="0" formatRows="0"/>
  <pageMargins left="0.70866141732283505" right="0.70866141732283505" top="0.74803149606299202" bottom="0.74803149606299202" header="0.31496062992126" footer="0.31496062992126"/>
  <pageSetup scale="76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46"/>
  <sheetViews>
    <sheetView showGridLines="0" topLeftCell="A7" zoomScale="90" zoomScaleNormal="90" workbookViewId="0">
      <selection activeCell="F20" sqref="F20"/>
    </sheetView>
  </sheetViews>
  <sheetFormatPr defaultColWidth="0" defaultRowHeight="15" zeroHeight="1" x14ac:dyDescent="0.25"/>
  <cols>
    <col min="1" max="1" width="15.7109375" style="2" customWidth="1"/>
    <col min="2" max="2" width="14" style="2" hidden="1" customWidth="1"/>
    <col min="3" max="3" width="55.7109375" style="2" customWidth="1"/>
    <col min="4" max="4" width="2.7109375" style="2" customWidth="1"/>
    <col min="5" max="5" width="17.140625" style="2" bestFit="1" customWidth="1"/>
    <col min="6" max="6" width="15.42578125" style="2" bestFit="1" customWidth="1"/>
    <col min="7" max="7" width="15.7109375" style="2" customWidth="1"/>
    <col min="8" max="8" width="16.28515625" style="2" bestFit="1" customWidth="1"/>
    <col min="9" max="9" width="17" style="2" bestFit="1" customWidth="1"/>
    <col min="10" max="10" width="15.85546875" style="2" bestFit="1" customWidth="1"/>
    <col min="11" max="11" width="16.140625" style="2" bestFit="1" customWidth="1"/>
    <col min="12" max="12" width="12.7109375" style="2" bestFit="1" customWidth="1"/>
    <col min="13" max="14" width="15.28515625" style="2" bestFit="1" customWidth="1"/>
    <col min="15" max="15" width="2.7109375" style="2" customWidth="1"/>
    <col min="16" max="16" width="2.7109375" style="2" hidden="1" customWidth="1"/>
    <col min="17" max="16384" width="0" style="2" hidden="1"/>
  </cols>
  <sheetData>
    <row r="1" spans="1:14" ht="15.75" x14ac:dyDescent="0.25">
      <c r="A1" s="1"/>
      <c r="B1" s="1"/>
      <c r="C1" s="7"/>
      <c r="D1" s="7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" customFormat="1" ht="18" x14ac:dyDescent="0.25">
      <c r="C2" s="8" t="str">
        <f>'A1.1 Distributor Information'!C3</f>
        <v>Name of LDC:       Natural Resource Gas Limited</v>
      </c>
      <c r="D2" s="8"/>
    </row>
    <row r="3" spans="1:14" s="1" customFormat="1" ht="18" x14ac:dyDescent="0.25">
      <c r="C3" s="8" t="str">
        <f>'A1.1 Distributor Information'!C4</f>
        <v xml:space="preserve">OEB Application Number:          </v>
      </c>
      <c r="D3" s="8"/>
    </row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x14ac:dyDescent="0.25"/>
    <row r="8" spans="1:14" s="1" customFormat="1" x14ac:dyDescent="0.25"/>
    <row r="9" spans="1:14" s="1" customFormat="1" x14ac:dyDescent="0.25"/>
    <row r="10" spans="1:14" s="1" customFormat="1" ht="20.25" x14ac:dyDescent="0.3">
      <c r="C10" s="9" t="s">
        <v>77</v>
      </c>
      <c r="D10" s="9"/>
    </row>
    <row r="11" spans="1:14" s="1" customFormat="1" x14ac:dyDescent="0.25"/>
    <row r="12" spans="1:14" s="1" customFormat="1" x14ac:dyDescent="0.25"/>
    <row r="13" spans="1:14" s="1" customFormat="1" x14ac:dyDescent="0.25"/>
    <row r="14" spans="1:14" s="1" customFormat="1" ht="15.75" thickBot="1" x14ac:dyDescent="0.3"/>
    <row r="15" spans="1:14" s="97" customFormat="1" ht="48" x14ac:dyDescent="0.2">
      <c r="C15" s="149" t="s">
        <v>0</v>
      </c>
      <c r="D15" s="167"/>
      <c r="E15" s="147" t="s">
        <v>30</v>
      </c>
      <c r="F15" s="144" t="s">
        <v>24</v>
      </c>
      <c r="G15" s="144" t="s">
        <v>25</v>
      </c>
      <c r="H15" s="144" t="s">
        <v>26</v>
      </c>
      <c r="I15" s="144" t="s">
        <v>27</v>
      </c>
      <c r="J15" s="144" t="s">
        <v>6</v>
      </c>
      <c r="K15" s="144" t="s">
        <v>7</v>
      </c>
      <c r="L15" s="144" t="s">
        <v>8</v>
      </c>
      <c r="M15" s="145" t="s">
        <v>9</v>
      </c>
      <c r="N15" s="146" t="s">
        <v>10</v>
      </c>
    </row>
    <row r="16" spans="1:14" s="14" customFormat="1" ht="14.25" x14ac:dyDescent="0.2">
      <c r="C16" s="159" t="s">
        <v>12</v>
      </c>
      <c r="D16" s="156"/>
      <c r="E16" s="128">
        <v>13.5</v>
      </c>
      <c r="F16" s="129">
        <v>15.6601</v>
      </c>
      <c r="G16" s="129">
        <v>10.652699999999999</v>
      </c>
      <c r="H16" s="129"/>
      <c r="I16" s="129"/>
      <c r="J16" s="129"/>
      <c r="K16" s="129"/>
      <c r="L16" s="129">
        <v>3.6299999999999999E-2</v>
      </c>
      <c r="M16" s="129"/>
      <c r="N16" s="143"/>
    </row>
    <row r="17" spans="3:14" s="14" customFormat="1" ht="14.25" x14ac:dyDescent="0.2">
      <c r="C17" s="159" t="s">
        <v>13</v>
      </c>
      <c r="D17" s="156"/>
      <c r="E17" s="128">
        <v>13.5</v>
      </c>
      <c r="F17" s="129">
        <v>15.6601</v>
      </c>
      <c r="G17" s="129">
        <v>10.652699999999999</v>
      </c>
      <c r="H17" s="129"/>
      <c r="I17" s="129"/>
      <c r="J17" s="129"/>
      <c r="K17" s="129"/>
      <c r="L17" s="129">
        <v>3.6299999999999999E-2</v>
      </c>
      <c r="M17" s="129"/>
      <c r="N17" s="141"/>
    </row>
    <row r="18" spans="3:14" s="14" customFormat="1" ht="14.25" x14ac:dyDescent="0.2">
      <c r="C18" s="159" t="s">
        <v>14</v>
      </c>
      <c r="D18" s="156"/>
      <c r="E18" s="128">
        <v>13.5</v>
      </c>
      <c r="F18" s="129">
        <v>15.6601</v>
      </c>
      <c r="G18" s="129">
        <v>10.652699999999999</v>
      </c>
      <c r="H18" s="129"/>
      <c r="I18" s="129"/>
      <c r="J18" s="129"/>
      <c r="K18" s="129"/>
      <c r="L18" s="129">
        <v>3.6299999999999999E-2</v>
      </c>
      <c r="M18" s="129"/>
      <c r="N18" s="141"/>
    </row>
    <row r="19" spans="3:14" s="14" customFormat="1" ht="14.25" x14ac:dyDescent="0.2">
      <c r="C19" s="159" t="s">
        <v>15</v>
      </c>
      <c r="D19" s="156"/>
      <c r="E19" s="128">
        <v>15</v>
      </c>
      <c r="F19" s="129">
        <v>14.5236</v>
      </c>
      <c r="G19" s="129"/>
      <c r="H19" s="129">
        <v>9.4825999999999997</v>
      </c>
      <c r="I19" s="129">
        <v>6.1698000000000004</v>
      </c>
      <c r="J19" s="129"/>
      <c r="K19" s="129"/>
      <c r="L19" s="129">
        <v>3.6299999999999999E-2</v>
      </c>
      <c r="M19" s="129"/>
      <c r="N19" s="141"/>
    </row>
    <row r="20" spans="3:14" s="14" customFormat="1" ht="14.25" x14ac:dyDescent="0.2">
      <c r="C20" s="159" t="s">
        <v>16</v>
      </c>
      <c r="D20" s="156"/>
      <c r="E20" s="128">
        <v>15</v>
      </c>
      <c r="F20" s="129">
        <v>18.306799999999999</v>
      </c>
      <c r="G20" s="129"/>
      <c r="H20" s="142">
        <v>15.696</v>
      </c>
      <c r="I20" s="129">
        <v>15.289899999999999</v>
      </c>
      <c r="J20" s="129"/>
      <c r="K20" s="129"/>
      <c r="L20" s="129">
        <v>3.6299999999999999E-2</v>
      </c>
      <c r="M20" s="129"/>
      <c r="N20" s="141"/>
    </row>
    <row r="21" spans="3:14" s="14" customFormat="1" ht="14.25" x14ac:dyDescent="0.2">
      <c r="C21" s="159" t="s">
        <v>17</v>
      </c>
      <c r="D21" s="156"/>
      <c r="E21" s="128">
        <v>150</v>
      </c>
      <c r="F21" s="129"/>
      <c r="G21" s="129"/>
      <c r="H21" s="129"/>
      <c r="I21" s="129"/>
      <c r="J21" s="142">
        <v>3.8521000000000001</v>
      </c>
      <c r="K21" s="129">
        <v>29.0974</v>
      </c>
      <c r="L21" s="129">
        <v>3.6299999999999999E-2</v>
      </c>
      <c r="M21" s="129">
        <v>7.9412000000000003</v>
      </c>
      <c r="N21" s="141">
        <v>10.9612</v>
      </c>
    </row>
    <row r="22" spans="3:14" s="14" customFormat="1" ht="14.25" x14ac:dyDescent="0.2">
      <c r="C22" s="159" t="s">
        <v>18</v>
      </c>
      <c r="D22" s="156"/>
      <c r="E22" s="128">
        <v>15</v>
      </c>
      <c r="F22" s="129">
        <v>15.1257</v>
      </c>
      <c r="G22" s="129">
        <v>10.521800000000001</v>
      </c>
      <c r="H22" s="129"/>
      <c r="I22" s="129"/>
      <c r="J22" s="129"/>
      <c r="K22" s="129"/>
      <c r="L22" s="129">
        <v>3.6299999999999999E-2</v>
      </c>
      <c r="M22" s="129"/>
      <c r="N22" s="141"/>
    </row>
    <row r="23" spans="3:14" s="14" customFormat="1" ht="14.25" x14ac:dyDescent="0.2">
      <c r="C23" s="159" t="s">
        <v>19</v>
      </c>
      <c r="D23" s="156"/>
      <c r="E23" s="128">
        <v>15</v>
      </c>
      <c r="F23" s="129">
        <v>19.296299999999999</v>
      </c>
      <c r="G23" s="129">
        <v>16.905200000000001</v>
      </c>
      <c r="H23" s="129"/>
      <c r="I23" s="129"/>
      <c r="J23" s="129"/>
      <c r="K23" s="129"/>
      <c r="L23" s="129">
        <v>3.6299999999999999E-2</v>
      </c>
      <c r="M23" s="129"/>
      <c r="N23" s="141"/>
    </row>
    <row r="24" spans="3:14" s="14" customFormat="1" ht="14.25" x14ac:dyDescent="0.2">
      <c r="C24" s="159" t="s">
        <v>20</v>
      </c>
      <c r="D24" s="156"/>
      <c r="E24" s="128">
        <v>150</v>
      </c>
      <c r="F24" s="129"/>
      <c r="G24" s="129"/>
      <c r="H24" s="129"/>
      <c r="I24" s="129"/>
      <c r="J24" s="148">
        <v>7.0068999999999999</v>
      </c>
      <c r="K24" s="140">
        <v>1</v>
      </c>
      <c r="L24" s="129">
        <v>3.6299999999999999E-2</v>
      </c>
      <c r="M24" s="129">
        <v>5.4611999999999998</v>
      </c>
      <c r="N24" s="141">
        <v>8.4611999999999998</v>
      </c>
    </row>
    <row r="25" spans="3:14" s="14" customFormat="1" ht="28.5" x14ac:dyDescent="0.2">
      <c r="C25" s="160" t="s">
        <v>21</v>
      </c>
      <c r="D25" s="157"/>
      <c r="E25" s="128">
        <v>150</v>
      </c>
      <c r="F25" s="129"/>
      <c r="G25" s="129"/>
      <c r="H25" s="129"/>
      <c r="I25" s="129"/>
      <c r="J25" s="142">
        <v>3.7976000000000001</v>
      </c>
      <c r="K25" s="129">
        <v>18.395099999999999</v>
      </c>
      <c r="L25" s="129"/>
      <c r="M25" s="129">
        <v>7.9412000000000003</v>
      </c>
      <c r="N25" s="141">
        <v>10.9612</v>
      </c>
    </row>
    <row r="26" spans="3:14" s="14" customFormat="1" ht="14.25" x14ac:dyDescent="0.2">
      <c r="C26" s="193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5"/>
    </row>
    <row r="27" spans="3:14" s="14" customFormat="1" ht="18.75" thickBot="1" x14ac:dyDescent="0.25">
      <c r="C27" s="196" t="s">
        <v>191</v>
      </c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8"/>
    </row>
    <row r="28" spans="3:14" s="1" customFormat="1" x14ac:dyDescent="0.25"/>
    <row r="29" spans="3:14" s="1" customFormat="1" x14ac:dyDescent="0.25"/>
    <row r="30" spans="3:14" s="1" customFormat="1" x14ac:dyDescent="0.25"/>
    <row r="31" spans="3:14" s="1" customFormat="1" x14ac:dyDescent="0.25"/>
    <row r="32" spans="3:1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</sheetData>
  <sheetProtection password="B400" sheet="1" objects="1" scenarios="1" formatColumns="0" formatRows="0"/>
  <mergeCells count="2">
    <mergeCell ref="C26:N26"/>
    <mergeCell ref="C27:N27"/>
  </mergeCells>
  <pageMargins left="0.70866141732283505" right="0.70866141732283505" top="0.74803149606299202" bottom="0.74803149606299202" header="0.31496062992126" footer="0.31496062992126"/>
  <pageSetup scale="52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43"/>
  <sheetViews>
    <sheetView showGridLines="0" topLeftCell="A13" workbookViewId="0">
      <selection sqref="A1:XFD1048576"/>
    </sheetView>
  </sheetViews>
  <sheetFormatPr defaultColWidth="0" defaultRowHeight="15" zeroHeight="1" x14ac:dyDescent="0.25"/>
  <cols>
    <col min="1" max="1" width="15.7109375" style="2" customWidth="1"/>
    <col min="2" max="2" width="9.140625" style="2" hidden="1" customWidth="1"/>
    <col min="3" max="3" width="55.7109375" style="2" customWidth="1"/>
    <col min="4" max="4" width="2.7109375" style="2" customWidth="1"/>
    <col min="5" max="5" width="12.7109375" style="2" bestFit="1" customWidth="1"/>
    <col min="6" max="6" width="2.7109375" style="2" customWidth="1"/>
    <col min="7" max="7" width="12.7109375" style="2" bestFit="1" customWidth="1"/>
    <col min="8" max="8" width="2.7109375" style="2" customWidth="1"/>
    <col min="9" max="9" width="12.7109375" style="2" bestFit="1" customWidth="1"/>
    <col min="10" max="10" width="2.7109375" style="2" customWidth="1"/>
    <col min="11" max="11" width="11.85546875" style="2" bestFit="1" customWidth="1"/>
    <col min="12" max="12" width="2.7109375" style="2" customWidth="1"/>
    <col min="13" max="13" width="10.5703125" style="2" bestFit="1" customWidth="1"/>
    <col min="14" max="14" width="2.7109375" style="2" customWidth="1"/>
    <col min="15" max="15" width="13.7109375" style="2" bestFit="1" customWidth="1"/>
    <col min="16" max="16" width="2.7109375" style="2" customWidth="1"/>
    <col min="17" max="16384" width="0" style="2" hidden="1"/>
  </cols>
  <sheetData>
    <row r="1" spans="1:15" ht="18.75" customHeight="1" x14ac:dyDescent="0.25">
      <c r="A1" s="1"/>
      <c r="B1" s="1"/>
      <c r="C1" s="7" t="e">
        <f>'A1.1 Distributor Information'!#REF!</f>
        <v>#REF!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1" customFormat="1" ht="18" x14ac:dyDescent="0.25">
      <c r="C2" s="8" t="str">
        <f>'A1.1 Distributor Information'!C3</f>
        <v>Name of LDC:       Natural Resource Gas Limited</v>
      </c>
    </row>
    <row r="3" spans="1:15" s="1" customFormat="1" ht="18" x14ac:dyDescent="0.25">
      <c r="C3" s="8" t="str">
        <f>'A1.1 Distributor Information'!C4</f>
        <v xml:space="preserve">OEB Application Number:          </v>
      </c>
    </row>
    <row r="4" spans="1:15" s="1" customFormat="1" x14ac:dyDescent="0.25"/>
    <row r="5" spans="1:15" s="1" customFormat="1" x14ac:dyDescent="0.25"/>
    <row r="6" spans="1:15" s="1" customFormat="1" x14ac:dyDescent="0.25"/>
    <row r="7" spans="1:15" s="1" customFormat="1" x14ac:dyDescent="0.25"/>
    <row r="8" spans="1:15" s="1" customFormat="1" x14ac:dyDescent="0.25"/>
    <row r="9" spans="1:15" s="1" customFormat="1" x14ac:dyDescent="0.25"/>
    <row r="10" spans="1:15" s="1" customFormat="1" ht="15.75" x14ac:dyDescent="0.25">
      <c r="C10" s="23" t="s">
        <v>165</v>
      </c>
    </row>
    <row r="11" spans="1:15" s="1" customFormat="1" x14ac:dyDescent="0.25"/>
    <row r="12" spans="1:15" s="1" customFormat="1" x14ac:dyDescent="0.25"/>
    <row r="13" spans="1:15" s="1" customFormat="1" x14ac:dyDescent="0.25"/>
    <row r="14" spans="1:15" s="1" customFormat="1" x14ac:dyDescent="0.25"/>
    <row r="15" spans="1:15" s="1" customFormat="1" ht="75" x14ac:dyDescent="0.25">
      <c r="C15" s="23" t="s">
        <v>0</v>
      </c>
      <c r="E15" s="13" t="s">
        <v>166</v>
      </c>
      <c r="G15" s="13" t="s">
        <v>167</v>
      </c>
      <c r="I15" s="13" t="s">
        <v>168</v>
      </c>
      <c r="K15" s="13" t="s">
        <v>170</v>
      </c>
      <c r="M15" s="13" t="s">
        <v>107</v>
      </c>
      <c r="O15" s="13" t="s">
        <v>173</v>
      </c>
    </row>
    <row r="16" spans="1:15" s="1" customFormat="1" ht="15.75" x14ac:dyDescent="0.25">
      <c r="C16" s="23"/>
      <c r="E16" s="13" t="s">
        <v>137</v>
      </c>
      <c r="G16" s="13" t="s">
        <v>140</v>
      </c>
      <c r="I16" s="13" t="s">
        <v>169</v>
      </c>
      <c r="K16" s="1" t="s">
        <v>171</v>
      </c>
      <c r="M16" s="13" t="s">
        <v>172</v>
      </c>
      <c r="O16" s="13" t="s">
        <v>174</v>
      </c>
    </row>
    <row r="17" spans="3:15" s="1" customFormat="1" x14ac:dyDescent="0.25">
      <c r="C17" s="1" t="str">
        <f>'F1.2 Alloc Shared Tax Savings'!C16</f>
        <v>RATE 1 - General Service Rate</v>
      </c>
      <c r="E17" s="112">
        <f>SUM('E1.3 Proposed Rev Req From Rate'!O16:O18)</f>
        <v>3801900.6218353631</v>
      </c>
      <c r="G17" s="112">
        <f>SUM('B1.3 Current Rev Req From Rates'!O16:O18)</f>
        <v>3756895.5572577827</v>
      </c>
      <c r="I17" s="113">
        <f>E17-G17</f>
        <v>45005.06457758043</v>
      </c>
      <c r="K17" s="113">
        <f>I17/12*0</f>
        <v>0</v>
      </c>
      <c r="M17" s="115">
        <f>'F1.2 Alloc Shared Tax Savings'!K16</f>
        <v>7015.916666666667</v>
      </c>
      <c r="O17" s="117">
        <f>ROUND(K17/M17/6,2)</f>
        <v>0</v>
      </c>
    </row>
    <row r="18" spans="3:15" s="1" customFormat="1" x14ac:dyDescent="0.25">
      <c r="C18" s="1" t="str">
        <f>'F1.2 Alloc Shared Tax Savings'!C17</f>
        <v xml:space="preserve">RATE 2 - Seasonal Service </v>
      </c>
      <c r="E18" s="112">
        <f>SUM('E1.3 Proposed Rev Req From Rate'!O19:O20)</f>
        <v>71311.516494327996</v>
      </c>
      <c r="G18" s="112">
        <f>SUM('B1.3 Current Rev Req From Rates'!O19:O20)</f>
        <v>70468.089874000012</v>
      </c>
      <c r="I18" s="113">
        <f t="shared" ref="I18:I22" si="0">E18-G18</f>
        <v>843.42662032798398</v>
      </c>
      <c r="K18" s="113">
        <f t="shared" ref="K18:K22" si="1">I18/12*0</f>
        <v>0</v>
      </c>
      <c r="M18" s="115">
        <f>'F1.2 Alloc Shared Tax Savings'!K17</f>
        <v>73</v>
      </c>
      <c r="O18" s="117">
        <f t="shared" ref="O18:O22" si="2">ROUND(K18/M18/6,2)</f>
        <v>0</v>
      </c>
    </row>
    <row r="19" spans="3:15" s="1" customFormat="1" x14ac:dyDescent="0.25">
      <c r="C19" s="1" t="str">
        <f>'F1.2 Alloc Shared Tax Savings'!C18</f>
        <v>RATE 3 - Special Large Volume Contract Rate</v>
      </c>
      <c r="E19" s="112">
        <f>'E1.3 Proposed Rev Req From Rate'!O21</f>
        <v>169320.84933402785</v>
      </c>
      <c r="G19" s="112">
        <f>'B1.3 Current Rev Req From Rates'!O21</f>
        <v>167322.54155816307</v>
      </c>
      <c r="I19" s="113">
        <f t="shared" si="0"/>
        <v>1998.3077758647851</v>
      </c>
      <c r="K19" s="113">
        <f t="shared" si="1"/>
        <v>0</v>
      </c>
      <c r="M19" s="115">
        <f>'F1.2 Alloc Shared Tax Savings'!K18</f>
        <v>4</v>
      </c>
      <c r="O19" s="117">
        <f t="shared" si="2"/>
        <v>0</v>
      </c>
    </row>
    <row r="20" spans="3:15" s="1" customFormat="1" x14ac:dyDescent="0.25">
      <c r="C20" s="1" t="str">
        <f>'F1.2 Alloc Shared Tax Savings'!C19</f>
        <v>RATE 4 - General Service Peaking</v>
      </c>
      <c r="E20" s="112">
        <f>SUM('E1.3 Proposed Rev Req From Rate'!O22:O23)</f>
        <v>64000.736840396035</v>
      </c>
      <c r="G20" s="112">
        <f>SUM('B1.3 Current Rev Req From Rates'!O22:O23)</f>
        <v>63243.790126918931</v>
      </c>
      <c r="I20" s="113">
        <f t="shared" si="0"/>
        <v>756.94671347710391</v>
      </c>
      <c r="K20" s="113">
        <f t="shared" si="1"/>
        <v>0</v>
      </c>
      <c r="M20" s="115">
        <f>'F1.2 Alloc Shared Tax Savings'!K19</f>
        <v>23</v>
      </c>
      <c r="O20" s="117">
        <f t="shared" si="2"/>
        <v>0</v>
      </c>
    </row>
    <row r="21" spans="3:15" s="1" customFormat="1" x14ac:dyDescent="0.25">
      <c r="C21" s="1" t="str">
        <f>'F1.2 Alloc Shared Tax Savings'!C20</f>
        <v>RATE 5 - Interruptible Peaking Contract Rate</v>
      </c>
      <c r="E21" s="112">
        <f>'E1.3 Proposed Rev Req From Rate'!O24</f>
        <v>76614.893618618531</v>
      </c>
      <c r="G21" s="112">
        <f>'B1.3 Current Rev Req From Rates'!O24</f>
        <v>75710.493532634078</v>
      </c>
      <c r="I21" s="113">
        <f t="shared" si="0"/>
        <v>904.40008598445274</v>
      </c>
      <c r="K21" s="113">
        <f t="shared" si="1"/>
        <v>0</v>
      </c>
      <c r="M21" s="115">
        <f>'F1.2 Alloc Shared Tax Savings'!K20</f>
        <v>5</v>
      </c>
      <c r="O21" s="117">
        <f t="shared" si="2"/>
        <v>0</v>
      </c>
    </row>
    <row r="22" spans="3:15" s="1" customFormat="1" ht="30" x14ac:dyDescent="0.25">
      <c r="C22" s="12" t="str">
        <f>'F1.2 Alloc Shared Tax Savings'!C21</f>
        <v>RATE 6 - Integrated Grain Processors Co-Operative Aylmer Ethanol Production Facility</v>
      </c>
      <c r="E22" s="112">
        <f>'E1.3 Proposed Rev Req From Rate'!O25</f>
        <v>1527768.3237984644</v>
      </c>
      <c r="G22" s="112">
        <f>'B1.3 Current Rev Req From Rates'!O25</f>
        <v>1509652.4938720001</v>
      </c>
      <c r="I22" s="113">
        <f t="shared" si="0"/>
        <v>18115.829926464241</v>
      </c>
      <c r="K22" s="113">
        <f t="shared" si="1"/>
        <v>0</v>
      </c>
      <c r="M22" s="115">
        <f>'F1.2 Alloc Shared Tax Savings'!K21</f>
        <v>1</v>
      </c>
      <c r="O22" s="117">
        <f t="shared" si="2"/>
        <v>0</v>
      </c>
    </row>
    <row r="23" spans="3:15" s="1" customFormat="1" ht="15.75" thickBot="1" x14ac:dyDescent="0.3">
      <c r="E23" s="114">
        <f>SUM(E17:E22)</f>
        <v>5710916.9419211978</v>
      </c>
      <c r="G23" s="114">
        <f>SUM(G17:G22)</f>
        <v>5643292.9662214983</v>
      </c>
      <c r="I23" s="114">
        <f>SUM(I17:I22)</f>
        <v>67623.975699698989</v>
      </c>
      <c r="K23" s="114">
        <f>SUM(K17:K22)</f>
        <v>0</v>
      </c>
      <c r="M23" s="116">
        <f>SUM(M17:M22)</f>
        <v>7121.916666666667</v>
      </c>
    </row>
    <row r="24" spans="3:15" s="1" customFormat="1" x14ac:dyDescent="0.25">
      <c r="E24" s="13"/>
      <c r="I24" s="120">
        <f>I23/G23</f>
        <v>1.1983070186940345E-2</v>
      </c>
    </row>
    <row r="25" spans="3:15" s="1" customFormat="1" x14ac:dyDescent="0.25"/>
    <row r="26" spans="3:15" s="1" customFormat="1" x14ac:dyDescent="0.25"/>
    <row r="27" spans="3:15" s="1" customFormat="1" x14ac:dyDescent="0.25"/>
    <row r="28" spans="3:15" s="1" customFormat="1" x14ac:dyDescent="0.25"/>
    <row r="29" spans="3:15" s="1" customFormat="1" x14ac:dyDescent="0.25"/>
    <row r="30" spans="3:15" s="1" customFormat="1" x14ac:dyDescent="0.25"/>
    <row r="31" spans="3:15" s="1" customFormat="1" x14ac:dyDescent="0.25"/>
    <row r="32" spans="3:1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</sheetData>
  <sheetProtection password="B400" sheet="1" objects="1" scenarios="1" formatColumns="0" formatRows="0"/>
  <pageMargins left="0.7" right="0.7" top="0.75" bottom="0.75" header="0.3" footer="0.3"/>
  <pageSetup scale="75" orientation="landscape" r:id="rId1"/>
  <headerFooter>
    <oddHeader>&amp;RNatural Resource Gas Limited
EB-2013-0183
2013 IRM Application
Application
Page &amp;P &amp;  of  &amp;N
Filed: April 19, 2013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P44"/>
  <sheetViews>
    <sheetView showGridLines="0" topLeftCell="A7" zoomScaleNormal="100" workbookViewId="0">
      <selection activeCell="C10" sqref="C10"/>
    </sheetView>
  </sheetViews>
  <sheetFormatPr defaultColWidth="0" defaultRowHeight="15" zeroHeight="1" x14ac:dyDescent="0.25"/>
  <cols>
    <col min="1" max="1" width="15.7109375" style="2" customWidth="1"/>
    <col min="2" max="2" width="1.7109375" style="2" hidden="1" customWidth="1"/>
    <col min="3" max="3" width="55.7109375" style="2" customWidth="1"/>
    <col min="4" max="4" width="2.7109375" style="2" customWidth="1"/>
    <col min="5" max="5" width="20.140625" style="2" bestFit="1" customWidth="1"/>
    <col min="6" max="6" width="2.7109375" style="2" customWidth="1"/>
    <col min="7" max="7" width="2.7109375" style="2" hidden="1" customWidth="1"/>
    <col min="8" max="14" width="15.7109375" style="2" hidden="1" customWidth="1"/>
    <col min="15" max="16" width="2.7109375" style="2" hidden="1" customWidth="1"/>
    <col min="17" max="16384" width="0" style="2" hidden="1"/>
  </cols>
  <sheetData>
    <row r="1" spans="1:7" ht="15.75" x14ac:dyDescent="0.25">
      <c r="A1" s="1"/>
      <c r="B1" s="1"/>
      <c r="C1" s="7"/>
      <c r="D1" s="7"/>
      <c r="E1" s="1"/>
    </row>
    <row r="2" spans="1:7" s="1" customFormat="1" ht="18" x14ac:dyDescent="0.25">
      <c r="C2" s="8" t="str">
        <f>'A1.1 Distributor Information'!C3</f>
        <v>Name of LDC:       Natural Resource Gas Limited</v>
      </c>
      <c r="D2" s="8"/>
    </row>
    <row r="3" spans="1:7" s="1" customFormat="1" ht="18" x14ac:dyDescent="0.25">
      <c r="C3" s="8" t="str">
        <f>'A1.1 Distributor Information'!C4</f>
        <v xml:space="preserve">OEB Application Number:          </v>
      </c>
      <c r="D3" s="8"/>
    </row>
    <row r="4" spans="1:7" s="1" customFormat="1" x14ac:dyDescent="0.25"/>
    <row r="5" spans="1:7" s="1" customFormat="1" x14ac:dyDescent="0.25"/>
    <row r="6" spans="1:7" s="1" customFormat="1" x14ac:dyDescent="0.25"/>
    <row r="7" spans="1:7" s="1" customFormat="1" x14ac:dyDescent="0.25"/>
    <row r="8" spans="1:7" s="1" customFormat="1" x14ac:dyDescent="0.25"/>
    <row r="9" spans="1:7" s="1" customFormat="1" x14ac:dyDescent="0.25"/>
    <row r="10" spans="1:7" s="1" customFormat="1" ht="20.25" x14ac:dyDescent="0.3">
      <c r="C10" s="4" t="s">
        <v>84</v>
      </c>
      <c r="D10" s="4"/>
    </row>
    <row r="11" spans="1:7" s="1" customFormat="1" x14ac:dyDescent="0.25"/>
    <row r="12" spans="1:7" s="1" customFormat="1" ht="30.75" x14ac:dyDescent="0.25">
      <c r="C12" s="170" t="s">
        <v>79</v>
      </c>
      <c r="D12" s="168"/>
      <c r="E12" s="154" t="s">
        <v>83</v>
      </c>
    </row>
    <row r="13" spans="1:7" s="1" customFormat="1" x14ac:dyDescent="0.25">
      <c r="C13" s="171" t="s">
        <v>80</v>
      </c>
      <c r="D13" s="156"/>
      <c r="E13" s="150" t="s">
        <v>192</v>
      </c>
    </row>
    <row r="14" spans="1:7" s="1" customFormat="1" x14ac:dyDescent="0.25">
      <c r="C14" s="171"/>
      <c r="D14" s="156"/>
      <c r="E14" s="151" t="s">
        <v>112</v>
      </c>
    </row>
    <row r="15" spans="1:7" s="5" customFormat="1" ht="15.75" x14ac:dyDescent="0.25">
      <c r="C15" s="172" t="s">
        <v>0</v>
      </c>
      <c r="D15" s="169"/>
      <c r="E15" s="152"/>
      <c r="G15" s="1"/>
    </row>
    <row r="16" spans="1:7" s="1" customFormat="1" x14ac:dyDescent="0.25">
      <c r="C16" s="171" t="s">
        <v>12</v>
      </c>
      <c r="D16" s="156"/>
      <c r="E16" s="153">
        <f>'F1.2 Alloc Shared Tax Savings'!$O$16</f>
        <v>-0.11</v>
      </c>
    </row>
    <row r="17" spans="3:5" s="1" customFormat="1" x14ac:dyDescent="0.25">
      <c r="C17" s="171" t="s">
        <v>13</v>
      </c>
      <c r="D17" s="156"/>
      <c r="E17" s="153">
        <f>'F1.2 Alloc Shared Tax Savings'!$O$16</f>
        <v>-0.11</v>
      </c>
    </row>
    <row r="18" spans="3:5" s="1" customFormat="1" x14ac:dyDescent="0.25">
      <c r="C18" s="171" t="s">
        <v>14</v>
      </c>
      <c r="D18" s="156"/>
      <c r="E18" s="153">
        <f>'F1.2 Alloc Shared Tax Savings'!$O$16</f>
        <v>-0.11</v>
      </c>
    </row>
    <row r="19" spans="3:5" s="1" customFormat="1" x14ac:dyDescent="0.25">
      <c r="C19" s="171" t="s">
        <v>15</v>
      </c>
      <c r="D19" s="156"/>
      <c r="E19" s="153">
        <f>'F1.2 Alloc Shared Tax Savings'!$O$17</f>
        <v>-0.19</v>
      </c>
    </row>
    <row r="20" spans="3:5" s="1" customFormat="1" x14ac:dyDescent="0.25">
      <c r="C20" s="171" t="s">
        <v>16</v>
      </c>
      <c r="D20" s="156"/>
      <c r="E20" s="153">
        <f>'F1.2 Alloc Shared Tax Savings'!$O$17</f>
        <v>-0.19</v>
      </c>
    </row>
    <row r="21" spans="3:5" s="1" customFormat="1" x14ac:dyDescent="0.25">
      <c r="C21" s="171" t="s">
        <v>17</v>
      </c>
      <c r="D21" s="156"/>
      <c r="E21" s="153">
        <f>'F1.2 Alloc Shared Tax Savings'!$O$18</f>
        <v>-8.34</v>
      </c>
    </row>
    <row r="22" spans="3:5" s="1" customFormat="1" x14ac:dyDescent="0.25">
      <c r="C22" s="171" t="s">
        <v>18</v>
      </c>
      <c r="D22" s="156"/>
      <c r="E22" s="153">
        <f>'F1.2 Alloc Shared Tax Savings'!$O$19</f>
        <v>-0.55000000000000004</v>
      </c>
    </row>
    <row r="23" spans="3:5" s="1" customFormat="1" x14ac:dyDescent="0.25">
      <c r="C23" s="171" t="s">
        <v>19</v>
      </c>
      <c r="D23" s="156"/>
      <c r="E23" s="153">
        <f>'F1.2 Alloc Shared Tax Savings'!$O$19</f>
        <v>-0.55000000000000004</v>
      </c>
    </row>
    <row r="24" spans="3:5" s="1" customFormat="1" x14ac:dyDescent="0.25">
      <c r="C24" s="171" t="s">
        <v>20</v>
      </c>
      <c r="D24" s="156"/>
      <c r="E24" s="153">
        <f>'F1.2 Alloc Shared Tax Savings'!$O$20</f>
        <v>-3.02</v>
      </c>
    </row>
    <row r="25" spans="3:5" s="1" customFormat="1" ht="29.25" x14ac:dyDescent="0.25">
      <c r="C25" s="173" t="s">
        <v>21</v>
      </c>
      <c r="D25" s="157"/>
      <c r="E25" s="153">
        <f>'F1.2 Alloc Shared Tax Savings'!$O$21</f>
        <v>-301.13</v>
      </c>
    </row>
    <row r="26" spans="3:5" s="1" customFormat="1" x14ac:dyDescent="0.25"/>
    <row r="27" spans="3:5" s="1" customFormat="1" x14ac:dyDescent="0.25"/>
    <row r="28" spans="3:5" s="1" customFormat="1" x14ac:dyDescent="0.25"/>
    <row r="29" spans="3:5" s="1" customFormat="1" x14ac:dyDescent="0.25"/>
    <row r="30" spans="3:5" s="1" customFormat="1" x14ac:dyDescent="0.25"/>
    <row r="31" spans="3:5" s="1" customFormat="1" x14ac:dyDescent="0.25"/>
    <row r="32" spans="3: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</sheetData>
  <sheetProtection password="B400" sheet="1" objects="1" scenarios="1" formatColumns="0" formatRows="0"/>
  <pageMargins left="0.70866141732283505" right="0.70866141732283505" top="0.74803149606299202" bottom="0.74803149606299202" header="0.31496062992126" footer="0.31496062992126"/>
  <pageSetup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46"/>
  <sheetViews>
    <sheetView showGridLines="0" topLeftCell="C5" zoomScale="90" zoomScaleNormal="90" workbookViewId="0">
      <selection activeCell="G10" sqref="G10"/>
    </sheetView>
  </sheetViews>
  <sheetFormatPr defaultColWidth="0" defaultRowHeight="15" zeroHeight="1" x14ac:dyDescent="0.25"/>
  <cols>
    <col min="1" max="1" width="15.7109375" style="2" customWidth="1"/>
    <col min="2" max="2" width="14" style="2" hidden="1" customWidth="1"/>
    <col min="3" max="3" width="55.7109375" style="2" customWidth="1"/>
    <col min="4" max="4" width="2.7109375" style="2" customWidth="1"/>
    <col min="5" max="5" width="17.140625" style="181" bestFit="1" customWidth="1"/>
    <col min="6" max="6" width="14.42578125" style="181" bestFit="1" customWidth="1"/>
    <col min="7" max="7" width="10.28515625" style="181" bestFit="1" customWidth="1"/>
    <col min="8" max="9" width="11.5703125" style="181" bestFit="1" customWidth="1"/>
    <col min="10" max="10" width="15.85546875" style="181" bestFit="1" customWidth="1"/>
    <col min="11" max="11" width="16.140625" style="181" bestFit="1" customWidth="1"/>
    <col min="12" max="12" width="12.7109375" style="181" bestFit="1" customWidth="1"/>
    <col min="13" max="14" width="15.28515625" style="181" bestFit="1" customWidth="1"/>
    <col min="15" max="15" width="2.7109375" style="2" customWidth="1"/>
    <col min="16" max="16" width="2.7109375" style="2" hidden="1" customWidth="1"/>
    <col min="17" max="16384" width="0" style="2" hidden="1"/>
  </cols>
  <sheetData>
    <row r="1" spans="1:14" ht="15.75" x14ac:dyDescent="0.25">
      <c r="A1" s="1"/>
      <c r="B1" s="1"/>
      <c r="C1" s="7"/>
      <c r="D1" s="7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1" customFormat="1" ht="18" x14ac:dyDescent="0.25">
      <c r="C2" s="8" t="str">
        <f>'A1.1 Distributor Information'!C3</f>
        <v>Name of LDC:       Natural Resource Gas Limited</v>
      </c>
      <c r="D2" s="8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1" customFormat="1" ht="18" x14ac:dyDescent="0.25">
      <c r="C3" s="8" t="str">
        <f>'A1.1 Distributor Information'!C4</f>
        <v xml:space="preserve">OEB Application Number:          </v>
      </c>
      <c r="D3" s="8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s="1" customFormat="1" x14ac:dyDescent="0.25"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s="1" customFormat="1" x14ac:dyDescent="0.25"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s="1" customFormat="1" x14ac:dyDescent="0.25"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s="1" customFormat="1" x14ac:dyDescent="0.25">
      <c r="E7" s="122"/>
      <c r="F7" s="122"/>
      <c r="G7" s="122"/>
      <c r="H7" s="122"/>
      <c r="I7" s="122"/>
      <c r="J7" s="122"/>
      <c r="K7" s="122"/>
      <c r="L7" s="122"/>
      <c r="M7" s="122"/>
      <c r="N7" s="122"/>
    </row>
    <row r="8" spans="1:14" s="1" customFormat="1" x14ac:dyDescent="0.25"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s="1" customFormat="1" x14ac:dyDescent="0.25"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s="1" customFormat="1" ht="20.25" x14ac:dyDescent="0.3">
      <c r="C10" s="9" t="s">
        <v>193</v>
      </c>
      <c r="D10" s="9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s="1" customFormat="1" x14ac:dyDescent="0.25"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s="1" customFormat="1" x14ac:dyDescent="0.25">
      <c r="C12" s="174" t="s">
        <v>194</v>
      </c>
      <c r="D12" s="174"/>
      <c r="E12" s="174">
        <v>3</v>
      </c>
      <c r="F12" s="174" t="s">
        <v>195</v>
      </c>
      <c r="G12" s="122"/>
      <c r="H12" s="122"/>
      <c r="I12" s="122"/>
      <c r="J12" s="122"/>
      <c r="K12" s="122"/>
      <c r="L12" s="122"/>
      <c r="M12" s="122"/>
      <c r="N12" s="122"/>
    </row>
    <row r="13" spans="1:14" s="1" customFormat="1" x14ac:dyDescent="0.25"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s="1" customFormat="1" ht="15.75" thickBot="1" x14ac:dyDescent="0.3"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s="97" customFormat="1" ht="48" x14ac:dyDescent="0.2">
      <c r="C15" s="149" t="s">
        <v>0</v>
      </c>
      <c r="D15" s="167"/>
      <c r="E15" s="147" t="s">
        <v>30</v>
      </c>
      <c r="F15" s="144" t="s">
        <v>203</v>
      </c>
      <c r="G15" s="144" t="s">
        <v>204</v>
      </c>
      <c r="H15" s="144" t="s">
        <v>205</v>
      </c>
      <c r="I15" s="144" t="s">
        <v>206</v>
      </c>
      <c r="J15" s="144" t="s">
        <v>6</v>
      </c>
      <c r="K15" s="144" t="s">
        <v>7</v>
      </c>
      <c r="L15" s="144" t="s">
        <v>8</v>
      </c>
      <c r="M15" s="145" t="s">
        <v>9</v>
      </c>
      <c r="N15" s="146" t="s">
        <v>10</v>
      </c>
    </row>
    <row r="16" spans="1:14" s="14" customFormat="1" ht="14.25" x14ac:dyDescent="0.2">
      <c r="C16" s="159" t="s">
        <v>12</v>
      </c>
      <c r="D16" s="156"/>
      <c r="E16" s="180">
        <f>IF(ISERROR(3/$E$12),"0", (('E1.1 Proposed Dist Rates '!E16-'B1.1 Current Distribution Rates'!E16))*3/$E$12)</f>
        <v>0</v>
      </c>
      <c r="F16" s="180">
        <f>IF(ISERROR(3/$E$12),"0", (('E1.1 Proposed Dist Rates '!F16-'B1.1 Current Distribution Rates'!F16))*3/$E$12)</f>
        <v>0.2835587046183381</v>
      </c>
      <c r="G16" s="180">
        <f>IF(ISERROR(3/$E$12),"0", (('E1.1 Proposed Dist Rates '!G16-'B1.1 Current Distribution Rates'!G16))*3/$E$12)</f>
        <v>0.12783240000000085</v>
      </c>
      <c r="H16" s="180">
        <f>IF(ISERROR(3/$E$12),"0", (('E1.1 Proposed Dist Rates '!H16-'B1.1 Current Distribution Rates'!H16))*3/$E$12)</f>
        <v>0</v>
      </c>
      <c r="I16" s="180">
        <f>IF(ISERROR(3/$E$12),"0", (('E1.1 Proposed Dist Rates '!I16-'B1.1 Current Distribution Rates'!I16))*3/$E$12)</f>
        <v>0</v>
      </c>
      <c r="J16" s="180">
        <f>IF(ISERROR(3/$E$12),"0", (('E1.1 Proposed Dist Rates '!J16-'B1.1 Current Distribution Rates'!J16))*3/$E$12)</f>
        <v>0</v>
      </c>
      <c r="K16" s="180">
        <f>IF(ISERROR(3/$E$12),"0", (('E1.1 Proposed Dist Rates '!K16-'B1.1 Current Distribution Rates'!K16))*3/$E$12)</f>
        <v>0</v>
      </c>
      <c r="L16" s="180">
        <f>IF(ISERROR(3/$E$12),"0", (('E1.1 Proposed Dist Rates '!L16-'B1.1 Current Distribution Rates'!L16))*3/$E$12)</f>
        <v>0</v>
      </c>
      <c r="M16" s="180">
        <f>IF(ISERROR(3/$E$12),"0", (('E1.1 Proposed Dist Rates '!M16-'B1.1 Current Distribution Rates'!M16))*3/$E$12)</f>
        <v>0</v>
      </c>
      <c r="N16" s="180">
        <f>IF(ISERROR(3/$E$12),"0", (('E1.1 Proposed Dist Rates '!N16-'B1.1 Current Distribution Rates'!N16))*3/$E$12)</f>
        <v>0</v>
      </c>
    </row>
    <row r="17" spans="3:14" s="14" customFormat="1" ht="14.25" x14ac:dyDescent="0.2">
      <c r="C17" s="159" t="s">
        <v>13</v>
      </c>
      <c r="D17" s="156"/>
      <c r="E17" s="180">
        <f>IF(ISERROR(3/$E$12),"0", (('E1.1 Proposed Dist Rates '!E17-'B1.1 Current Distribution Rates'!E17))*3/$E$12)</f>
        <v>0</v>
      </c>
      <c r="F17" s="180">
        <f>IF(ISERROR(3/$E$12),"0", (('E1.1 Proposed Dist Rates '!F17-'B1.1 Current Distribution Rates'!F17))*3/$E$12)</f>
        <v>0.2835587046183381</v>
      </c>
      <c r="G17" s="180">
        <f>IF(ISERROR(3/$E$12),"0", (('E1.1 Proposed Dist Rates '!G17-'B1.1 Current Distribution Rates'!G17))*3/$E$12)</f>
        <v>0.12783240000000085</v>
      </c>
      <c r="H17" s="180">
        <f>IF(ISERROR(3/$E$12),"0", (('E1.1 Proposed Dist Rates '!H17-'B1.1 Current Distribution Rates'!H17))*3/$E$12)</f>
        <v>0</v>
      </c>
      <c r="I17" s="180">
        <f>IF(ISERROR(3/$E$12),"0", (('E1.1 Proposed Dist Rates '!I17-'B1.1 Current Distribution Rates'!I17))*3/$E$12)</f>
        <v>0</v>
      </c>
      <c r="J17" s="180">
        <f>IF(ISERROR(3/$E$12),"0", (('E1.1 Proposed Dist Rates '!J17-'B1.1 Current Distribution Rates'!J17))*3/$E$12)</f>
        <v>0</v>
      </c>
      <c r="K17" s="180">
        <f>IF(ISERROR(3/$E$12),"0", (('E1.1 Proposed Dist Rates '!K17-'B1.1 Current Distribution Rates'!K17))*3/$E$12)</f>
        <v>0</v>
      </c>
      <c r="L17" s="180">
        <f>IF(ISERROR(3/$E$12),"0", (('E1.1 Proposed Dist Rates '!L17-'B1.1 Current Distribution Rates'!L17))*3/$E$12)</f>
        <v>0</v>
      </c>
      <c r="M17" s="180">
        <f>IF(ISERROR(3/$E$12),"0", (('E1.1 Proposed Dist Rates '!M17-'B1.1 Current Distribution Rates'!M17))*3/$E$12)</f>
        <v>0</v>
      </c>
      <c r="N17" s="180">
        <f>IF(ISERROR(3/$E$12),"0", (('E1.1 Proposed Dist Rates '!N17-'B1.1 Current Distribution Rates'!N17))*3/$E$12)</f>
        <v>0</v>
      </c>
    </row>
    <row r="18" spans="3:14" s="14" customFormat="1" ht="14.25" x14ac:dyDescent="0.2">
      <c r="C18" s="159" t="s">
        <v>14</v>
      </c>
      <c r="D18" s="156"/>
      <c r="E18" s="180">
        <f>IF(ISERROR(3/$E$12),"0", (('E1.1 Proposed Dist Rates '!E18-'B1.1 Current Distribution Rates'!E18))*3/$E$12)</f>
        <v>0</v>
      </c>
      <c r="F18" s="180">
        <f>IF(ISERROR(3/$E$12),"0", (('E1.1 Proposed Dist Rates '!F18-'B1.1 Current Distribution Rates'!F18))*3/$E$12)</f>
        <v>0.2835587046183381</v>
      </c>
      <c r="G18" s="180">
        <f>IF(ISERROR(3/$E$12),"0", (('E1.1 Proposed Dist Rates '!G18-'B1.1 Current Distribution Rates'!G18))*3/$E$12)</f>
        <v>0.12783240000000085</v>
      </c>
      <c r="H18" s="180">
        <f>IF(ISERROR(3/$E$12),"0", (('E1.1 Proposed Dist Rates '!H18-'B1.1 Current Distribution Rates'!H18))*3/$E$12)</f>
        <v>0</v>
      </c>
      <c r="I18" s="180">
        <f>IF(ISERROR(3/$E$12),"0", (('E1.1 Proposed Dist Rates '!I18-'B1.1 Current Distribution Rates'!I18))*3/$E$12)</f>
        <v>0</v>
      </c>
      <c r="J18" s="180">
        <f>IF(ISERROR(3/$E$12),"0", (('E1.1 Proposed Dist Rates '!J18-'B1.1 Current Distribution Rates'!J18))*3/$E$12)</f>
        <v>0</v>
      </c>
      <c r="K18" s="180">
        <f>IF(ISERROR(3/$E$12),"0", (('E1.1 Proposed Dist Rates '!K18-'B1.1 Current Distribution Rates'!K18))*3/$E$12)</f>
        <v>0</v>
      </c>
      <c r="L18" s="180">
        <f>IF(ISERROR(3/$E$12),"0", (('E1.1 Proposed Dist Rates '!L18-'B1.1 Current Distribution Rates'!L18))*3/$E$12)</f>
        <v>0</v>
      </c>
      <c r="M18" s="180">
        <f>IF(ISERROR(3/$E$12),"0", (('E1.1 Proposed Dist Rates '!M18-'B1.1 Current Distribution Rates'!M18))*3/$E$12)</f>
        <v>0</v>
      </c>
      <c r="N18" s="180">
        <f>IF(ISERROR(3/$E$12),"0", (('E1.1 Proposed Dist Rates '!N18-'B1.1 Current Distribution Rates'!N18))*3/$E$12)</f>
        <v>0</v>
      </c>
    </row>
    <row r="19" spans="3:14" s="14" customFormat="1" ht="14.25" x14ac:dyDescent="0.2">
      <c r="C19" s="159" t="s">
        <v>15</v>
      </c>
      <c r="D19" s="156"/>
      <c r="E19" s="180">
        <f>IF(ISERROR(3/$E$12),"0", (('E1.1 Proposed Dist Rates '!E19-'B1.1 Current Distribution Rates'!E19))*3/$E$12)</f>
        <v>0</v>
      </c>
      <c r="F19" s="180"/>
      <c r="G19" s="180">
        <f>IF(ISERROR(3/$E$12),"0", (('E1.1 Proposed Dist Rates '!G19-'B1.1 Current Distribution Rates'!G19))*3/$E$12)</f>
        <v>0</v>
      </c>
      <c r="H19" s="180">
        <f>IF(ISERROR(3/$E$12),"0", (('E1.1 Proposed Dist Rates '!H19-'B1.1 Current Distribution Rates'!H19))*3/$E$12)</f>
        <v>0</v>
      </c>
      <c r="I19" s="180">
        <f>IF(ISERROR(3/$E$12),"0", (('E1.1 Proposed Dist Rates '!I19-'B1.1 Current Distribution Rates'!I19))*3/$E$12)</f>
        <v>0</v>
      </c>
      <c r="J19" s="180">
        <f>IF(ISERROR(3/$E$12),"0", (('E1.1 Proposed Dist Rates '!J19-'B1.1 Current Distribution Rates'!J19))*3/$E$12)</f>
        <v>0</v>
      </c>
      <c r="K19" s="180">
        <f>IF(ISERROR(3/$E$12),"0", (('E1.1 Proposed Dist Rates '!K19-'B1.1 Current Distribution Rates'!K19))*3/$E$12)</f>
        <v>0</v>
      </c>
      <c r="L19" s="180">
        <f>IF(ISERROR(3/$E$12),"0", (('E1.1 Proposed Dist Rates '!L19-'B1.1 Current Distribution Rates'!L19))*3/$E$12)</f>
        <v>0</v>
      </c>
      <c r="M19" s="180">
        <f>IF(ISERROR(3/$E$12),"0", (('E1.1 Proposed Dist Rates '!M19-'B1.1 Current Distribution Rates'!M19))*3/$E$12)</f>
        <v>0</v>
      </c>
      <c r="N19" s="180">
        <f>IF(ISERROR(3/$E$12),"0", (('E1.1 Proposed Dist Rates '!N19-'B1.1 Current Distribution Rates'!N19))*3/$E$12)</f>
        <v>0</v>
      </c>
    </row>
    <row r="20" spans="3:14" s="14" customFormat="1" ht="14.25" x14ac:dyDescent="0.2">
      <c r="C20" s="159" t="s">
        <v>16</v>
      </c>
      <c r="D20" s="156"/>
      <c r="E20" s="180">
        <f>IF(ISERROR(3/$E$12),"0", (('E1.1 Proposed Dist Rates '!E20-'B1.1 Current Distribution Rates'!E20))*3/$E$12)</f>
        <v>0</v>
      </c>
      <c r="F20" s="180">
        <f>IF(ISERROR(3/$E$12),"0", (('E1.1 Proposed Dist Rates '!F20-'B1.1 Current Distribution Rates'!F20))*2/$E$12)+IF(ISERROR(3/$E$12),"0", (('E1.1 Proposed Dist Rates '!$F$19-'B1.1 Current Distribution Rates'!$F$19))*1/$E$12)</f>
        <v>0.75594065184231063</v>
      </c>
      <c r="G20" s="180">
        <f>IF(ISERROR(3/$E$12),"0", (('E1.1 Proposed Dist Rates '!G20-'B1.1 Current Distribution Rates'!G20))*3/$E$12)</f>
        <v>0</v>
      </c>
      <c r="H20" s="180">
        <f>IF(ISERROR(3/$E$12),"0", (('E1.1 Proposed Dist Rates '!H20-'B1.1 Current Distribution Rates'!H20))*3/$E$12)</f>
        <v>0</v>
      </c>
      <c r="I20" s="180">
        <f>IF(ISERROR(3/$E$12),"0", (('E1.1 Proposed Dist Rates '!I20-'B1.1 Current Distribution Rates'!I20))*3/$E$12)</f>
        <v>0</v>
      </c>
      <c r="J20" s="180">
        <f>IF(ISERROR(3/$E$12),"0", (('E1.1 Proposed Dist Rates '!J20-'B1.1 Current Distribution Rates'!J20))*3/$E$12)</f>
        <v>0</v>
      </c>
      <c r="K20" s="180">
        <f>IF(ISERROR(3/$E$12),"0", (('E1.1 Proposed Dist Rates '!K20-'B1.1 Current Distribution Rates'!K20))*3/$E$12)</f>
        <v>0</v>
      </c>
      <c r="L20" s="180">
        <f>IF(ISERROR(3/$E$12),"0", (('E1.1 Proposed Dist Rates '!L20-'B1.1 Current Distribution Rates'!L20))*3/$E$12)</f>
        <v>0</v>
      </c>
      <c r="M20" s="180">
        <f>IF(ISERROR(3/$E$12),"0", (('E1.1 Proposed Dist Rates '!M20-'B1.1 Current Distribution Rates'!M20))*3/$E$12)</f>
        <v>0</v>
      </c>
      <c r="N20" s="180">
        <f>IF(ISERROR(3/$E$12),"0", (('E1.1 Proposed Dist Rates '!N20-'B1.1 Current Distribution Rates'!N20))*3/$E$12)</f>
        <v>0</v>
      </c>
    </row>
    <row r="21" spans="3:14" s="14" customFormat="1" ht="14.25" x14ac:dyDescent="0.2">
      <c r="C21" s="159" t="s">
        <v>17</v>
      </c>
      <c r="D21" s="156"/>
      <c r="E21" s="180">
        <f>IF(ISERROR(3/$E$12),"0", (('E1.1 Proposed Dist Rates '!E21-'B1.1 Current Distribution Rates'!E21))*3/$E$12)</f>
        <v>0</v>
      </c>
      <c r="F21" s="180">
        <f>IF(ISERROR(3/$E$12),"0", (('E1.1 Proposed Dist Rates '!F21-'B1.1 Current Distribution Rates'!F21))*3/$E$12)</f>
        <v>0</v>
      </c>
      <c r="G21" s="180">
        <f>IF(ISERROR(3/$E$12),"0", (('E1.1 Proposed Dist Rates '!G21-'B1.1 Current Distribution Rates'!G21))*3/$E$12)</f>
        <v>0</v>
      </c>
      <c r="H21" s="180">
        <f>IF(ISERROR(3/$E$12),"0", (('E1.1 Proposed Dist Rates '!H21-'B1.1 Current Distribution Rates'!H21))*3/$E$12)</f>
        <v>0</v>
      </c>
      <c r="I21" s="180">
        <f>IF(ISERROR(3/$E$12),"0", (('E1.1 Proposed Dist Rates '!I21-'B1.1 Current Distribution Rates'!I21))*3/$E$12)</f>
        <v>0</v>
      </c>
      <c r="J21" s="180">
        <f>IF(ISERROR(3/$E$12),"0", (('E1.1 Proposed Dist Rates '!J21-'B1.1 Current Distribution Rates'!J21))*3/$E$12)</f>
        <v>9.1026675388422351E-2</v>
      </c>
      <c r="K21" s="180">
        <f>IF(ISERROR(3/$E$12),"0", (('E1.1 Proposed Dist Rates '!K21-'B1.1 Current Distribution Rates'!K21))*3/$E$12)</f>
        <v>0</v>
      </c>
      <c r="L21" s="180">
        <f>IF(ISERROR(3/$E$12),"0", (('E1.1 Proposed Dist Rates '!L21-'B1.1 Current Distribution Rates'!L21))*3/$E$12)</f>
        <v>0</v>
      </c>
      <c r="M21" s="180">
        <f>IF(ISERROR(3/$E$12),"0", (('E1.1 Proposed Dist Rates '!M21-'B1.1 Current Distribution Rates'!M21))*3/$E$12)</f>
        <v>0</v>
      </c>
      <c r="N21" s="180">
        <f>IF(ISERROR(3/$E$12),"0", (('E1.1 Proposed Dist Rates '!N21-'B1.1 Current Distribution Rates'!N21))*3/$E$12)</f>
        <v>0</v>
      </c>
    </row>
    <row r="22" spans="3:14" s="14" customFormat="1" ht="14.25" x14ac:dyDescent="0.2">
      <c r="C22" s="159" t="s">
        <v>18</v>
      </c>
      <c r="D22" s="156"/>
      <c r="E22" s="180">
        <f>IF(ISERROR(3/$E$12),"0", (('E1.1 Proposed Dist Rates '!E22-'B1.1 Current Distribution Rates'!E22))*3/$E$12)</f>
        <v>0</v>
      </c>
      <c r="F22" s="180"/>
      <c r="G22" s="180">
        <f>IF(ISERROR(3/$E$12),"0", (('E1.1 Proposed Dist Rates '!G22-'B1.1 Current Distribution Rates'!G22))*3/$E$12)</f>
        <v>0</v>
      </c>
      <c r="H22" s="180">
        <f>IF(ISERROR(3/$E$12),"0", (('E1.1 Proposed Dist Rates '!H22-'B1.1 Current Distribution Rates'!H22))*3/$E$12)</f>
        <v>0</v>
      </c>
      <c r="I22" s="180">
        <f>IF(ISERROR(3/$E$12),"0", (('E1.1 Proposed Dist Rates '!I22-'B1.1 Current Distribution Rates'!I22))*3/$E$12)</f>
        <v>0</v>
      </c>
      <c r="J22" s="180">
        <f>IF(ISERROR(3/$E$12),"0", (('E1.1 Proposed Dist Rates '!J22-'B1.1 Current Distribution Rates'!J22))*3/$E$12)</f>
        <v>0</v>
      </c>
      <c r="K22" s="180">
        <f>IF(ISERROR(3/$E$12),"0", (('E1.1 Proposed Dist Rates '!K22-'B1.1 Current Distribution Rates'!K22))*3/$E$12)</f>
        <v>0</v>
      </c>
      <c r="L22" s="180">
        <f>IF(ISERROR(3/$E$12),"0", (('E1.1 Proposed Dist Rates '!L22-'B1.1 Current Distribution Rates'!L22))*3/$E$12)</f>
        <v>0</v>
      </c>
      <c r="M22" s="180">
        <f>IF(ISERROR(3/$E$12),"0", (('E1.1 Proposed Dist Rates '!M22-'B1.1 Current Distribution Rates'!M22))*3/$E$12)</f>
        <v>0</v>
      </c>
      <c r="N22" s="180">
        <f>IF(ISERROR(3/$E$12),"0", (('E1.1 Proposed Dist Rates '!N22-'B1.1 Current Distribution Rates'!N22))*3/$E$12)</f>
        <v>0</v>
      </c>
    </row>
    <row r="23" spans="3:14" s="14" customFormat="1" ht="14.25" x14ac:dyDescent="0.2">
      <c r="C23" s="159" t="s">
        <v>19</v>
      </c>
      <c r="D23" s="156"/>
      <c r="E23" s="180">
        <f>IF(ISERROR(3/$E$12),"0", (('E1.1 Proposed Dist Rates '!E23-'B1.1 Current Distribution Rates'!E23))*3/$E$12)</f>
        <v>0</v>
      </c>
      <c r="F23" s="180">
        <f>IF(ISERROR(3/$E$12),"0", (('E1.1 Proposed Dist Rates '!$F$22-'B1.1 Current Distribution Rates'!$F$22))*3/$E$12)</f>
        <v>0.34207235820170645</v>
      </c>
      <c r="G23" s="180">
        <f>IF(ISERROR(3/$E$12),"0", (('E1.1 Proposed Dist Rates '!G23-'B1.1 Current Distribution Rates'!G23))*3/$E$12)</f>
        <v>0</v>
      </c>
      <c r="H23" s="180">
        <f>IF(ISERROR(3/$E$12),"0", (('E1.1 Proposed Dist Rates '!H23-'B1.1 Current Distribution Rates'!H23))*3/$E$12)</f>
        <v>0</v>
      </c>
      <c r="I23" s="180">
        <f>IF(ISERROR(3/$E$12),"0", (('E1.1 Proposed Dist Rates '!I23-'B1.1 Current Distribution Rates'!I23))*3/$E$12)</f>
        <v>0</v>
      </c>
      <c r="J23" s="180">
        <f>IF(ISERROR(3/$E$12),"0", (('E1.1 Proposed Dist Rates '!J23-'B1.1 Current Distribution Rates'!J23))*3/$E$12)</f>
        <v>0</v>
      </c>
      <c r="K23" s="180">
        <f>IF(ISERROR(3/$E$12),"0", (('E1.1 Proposed Dist Rates '!K23-'B1.1 Current Distribution Rates'!K23))*3/$E$12)</f>
        <v>0</v>
      </c>
      <c r="L23" s="180">
        <f>IF(ISERROR(3/$E$12),"0", (('E1.1 Proposed Dist Rates '!L23-'B1.1 Current Distribution Rates'!L23))*3/$E$12)</f>
        <v>0</v>
      </c>
      <c r="M23" s="180">
        <f>IF(ISERROR(3/$E$12),"0", (('E1.1 Proposed Dist Rates '!M23-'B1.1 Current Distribution Rates'!M23))*3/$E$12)</f>
        <v>0</v>
      </c>
      <c r="N23" s="180">
        <f>IF(ISERROR(3/$E$12),"0", (('E1.1 Proposed Dist Rates '!N23-'B1.1 Current Distribution Rates'!N23))*3/$E$12)</f>
        <v>0</v>
      </c>
    </row>
    <row r="24" spans="3:14" s="14" customFormat="1" ht="14.25" x14ac:dyDescent="0.2">
      <c r="C24" s="159" t="s">
        <v>20</v>
      </c>
      <c r="D24" s="156"/>
      <c r="E24" s="180">
        <f>IF(ISERROR(3/$E$12),"0", (('E1.1 Proposed Dist Rates '!E24-'B1.1 Current Distribution Rates'!E24))*3/$E$12)</f>
        <v>0</v>
      </c>
      <c r="F24" s="180">
        <f>IF(ISERROR(3/$E$12),"0", (('E1.1 Proposed Dist Rates '!F24-'B1.1 Current Distribution Rates'!F24))*3/$E$12)</f>
        <v>0</v>
      </c>
      <c r="G24" s="180">
        <f>IF(ISERROR(3/$E$12),"0", (('E1.1 Proposed Dist Rates '!G24-'B1.1 Current Distribution Rates'!G24))*3/$E$12)</f>
        <v>0</v>
      </c>
      <c r="H24" s="180">
        <f>IF(ISERROR(3/$E$12),"0", (('E1.1 Proposed Dist Rates '!H24-'B1.1 Current Distribution Rates'!H24))*3/$E$12)</f>
        <v>0</v>
      </c>
      <c r="I24" s="180">
        <f>IF(ISERROR(3/$E$12),"0", (('E1.1 Proposed Dist Rates '!I24-'B1.1 Current Distribution Rates'!I24))*3/$E$12)</f>
        <v>0</v>
      </c>
      <c r="J24" s="180">
        <f>IF(ISERROR(3/$E$12),"0", (('E1.1 Proposed Dist Rates '!J24-'B1.1 Current Distribution Rates'!J24))*3/$E$12)</f>
        <v>9.5485287970319632E-2</v>
      </c>
      <c r="K24" s="180">
        <f>IF(ISERROR(3/$E$12),"0", (('E1.1 Proposed Dist Rates '!K24-'B1.1 Current Distribution Rates'!K24))*3/$E$12)</f>
        <v>0</v>
      </c>
      <c r="L24" s="180">
        <f>IF(ISERROR(3/$E$12),"0", (('E1.1 Proposed Dist Rates '!L24-'B1.1 Current Distribution Rates'!L24))*3/$E$12)</f>
        <v>0</v>
      </c>
      <c r="M24" s="180">
        <f>IF(ISERROR(3/$E$12),"0", (('E1.1 Proposed Dist Rates '!M24-'B1.1 Current Distribution Rates'!M24))*3/$E$12)</f>
        <v>0</v>
      </c>
      <c r="N24" s="180">
        <f>IF(ISERROR(3/$E$12),"0", (('E1.1 Proposed Dist Rates '!N24-'B1.1 Current Distribution Rates'!N24))*3/$E$12)</f>
        <v>0</v>
      </c>
    </row>
    <row r="25" spans="3:14" s="14" customFormat="1" ht="28.5" x14ac:dyDescent="0.2">
      <c r="C25" s="160" t="s">
        <v>21</v>
      </c>
      <c r="D25" s="157"/>
      <c r="E25" s="180">
        <f>IF(ISERROR(3/$E$12),"0", (('E1.1 Proposed Dist Rates '!E25-'B1.1 Current Distribution Rates'!E25))*3/$E$12)</f>
        <v>0</v>
      </c>
      <c r="F25" s="180">
        <f>IF(ISERROR(3/$E$12),"0", (('E1.1 Proposed Dist Rates '!F25-'B1.1 Current Distribution Rates'!F25))*3/$E$12)</f>
        <v>0</v>
      </c>
      <c r="G25" s="180">
        <f>IF(ISERROR(3/$E$12),"0", (('E1.1 Proposed Dist Rates '!G25-'B1.1 Current Distribution Rates'!G25))*3/$E$12)</f>
        <v>0</v>
      </c>
      <c r="H25" s="180">
        <f>IF(ISERROR(3/$E$12),"0", (('E1.1 Proposed Dist Rates '!H25-'B1.1 Current Distribution Rates'!H25))*3/$E$12)</f>
        <v>0</v>
      </c>
      <c r="I25" s="180">
        <f>IF(ISERROR(3/$E$12),"0", (('E1.1 Proposed Dist Rates '!I25-'B1.1 Current Distribution Rates'!I25))*3/$E$12)</f>
        <v>0</v>
      </c>
      <c r="J25" s="180">
        <f>IF(ISERROR(3/$E$12),"0", (('E1.1 Proposed Dist Rates '!J25-'B1.1 Current Distribution Rates'!J25))*3/$E$12)</f>
        <v>4.5635838115134053E-2</v>
      </c>
      <c r="K25" s="180">
        <f>IF(ISERROR(3/$E$12),"0", (('E1.1 Proposed Dist Rates '!K25-'B1.1 Current Distribution Rates'!K25))*3/$E$12)</f>
        <v>0.22074119999999908</v>
      </c>
      <c r="L25" s="180">
        <f>IF(ISERROR(3/$E$12),"0", (('E1.1 Proposed Dist Rates '!L25-'B1.1 Current Distribution Rates'!L25))*3/$E$12)</f>
        <v>0</v>
      </c>
      <c r="M25" s="180">
        <f>IF(ISERROR(3/$E$12),"0", (('E1.1 Proposed Dist Rates '!M25-'B1.1 Current Distribution Rates'!M25))*3/$E$12)</f>
        <v>0</v>
      </c>
      <c r="N25" s="180">
        <f>IF(ISERROR(3/$E$12),"0", (('E1.1 Proposed Dist Rates '!N25-'B1.1 Current Distribution Rates'!N25))*3/$E$12)</f>
        <v>0</v>
      </c>
    </row>
    <row r="26" spans="3:14" s="14" customFormat="1" ht="14.25" x14ac:dyDescent="0.2">
      <c r="C26" s="193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5"/>
    </row>
    <row r="27" spans="3:14" s="14" customFormat="1" ht="18.75" thickBot="1" x14ac:dyDescent="0.25">
      <c r="C27" s="196" t="s">
        <v>191</v>
      </c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8"/>
    </row>
    <row r="28" spans="3:14" s="1" customFormat="1" x14ac:dyDescent="0.25">
      <c r="E28" s="122"/>
      <c r="F28" s="122"/>
      <c r="G28" s="122"/>
      <c r="H28" s="122"/>
      <c r="I28" s="122"/>
      <c r="J28" s="122"/>
      <c r="K28" s="122"/>
      <c r="L28" s="122"/>
      <c r="M28" s="122"/>
      <c r="N28" s="122"/>
    </row>
    <row r="29" spans="3:14" s="1" customFormat="1" x14ac:dyDescent="0.25">
      <c r="E29" s="122"/>
      <c r="F29" s="122"/>
      <c r="G29" s="122"/>
      <c r="H29" s="122"/>
      <c r="I29" s="122"/>
      <c r="J29" s="122"/>
      <c r="K29" s="122"/>
      <c r="L29" s="122"/>
      <c r="M29" s="122"/>
      <c r="N29" s="122"/>
    </row>
    <row r="30" spans="3:14" s="1" customFormat="1" x14ac:dyDescent="0.25">
      <c r="E30" s="122"/>
      <c r="F30" s="122"/>
      <c r="G30" s="122"/>
      <c r="H30" s="122"/>
      <c r="I30" s="122"/>
      <c r="J30" s="122"/>
      <c r="K30" s="122"/>
      <c r="L30" s="122"/>
      <c r="M30" s="122"/>
      <c r="N30" s="122"/>
    </row>
    <row r="31" spans="3:14" s="1" customFormat="1" x14ac:dyDescent="0.25">
      <c r="E31" s="122"/>
      <c r="F31" s="122"/>
      <c r="G31" s="122"/>
      <c r="H31" s="122"/>
      <c r="I31" s="122"/>
      <c r="J31" s="122"/>
      <c r="K31" s="122"/>
      <c r="L31" s="122"/>
      <c r="M31" s="122"/>
      <c r="N31" s="122"/>
    </row>
    <row r="32" spans="3:14" s="1" customFormat="1" x14ac:dyDescent="0.25">
      <c r="E32" s="122"/>
      <c r="F32" s="122"/>
      <c r="G32" s="122"/>
      <c r="H32" s="122"/>
      <c r="I32" s="122"/>
      <c r="J32" s="122"/>
      <c r="K32" s="122"/>
      <c r="L32" s="122"/>
      <c r="M32" s="122"/>
      <c r="N32" s="122"/>
    </row>
    <row r="33" spans="5:14" s="1" customFormat="1" x14ac:dyDescent="0.25">
      <c r="E33" s="122"/>
      <c r="F33" s="122"/>
      <c r="G33" s="122"/>
      <c r="H33" s="122"/>
      <c r="I33" s="122"/>
      <c r="J33" s="122"/>
      <c r="K33" s="122"/>
      <c r="L33" s="122"/>
      <c r="M33" s="122"/>
      <c r="N33" s="122"/>
    </row>
    <row r="34" spans="5:14" s="1" customFormat="1" x14ac:dyDescent="0.25">
      <c r="E34" s="122"/>
      <c r="F34" s="122"/>
      <c r="G34" s="122"/>
      <c r="H34" s="122"/>
      <c r="I34" s="122"/>
      <c r="J34" s="122"/>
      <c r="K34" s="122"/>
      <c r="L34" s="122"/>
      <c r="M34" s="122"/>
      <c r="N34" s="122"/>
    </row>
    <row r="35" spans="5:14" s="1" customFormat="1" x14ac:dyDescent="0.25">
      <c r="E35" s="122"/>
      <c r="F35" s="122"/>
      <c r="G35" s="122"/>
      <c r="H35" s="122"/>
      <c r="I35" s="122"/>
      <c r="J35" s="122"/>
      <c r="K35" s="122"/>
      <c r="L35" s="122"/>
      <c r="M35" s="122"/>
      <c r="N35" s="122"/>
    </row>
    <row r="36" spans="5:14" s="1" customFormat="1" x14ac:dyDescent="0.25">
      <c r="E36" s="122"/>
      <c r="F36" s="122"/>
      <c r="G36" s="122"/>
      <c r="H36" s="122"/>
      <c r="I36" s="122"/>
      <c r="J36" s="122"/>
      <c r="K36" s="122"/>
      <c r="L36" s="122"/>
      <c r="M36" s="122"/>
      <c r="N36" s="122"/>
    </row>
    <row r="37" spans="5:14" s="1" customFormat="1" x14ac:dyDescent="0.25">
      <c r="E37" s="122"/>
      <c r="F37" s="122"/>
      <c r="G37" s="122"/>
      <c r="H37" s="122"/>
      <c r="I37" s="122"/>
      <c r="J37" s="122"/>
      <c r="K37" s="122"/>
      <c r="L37" s="122"/>
      <c r="M37" s="122"/>
      <c r="N37" s="122"/>
    </row>
    <row r="38" spans="5:14" s="1" customFormat="1" x14ac:dyDescent="0.25">
      <c r="E38" s="122"/>
      <c r="F38" s="122"/>
      <c r="G38" s="122"/>
      <c r="H38" s="122"/>
      <c r="I38" s="122"/>
      <c r="J38" s="122"/>
      <c r="K38" s="122"/>
      <c r="L38" s="122"/>
      <c r="M38" s="122"/>
      <c r="N38" s="122"/>
    </row>
    <row r="39" spans="5:14" s="1" customFormat="1" x14ac:dyDescent="0.25">
      <c r="E39" s="122"/>
      <c r="F39" s="122"/>
      <c r="G39" s="122"/>
      <c r="H39" s="122"/>
      <c r="I39" s="122"/>
      <c r="J39" s="122"/>
      <c r="K39" s="122"/>
      <c r="L39" s="122"/>
      <c r="M39" s="122"/>
      <c r="N39" s="122"/>
    </row>
    <row r="40" spans="5:14" s="1" customFormat="1" x14ac:dyDescent="0.25">
      <c r="E40" s="122"/>
      <c r="F40" s="122"/>
      <c r="G40" s="122"/>
      <c r="H40" s="122"/>
      <c r="I40" s="122"/>
      <c r="J40" s="122"/>
      <c r="K40" s="122"/>
      <c r="L40" s="122"/>
      <c r="M40" s="122"/>
      <c r="N40" s="122"/>
    </row>
    <row r="41" spans="5:14" s="1" customFormat="1" x14ac:dyDescent="0.25">
      <c r="E41" s="122"/>
      <c r="F41" s="122"/>
      <c r="G41" s="122"/>
      <c r="H41" s="122"/>
      <c r="I41" s="122"/>
      <c r="J41" s="122"/>
      <c r="K41" s="122"/>
      <c r="L41" s="122"/>
      <c r="M41" s="122"/>
      <c r="N41" s="122"/>
    </row>
    <row r="42" spans="5:14" s="1" customFormat="1" x14ac:dyDescent="0.25">
      <c r="E42" s="122"/>
      <c r="F42" s="122"/>
      <c r="G42" s="122"/>
      <c r="H42" s="122"/>
      <c r="I42" s="122"/>
      <c r="J42" s="122"/>
      <c r="K42" s="122"/>
      <c r="L42" s="122"/>
      <c r="M42" s="122"/>
      <c r="N42" s="122"/>
    </row>
    <row r="43" spans="5:14" s="1" customFormat="1" x14ac:dyDescent="0.25">
      <c r="E43" s="122"/>
      <c r="F43" s="122"/>
      <c r="G43" s="122"/>
      <c r="H43" s="122"/>
      <c r="I43" s="122"/>
      <c r="J43" s="122"/>
      <c r="K43" s="122"/>
      <c r="L43" s="122"/>
      <c r="M43" s="122"/>
      <c r="N43" s="122"/>
    </row>
    <row r="44" spans="5:14" s="1" customFormat="1" x14ac:dyDescent="0.25">
      <c r="E44" s="122"/>
      <c r="F44" s="122"/>
      <c r="G44" s="122"/>
      <c r="H44" s="122"/>
      <c r="I44" s="122"/>
      <c r="J44" s="122"/>
      <c r="K44" s="122"/>
      <c r="L44" s="122"/>
      <c r="M44" s="122"/>
      <c r="N44" s="122"/>
    </row>
    <row r="45" spans="5:14" s="1" customFormat="1" x14ac:dyDescent="0.25">
      <c r="E45" s="122"/>
      <c r="F45" s="122"/>
      <c r="G45" s="122"/>
      <c r="H45" s="122"/>
      <c r="I45" s="122"/>
      <c r="J45" s="122"/>
      <c r="K45" s="122"/>
      <c r="L45" s="122"/>
      <c r="M45" s="122"/>
      <c r="N45" s="122"/>
    </row>
    <row r="46" spans="5:14" s="1" customFormat="1" x14ac:dyDescent="0.25">
      <c r="E46" s="122"/>
      <c r="F46" s="122"/>
      <c r="G46" s="122"/>
      <c r="H46" s="122"/>
      <c r="I46" s="122"/>
      <c r="J46" s="122"/>
      <c r="K46" s="122"/>
      <c r="L46" s="122"/>
      <c r="M46" s="122"/>
      <c r="N46" s="122"/>
    </row>
  </sheetData>
  <sheetProtection formatColumns="0" formatRows="0"/>
  <mergeCells count="2">
    <mergeCell ref="C26:N26"/>
    <mergeCell ref="C27:N27"/>
  </mergeCells>
  <pageMargins left="0.70866141732283505" right="0.70866141732283505" top="0.74803149606299202" bottom="0.74803149606299202" header="0.31496062992126" footer="0.31496062992126"/>
  <pageSetup scale="56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133"/>
  <sheetViews>
    <sheetView showGridLines="0" topLeftCell="A102" zoomScaleNormal="100" workbookViewId="0">
      <selection activeCell="E111" sqref="E111"/>
    </sheetView>
  </sheetViews>
  <sheetFormatPr defaultColWidth="0" defaultRowHeight="15.75" customHeight="1" zeroHeight="1" x14ac:dyDescent="0.25"/>
  <cols>
    <col min="1" max="1" width="15.7109375" style="99" customWidth="1"/>
    <col min="2" max="2" width="9.140625" style="99" hidden="1" customWidth="1"/>
    <col min="3" max="3" width="55.7109375" style="99" customWidth="1"/>
    <col min="4" max="4" width="2.7109375" style="2" customWidth="1"/>
    <col min="5" max="5" width="9.7109375" style="99" bestFit="1" customWidth="1"/>
    <col min="6" max="6" width="14" style="99" bestFit="1" customWidth="1"/>
    <col min="7" max="7" width="2.7109375" style="99" customWidth="1"/>
    <col min="8" max="8" width="16.5703125" style="99" bestFit="1" customWidth="1"/>
    <col min="9" max="9" width="2.7109375" style="99" customWidth="1"/>
    <col min="10" max="10" width="11" style="99" bestFit="1" customWidth="1"/>
    <col min="11" max="11" width="2.7109375" style="99" customWidth="1"/>
    <col min="12" max="12" width="11.7109375" style="99" bestFit="1" customWidth="1"/>
    <col min="13" max="13" width="2.7109375" style="99" customWidth="1"/>
    <col min="14" max="15" width="12.7109375" style="99" hidden="1" customWidth="1"/>
    <col min="16" max="16" width="2.7109375" style="99" hidden="1" customWidth="1"/>
    <col min="17" max="16384" width="0" style="99" hidden="1"/>
  </cols>
  <sheetData>
    <row r="1" spans="1:12" ht="15" x14ac:dyDescent="0.2">
      <c r="A1" s="97"/>
      <c r="B1" s="97"/>
      <c r="C1" s="7"/>
      <c r="D1" s="97"/>
      <c r="E1" s="97"/>
      <c r="F1" s="97"/>
      <c r="G1" s="97"/>
      <c r="H1" s="97"/>
      <c r="I1" s="97"/>
      <c r="J1" s="97"/>
      <c r="K1" s="97"/>
      <c r="L1" s="97"/>
    </row>
    <row r="2" spans="1:12" s="97" customFormat="1" ht="18" x14ac:dyDescent="0.25">
      <c r="C2" s="8" t="str">
        <f>'A1.1 Distributor Information'!C3</f>
        <v>Name of LDC:       Natural Resource Gas Limited</v>
      </c>
    </row>
    <row r="3" spans="1:12" s="97" customFormat="1" ht="18" x14ac:dyDescent="0.25">
      <c r="C3" s="8" t="str">
        <f>'A1.1 Distributor Information'!C4</f>
        <v xml:space="preserve">OEB Application Number:          </v>
      </c>
    </row>
    <row r="4" spans="1:12" s="97" customFormat="1" ht="15" x14ac:dyDescent="0.2"/>
    <row r="5" spans="1:12" s="97" customFormat="1" ht="15" x14ac:dyDescent="0.2"/>
    <row r="6" spans="1:12" s="97" customFormat="1" ht="15" x14ac:dyDescent="0.2"/>
    <row r="7" spans="1:12" s="97" customFormat="1" ht="20.25" x14ac:dyDescent="0.3">
      <c r="C7" s="4" t="s">
        <v>66</v>
      </c>
    </row>
    <row r="8" spans="1:12" s="97" customFormat="1" ht="15" x14ac:dyDescent="0.2"/>
    <row r="9" spans="1:12" s="97" customFormat="1" ht="15" x14ac:dyDescent="0.2"/>
    <row r="10" spans="1:12" s="97" customFormat="1" ht="20.25" x14ac:dyDescent="0.3">
      <c r="C10" s="4" t="s">
        <v>123</v>
      </c>
      <c r="F10" s="100" t="s">
        <v>37</v>
      </c>
      <c r="G10" s="100"/>
      <c r="H10" s="100" t="s">
        <v>57</v>
      </c>
    </row>
    <row r="11" spans="1:12" s="97" customFormat="1" ht="15" x14ac:dyDescent="0.2"/>
    <row r="12" spans="1:12" s="97" customFormat="1" ht="15" x14ac:dyDescent="0.2">
      <c r="C12" s="97" t="s">
        <v>58</v>
      </c>
      <c r="F12" s="101">
        <f>'B1.1 Current Distribution Rates'!E16</f>
        <v>13.5</v>
      </c>
      <c r="H12" s="101">
        <f>'E1.1 Proposed Dist Rates '!E16</f>
        <v>13.5</v>
      </c>
    </row>
    <row r="13" spans="1:12" s="97" customFormat="1" ht="18" x14ac:dyDescent="0.2">
      <c r="C13" s="97" t="s">
        <v>59</v>
      </c>
      <c r="F13" s="102">
        <f>'B1.1 Current Distribution Rates'!F16</f>
        <v>15.6601</v>
      </c>
      <c r="H13" s="102">
        <f>'E1.1 Proposed Dist Rates '!F16</f>
        <v>15.943658704618338</v>
      </c>
    </row>
    <row r="14" spans="1:12" s="97" customFormat="1" ht="18" x14ac:dyDescent="0.2">
      <c r="C14" s="97" t="s">
        <v>60</v>
      </c>
      <c r="F14" s="102">
        <f>'B1.1 Current Distribution Rates'!G16</f>
        <v>10.652699999999999</v>
      </c>
      <c r="H14" s="102">
        <f>'E1.1 Proposed Dist Rates '!G16</f>
        <v>10.7805324</v>
      </c>
    </row>
    <row r="15" spans="1:12" s="97" customFormat="1" ht="15" x14ac:dyDescent="0.2">
      <c r="C15" s="97" t="s">
        <v>61</v>
      </c>
      <c r="F15" s="102">
        <f>'B1.1 Current Distribution Rates'!L16</f>
        <v>3.6299999999999999E-2</v>
      </c>
      <c r="H15" s="102">
        <f>'E1.1 Proposed Dist Rates '!L16</f>
        <v>3.6299999999999999E-2</v>
      </c>
    </row>
    <row r="16" spans="1:12" s="97" customFormat="1" ht="15" x14ac:dyDescent="0.2"/>
    <row r="17" spans="3:14" s="97" customFormat="1" ht="15" x14ac:dyDescent="0.2">
      <c r="C17" s="97" t="s">
        <v>85</v>
      </c>
    </row>
    <row r="18" spans="3:14" s="97" customFormat="1" ht="15" x14ac:dyDescent="0.2">
      <c r="C18" s="97" t="s">
        <v>177</v>
      </c>
      <c r="F18" s="103">
        <f>'C1.1 Current Rate Riders'!$E$16</f>
        <v>-0.11</v>
      </c>
    </row>
    <row r="19" spans="3:14" s="97" customFormat="1" ht="15" x14ac:dyDescent="0.2">
      <c r="C19" s="97" t="s">
        <v>185</v>
      </c>
      <c r="H19" s="103">
        <f>ROUND('F1.3 Proposed Rate Riders'!$E$16,2)</f>
        <v>-0.11</v>
      </c>
    </row>
    <row r="20" spans="3:14" s="97" customFormat="1" ht="18" x14ac:dyDescent="0.2">
      <c r="C20" s="97" t="s">
        <v>196</v>
      </c>
      <c r="H20" s="178">
        <f>'F1.4 Proposed Forgone Rev Rider'!F16</f>
        <v>0.2835587046183381</v>
      </c>
    </row>
    <row r="21" spans="3:14" s="97" customFormat="1" ht="18" x14ac:dyDescent="0.2">
      <c r="C21" s="97" t="s">
        <v>197</v>
      </c>
      <c r="H21" s="178">
        <f>'F1.4 Proposed Forgone Rev Rider'!G16</f>
        <v>0.12783240000000085</v>
      </c>
    </row>
    <row r="22" spans="3:14" s="97" customFormat="1" ht="15" x14ac:dyDescent="0.2"/>
    <row r="23" spans="3:14" s="97" customFormat="1" ht="15" x14ac:dyDescent="0.2">
      <c r="C23" s="97" t="s">
        <v>67</v>
      </c>
    </row>
    <row r="24" spans="3:14" s="97" customFormat="1" ht="18" x14ac:dyDescent="0.2">
      <c r="C24" s="97" t="s">
        <v>59</v>
      </c>
      <c r="E24" s="104">
        <v>2002</v>
      </c>
      <c r="J24" s="176"/>
    </row>
    <row r="25" spans="3:14" s="97" customFormat="1" ht="18.75" x14ac:dyDescent="0.25">
      <c r="C25" s="97" t="s">
        <v>60</v>
      </c>
      <c r="E25" s="104">
        <v>0</v>
      </c>
      <c r="N25" s="21"/>
    </row>
    <row r="26" spans="3:14" s="97" customFormat="1" ht="15" x14ac:dyDescent="0.2"/>
    <row r="27" spans="3:14" s="97" customFormat="1" x14ac:dyDescent="0.25">
      <c r="C27" s="23" t="s">
        <v>86</v>
      </c>
      <c r="E27" s="100" t="s">
        <v>62</v>
      </c>
      <c r="F27" s="100" t="s">
        <v>37</v>
      </c>
      <c r="G27" s="100"/>
      <c r="H27" s="100" t="s">
        <v>57</v>
      </c>
      <c r="J27" s="97" t="s">
        <v>64</v>
      </c>
      <c r="L27" s="105" t="s">
        <v>65</v>
      </c>
    </row>
    <row r="28" spans="3:14" s="97" customFormat="1" ht="15" x14ac:dyDescent="0.2">
      <c r="C28" s="96" t="s">
        <v>58</v>
      </c>
      <c r="E28" s="106">
        <v>12</v>
      </c>
      <c r="F28" s="107">
        <f>F12*E28</f>
        <v>162</v>
      </c>
      <c r="H28" s="101">
        <f>H12*E28</f>
        <v>162</v>
      </c>
      <c r="J28" s="101">
        <f>H28-F28</f>
        <v>0</v>
      </c>
      <c r="L28" s="108">
        <f>IF(ISERROR(J28/F28),0,J28/F28)</f>
        <v>0</v>
      </c>
    </row>
    <row r="29" spans="3:14" s="97" customFormat="1" ht="18" x14ac:dyDescent="0.2">
      <c r="C29" s="96" t="s">
        <v>59</v>
      </c>
      <c r="E29" s="106">
        <f>E24</f>
        <v>2002</v>
      </c>
      <c r="F29" s="107">
        <f>F13*E29/100</f>
        <v>313.51520199999999</v>
      </c>
      <c r="H29" s="101">
        <f>H13*E29/100</f>
        <v>319.1920472664591</v>
      </c>
      <c r="J29" s="101">
        <f t="shared" ref="J29:J32" si="0">H29-F29</f>
        <v>5.6768452664591109</v>
      </c>
      <c r="L29" s="108">
        <f>IF(ISERROR(J29/F29),0,J29/F29)</f>
        <v>1.810708134803336E-2</v>
      </c>
    </row>
    <row r="30" spans="3:14" s="97" customFormat="1" ht="18" x14ac:dyDescent="0.2">
      <c r="C30" s="96" t="s">
        <v>60</v>
      </c>
      <c r="E30" s="106">
        <f>E25</f>
        <v>0</v>
      </c>
      <c r="F30" s="107">
        <f>F14*E30/100</f>
        <v>0</v>
      </c>
      <c r="H30" s="101">
        <f>H14*E30/100</f>
        <v>0</v>
      </c>
      <c r="J30" s="101">
        <f t="shared" si="0"/>
        <v>0</v>
      </c>
      <c r="L30" s="108">
        <f>IF(ISERROR(J30/F30),0,J30/F30)</f>
        <v>0</v>
      </c>
    </row>
    <row r="31" spans="3:14" s="97" customFormat="1" ht="15" x14ac:dyDescent="0.2">
      <c r="C31" s="96" t="s">
        <v>61</v>
      </c>
      <c r="E31" s="106">
        <f>SUM(E29:E30)</f>
        <v>2002</v>
      </c>
      <c r="F31" s="107">
        <f>ROUND(F15*E31/100,2)</f>
        <v>0.73</v>
      </c>
      <c r="H31" s="101">
        <f>ROUND(H15*E31/100,2)</f>
        <v>0.73</v>
      </c>
      <c r="J31" s="101">
        <f t="shared" si="0"/>
        <v>0</v>
      </c>
      <c r="L31" s="108">
        <f>IF(ISERROR(J31/F31),0,J31/F31)</f>
        <v>0</v>
      </c>
    </row>
    <row r="32" spans="3:14" s="97" customFormat="1" x14ac:dyDescent="0.25">
      <c r="C32" s="23" t="s">
        <v>63</v>
      </c>
      <c r="F32" s="66">
        <f>SUM(F28:F31)</f>
        <v>476.24520200000001</v>
      </c>
      <c r="H32" s="66">
        <f>SUM(H28:H31)</f>
        <v>481.92204726645912</v>
      </c>
      <c r="J32" s="67">
        <f t="shared" si="0"/>
        <v>5.6768452664591109</v>
      </c>
      <c r="L32" s="68">
        <f>IF(ISERROR(J32/F32),0,J32/F32)</f>
        <v>1.1920005162506835E-2</v>
      </c>
    </row>
    <row r="33" spans="3:12" s="97" customFormat="1" ht="15" x14ac:dyDescent="0.2"/>
    <row r="34" spans="3:12" s="97" customFormat="1" x14ac:dyDescent="0.25">
      <c r="C34" s="23" t="s">
        <v>85</v>
      </c>
    </row>
    <row r="35" spans="3:12" s="97" customFormat="1" ht="15" x14ac:dyDescent="0.2"/>
    <row r="36" spans="3:12" s="97" customFormat="1" x14ac:dyDescent="0.25">
      <c r="C36" s="23" t="s">
        <v>85</v>
      </c>
      <c r="E36" s="100" t="s">
        <v>62</v>
      </c>
      <c r="F36" s="100" t="s">
        <v>37</v>
      </c>
      <c r="G36" s="100"/>
      <c r="H36" s="100" t="s">
        <v>57</v>
      </c>
      <c r="J36" s="97" t="s">
        <v>64</v>
      </c>
      <c r="L36" s="105" t="s">
        <v>65</v>
      </c>
    </row>
    <row r="37" spans="3:12" s="97" customFormat="1" ht="15" x14ac:dyDescent="0.2">
      <c r="C37" s="96" t="s">
        <v>177</v>
      </c>
      <c r="E37" s="109">
        <v>12</v>
      </c>
      <c r="F37" s="103">
        <f>F18*E37</f>
        <v>-1.32</v>
      </c>
      <c r="G37" s="110"/>
      <c r="H37" s="103">
        <v>0</v>
      </c>
      <c r="I37" s="110"/>
      <c r="J37" s="103">
        <f>H37-F37</f>
        <v>1.32</v>
      </c>
      <c r="L37" s="108">
        <f t="shared" ref="L37" si="1">IF(ISERROR(J37/F37),1,J37/F37)</f>
        <v>-1</v>
      </c>
    </row>
    <row r="38" spans="3:12" s="97" customFormat="1" ht="15" x14ac:dyDescent="0.2">
      <c r="C38" s="96" t="s">
        <v>185</v>
      </c>
      <c r="E38" s="109">
        <f>IF('F1.4 Proposed Forgone Rev Rider'!$E$12=0,12,12+'F1.4 Proposed Forgone Rev Rider'!$E$12)</f>
        <v>15</v>
      </c>
      <c r="F38" s="103">
        <v>0</v>
      </c>
      <c r="G38" s="110"/>
      <c r="H38" s="103">
        <f>H19*E38</f>
        <v>-1.65</v>
      </c>
      <c r="I38" s="110"/>
      <c r="J38" s="103">
        <f t="shared" ref="J38:J40" si="2">H38-F38</f>
        <v>-1.65</v>
      </c>
      <c r="L38" s="108">
        <f>IF(ISERROR(J38/F38),1,J38/F38)</f>
        <v>1</v>
      </c>
    </row>
    <row r="39" spans="3:12" s="97" customFormat="1" ht="18" x14ac:dyDescent="0.2">
      <c r="C39" s="97" t="s">
        <v>198</v>
      </c>
      <c r="E39" s="106">
        <f>E24/12*'F1.4 Proposed Forgone Rev Rider'!$E$12</f>
        <v>500.5</v>
      </c>
      <c r="F39" s="103"/>
      <c r="G39" s="110"/>
      <c r="H39" s="103">
        <f>E39*H20/100</f>
        <v>1.4192113166147822</v>
      </c>
      <c r="I39" s="110"/>
      <c r="J39" s="103">
        <f t="shared" si="2"/>
        <v>1.4192113166147822</v>
      </c>
      <c r="L39" s="108">
        <f t="shared" ref="L39:L40" si="3">IF(ISERROR(J39/F39),1,J39/F39)</f>
        <v>1</v>
      </c>
    </row>
    <row r="40" spans="3:12" s="97" customFormat="1" ht="18" x14ac:dyDescent="0.2">
      <c r="C40" s="97" t="s">
        <v>199</v>
      </c>
      <c r="E40" s="106">
        <f>E25/12*'F1.4 Proposed Forgone Rev Rider'!$E$12</f>
        <v>0</v>
      </c>
      <c r="F40" s="103"/>
      <c r="G40" s="110"/>
      <c r="H40" s="103">
        <f>E40*H21/100</f>
        <v>0</v>
      </c>
      <c r="I40" s="110"/>
      <c r="J40" s="103">
        <f t="shared" si="2"/>
        <v>0</v>
      </c>
      <c r="L40" s="108">
        <f t="shared" si="3"/>
        <v>1</v>
      </c>
    </row>
    <row r="41" spans="3:12" s="97" customFormat="1" x14ac:dyDescent="0.25">
      <c r="C41" s="29" t="s">
        <v>87</v>
      </c>
      <c r="F41" s="69">
        <f>SUM(F37:F40)</f>
        <v>-1.32</v>
      </c>
      <c r="H41" s="69">
        <f>SUM(H37:H40)</f>
        <v>-0.23078868338521774</v>
      </c>
      <c r="J41" s="69">
        <f>SUM(J37:J40)</f>
        <v>1.0892113166147823</v>
      </c>
      <c r="L41" s="68">
        <f t="shared" ref="L41" si="4">IF(ISERROR(J41/F41),0,J41/F41)</f>
        <v>-0.82516008834453203</v>
      </c>
    </row>
    <row r="42" spans="3:12" s="97" customFormat="1" ht="15" x14ac:dyDescent="0.2">
      <c r="C42" s="96"/>
    </row>
    <row r="43" spans="3:12" s="97" customFormat="1" ht="16.5" thickBot="1" x14ac:dyDescent="0.3">
      <c r="C43" s="29" t="s">
        <v>88</v>
      </c>
      <c r="F43" s="70">
        <f>SUM(F32,F41)</f>
        <v>474.92520200000001</v>
      </c>
      <c r="H43" s="70">
        <f>SUM(H32,H41)</f>
        <v>481.69125858307387</v>
      </c>
      <c r="J43" s="71">
        <f>SUM(J32,J41)</f>
        <v>6.766056583073893</v>
      </c>
      <c r="L43" s="72">
        <f>IF(ISERROR(J43/F43),0,J43/F43)</f>
        <v>1.4246573048936437E-2</v>
      </c>
    </row>
    <row r="44" spans="3:12" s="97" customFormat="1" ht="15" x14ac:dyDescent="0.2"/>
    <row r="45" spans="3:12" s="97" customFormat="1" ht="20.25" x14ac:dyDescent="0.3">
      <c r="C45" s="4" t="s">
        <v>124</v>
      </c>
      <c r="F45" s="100" t="s">
        <v>37</v>
      </c>
      <c r="G45" s="100"/>
      <c r="H45" s="100" t="s">
        <v>57</v>
      </c>
    </row>
    <row r="46" spans="3:12" s="97" customFormat="1" ht="15" x14ac:dyDescent="0.2"/>
    <row r="47" spans="3:12" s="97" customFormat="1" ht="15" x14ac:dyDescent="0.2">
      <c r="C47" s="97" t="s">
        <v>58</v>
      </c>
      <c r="F47" s="101">
        <f>'B1.1 Current Distribution Rates'!E17</f>
        <v>13.5</v>
      </c>
      <c r="H47" s="101">
        <f>'E1.1 Proposed Dist Rates '!E17</f>
        <v>13.5</v>
      </c>
    </row>
    <row r="48" spans="3:12" s="97" customFormat="1" ht="18" x14ac:dyDescent="0.2">
      <c r="C48" s="97" t="s">
        <v>59</v>
      </c>
      <c r="F48" s="102">
        <f>'B1.1 Current Distribution Rates'!F17</f>
        <v>15.6601</v>
      </c>
      <c r="H48" s="102">
        <f>'E1.1 Proposed Dist Rates '!F17</f>
        <v>15.943658704618338</v>
      </c>
    </row>
    <row r="49" spans="3:12" s="97" customFormat="1" ht="18" x14ac:dyDescent="0.2">
      <c r="C49" s="97" t="s">
        <v>60</v>
      </c>
      <c r="F49" s="102">
        <f>'B1.1 Current Distribution Rates'!G17</f>
        <v>10.652699999999999</v>
      </c>
      <c r="H49" s="102">
        <f>'E1.1 Proposed Dist Rates '!G17</f>
        <v>10.7805324</v>
      </c>
    </row>
    <row r="50" spans="3:12" s="97" customFormat="1" ht="15" x14ac:dyDescent="0.2">
      <c r="C50" s="97" t="s">
        <v>61</v>
      </c>
      <c r="F50" s="102">
        <f>'B1.1 Current Distribution Rates'!L16</f>
        <v>3.6299999999999999E-2</v>
      </c>
      <c r="H50" s="102">
        <f>'E1.1 Proposed Dist Rates '!L17</f>
        <v>3.6299999999999999E-2</v>
      </c>
    </row>
    <row r="51" spans="3:12" s="97" customFormat="1" ht="15" x14ac:dyDescent="0.2">
      <c r="F51" s="111"/>
      <c r="H51" s="111"/>
    </row>
    <row r="52" spans="3:12" s="97" customFormat="1" ht="15" x14ac:dyDescent="0.2">
      <c r="C52" s="97" t="s">
        <v>85</v>
      </c>
    </row>
    <row r="53" spans="3:12" s="97" customFormat="1" ht="15" x14ac:dyDescent="0.2">
      <c r="C53" s="97" t="s">
        <v>177</v>
      </c>
      <c r="F53" s="101">
        <f>'C1.1 Current Rate Riders'!$E$17</f>
        <v>-0.11</v>
      </c>
    </row>
    <row r="54" spans="3:12" s="97" customFormat="1" ht="15" x14ac:dyDescent="0.2">
      <c r="C54" s="97" t="s">
        <v>185</v>
      </c>
      <c r="H54" s="103">
        <f>ROUND('F1.3 Proposed Rate Riders'!E17,2)</f>
        <v>-0.11</v>
      </c>
    </row>
    <row r="55" spans="3:12" s="97" customFormat="1" ht="18" x14ac:dyDescent="0.2">
      <c r="C55" s="97" t="s">
        <v>196</v>
      </c>
      <c r="H55" s="178">
        <f>'F1.4 Proposed Forgone Rev Rider'!F17</f>
        <v>0.2835587046183381</v>
      </c>
    </row>
    <row r="56" spans="3:12" s="97" customFormat="1" ht="18" x14ac:dyDescent="0.2">
      <c r="C56" s="97" t="s">
        <v>197</v>
      </c>
      <c r="H56" s="178">
        <f>'F1.4 Proposed Forgone Rev Rider'!G17</f>
        <v>0.12783240000000085</v>
      </c>
    </row>
    <row r="57" spans="3:12" s="97" customFormat="1" x14ac:dyDescent="0.25">
      <c r="H57" s="1"/>
    </row>
    <row r="58" spans="3:12" s="97" customFormat="1" ht="15" x14ac:dyDescent="0.2">
      <c r="C58" s="97" t="s">
        <v>67</v>
      </c>
    </row>
    <row r="59" spans="3:12" s="97" customFormat="1" ht="18" x14ac:dyDescent="0.2">
      <c r="C59" s="97" t="s">
        <v>59</v>
      </c>
      <c r="E59" s="104">
        <v>4252</v>
      </c>
    </row>
    <row r="60" spans="3:12" s="97" customFormat="1" ht="18" x14ac:dyDescent="0.2">
      <c r="C60" s="97" t="s">
        <v>60</v>
      </c>
      <c r="E60" s="104">
        <v>5728</v>
      </c>
    </row>
    <row r="61" spans="3:12" s="97" customFormat="1" ht="15" x14ac:dyDescent="0.2"/>
    <row r="62" spans="3:12" s="97" customFormat="1" ht="15" x14ac:dyDescent="0.2">
      <c r="E62" s="100" t="s">
        <v>62</v>
      </c>
      <c r="F62" s="100" t="s">
        <v>37</v>
      </c>
      <c r="G62" s="100"/>
      <c r="H62" s="100" t="s">
        <v>57</v>
      </c>
      <c r="J62" s="97" t="s">
        <v>64</v>
      </c>
      <c r="L62" s="105" t="s">
        <v>65</v>
      </c>
    </row>
    <row r="63" spans="3:12" s="97" customFormat="1" ht="15" x14ac:dyDescent="0.2">
      <c r="C63" s="97" t="s">
        <v>58</v>
      </c>
      <c r="E63" s="106">
        <v>12</v>
      </c>
      <c r="F63" s="107">
        <f>F47*E63</f>
        <v>162</v>
      </c>
      <c r="H63" s="107">
        <f>H47*E63</f>
        <v>162</v>
      </c>
      <c r="J63" s="107">
        <f>H63-F63</f>
        <v>0</v>
      </c>
      <c r="L63" s="108">
        <f>IF(ISERROR(J63/F63),0,J63/F63)</f>
        <v>0</v>
      </c>
    </row>
    <row r="64" spans="3:12" s="97" customFormat="1" ht="18" x14ac:dyDescent="0.2">
      <c r="C64" s="97" t="s">
        <v>59</v>
      </c>
      <c r="E64" s="106">
        <f>E59</f>
        <v>4252</v>
      </c>
      <c r="F64" s="107">
        <f>F48*E64/100</f>
        <v>665.86745200000007</v>
      </c>
      <c r="H64" s="107">
        <f>H48*E64/100</f>
        <v>677.92436812037181</v>
      </c>
      <c r="J64" s="107">
        <f t="shared" ref="J64:J67" si="5">H64-F64</f>
        <v>12.056916120371739</v>
      </c>
      <c r="L64" s="108">
        <f>IF(ISERROR(J64/F64),0,J64/F64)</f>
        <v>1.8107081348033419E-2</v>
      </c>
    </row>
    <row r="65" spans="3:12" s="97" customFormat="1" ht="18" x14ac:dyDescent="0.2">
      <c r="C65" s="97" t="s">
        <v>60</v>
      </c>
      <c r="E65" s="106">
        <f>E60</f>
        <v>5728</v>
      </c>
      <c r="F65" s="107">
        <f>F49*E65/100</f>
        <v>610.18665599999997</v>
      </c>
      <c r="H65" s="107">
        <f>H49*E65/100</f>
        <v>617.50889587200004</v>
      </c>
      <c r="J65" s="107">
        <f t="shared" si="5"/>
        <v>7.3222398720000683</v>
      </c>
      <c r="L65" s="108">
        <f>IF(ISERROR(J65/F65),0,J65/F65)</f>
        <v>1.2000000000000113E-2</v>
      </c>
    </row>
    <row r="66" spans="3:12" s="97" customFormat="1" ht="15" x14ac:dyDescent="0.2">
      <c r="C66" s="97" t="s">
        <v>61</v>
      </c>
      <c r="E66" s="106">
        <f>SUM(E64:E65)</f>
        <v>9980</v>
      </c>
      <c r="F66" s="107">
        <f>F50*E66/100</f>
        <v>3.6227399999999998</v>
      </c>
      <c r="H66" s="107">
        <f>H50*E66/100</f>
        <v>3.6227399999999998</v>
      </c>
      <c r="J66" s="107">
        <f t="shared" si="5"/>
        <v>0</v>
      </c>
      <c r="L66" s="108">
        <f>IF(ISERROR(J66/F66),0,J66/F66)</f>
        <v>0</v>
      </c>
    </row>
    <row r="67" spans="3:12" s="97" customFormat="1" x14ac:dyDescent="0.25">
      <c r="C67" s="23" t="s">
        <v>63</v>
      </c>
      <c r="F67" s="66">
        <f>SUM(F63:F66)</f>
        <v>1441.6768480000001</v>
      </c>
      <c r="H67" s="66">
        <f>SUM(H63:H66)</f>
        <v>1461.0560039923719</v>
      </c>
      <c r="J67" s="67">
        <f t="shared" si="5"/>
        <v>19.379155992371807</v>
      </c>
      <c r="L67" s="68">
        <f>IF(ISERROR(J67/F67),0,J67/F67)</f>
        <v>1.3442094196945727E-2</v>
      </c>
    </row>
    <row r="68" spans="3:12" s="97" customFormat="1" x14ac:dyDescent="0.25">
      <c r="C68" s="23"/>
      <c r="F68" s="36"/>
      <c r="H68" s="36"/>
      <c r="J68" s="37"/>
      <c r="L68" s="38"/>
    </row>
    <row r="69" spans="3:12" s="97" customFormat="1" x14ac:dyDescent="0.25">
      <c r="C69" s="23" t="s">
        <v>85</v>
      </c>
    </row>
    <row r="70" spans="3:12" s="97" customFormat="1" ht="15" x14ac:dyDescent="0.2"/>
    <row r="71" spans="3:12" s="97" customFormat="1" x14ac:dyDescent="0.25">
      <c r="C71" s="23" t="s">
        <v>85</v>
      </c>
      <c r="E71" s="100" t="s">
        <v>62</v>
      </c>
      <c r="F71" s="100" t="s">
        <v>37</v>
      </c>
      <c r="G71" s="100"/>
      <c r="H71" s="100" t="s">
        <v>57</v>
      </c>
      <c r="J71" s="97" t="s">
        <v>64</v>
      </c>
      <c r="L71" s="108" t="s">
        <v>65</v>
      </c>
    </row>
    <row r="72" spans="3:12" s="97" customFormat="1" ht="15" x14ac:dyDescent="0.2">
      <c r="C72" s="96" t="s">
        <v>177</v>
      </c>
      <c r="E72" s="109">
        <v>12</v>
      </c>
      <c r="F72" s="103">
        <f>F53*E72</f>
        <v>-1.32</v>
      </c>
      <c r="G72" s="110"/>
      <c r="H72" s="103">
        <v>0</v>
      </c>
      <c r="I72" s="110"/>
      <c r="J72" s="103">
        <f>H72-F72</f>
        <v>1.32</v>
      </c>
      <c r="L72" s="108">
        <f t="shared" ref="L72" si="6">IF(ISERROR(J72/F72),1,J72/F72)</f>
        <v>-1</v>
      </c>
    </row>
    <row r="73" spans="3:12" s="97" customFormat="1" ht="15" x14ac:dyDescent="0.2">
      <c r="C73" s="96" t="s">
        <v>185</v>
      </c>
      <c r="E73" s="109">
        <f>IF('F1.4 Proposed Forgone Rev Rider'!$E$12=0,12,12+'F1.4 Proposed Forgone Rev Rider'!$E$12)</f>
        <v>15</v>
      </c>
      <c r="F73" s="103">
        <v>0</v>
      </c>
      <c r="G73" s="110"/>
      <c r="H73" s="103">
        <f>H54*E73</f>
        <v>-1.65</v>
      </c>
      <c r="I73" s="110"/>
      <c r="J73" s="103">
        <f t="shared" ref="J73:J75" si="7">H73-F73</f>
        <v>-1.65</v>
      </c>
      <c r="L73" s="108">
        <f>IF(ISERROR(J73/F73),1,J73/F73)</f>
        <v>1</v>
      </c>
    </row>
    <row r="74" spans="3:12" s="97" customFormat="1" ht="18" x14ac:dyDescent="0.2">
      <c r="C74" s="97" t="s">
        <v>198</v>
      </c>
      <c r="E74" s="106">
        <f>E59/12*'F1.4 Proposed Forgone Rev Rider'!$E$12</f>
        <v>1063</v>
      </c>
      <c r="F74" s="103"/>
      <c r="G74" s="110"/>
      <c r="H74" s="103">
        <f>E74*H55/100</f>
        <v>3.0142290300929342</v>
      </c>
      <c r="I74" s="110"/>
      <c r="J74" s="103">
        <f t="shared" si="7"/>
        <v>3.0142290300929342</v>
      </c>
      <c r="L74" s="108">
        <f t="shared" ref="L74:L75" si="8">IF(ISERROR(J74/F74),1,J74/F74)</f>
        <v>1</v>
      </c>
    </row>
    <row r="75" spans="3:12" s="97" customFormat="1" ht="18" x14ac:dyDescent="0.2">
      <c r="C75" s="97" t="s">
        <v>199</v>
      </c>
      <c r="E75" s="106">
        <f>E60/12*'F1.4 Proposed Forgone Rev Rider'!$E$12</f>
        <v>1432</v>
      </c>
      <c r="F75" s="103"/>
      <c r="G75" s="110"/>
      <c r="H75" s="103">
        <f>E75*H56/100</f>
        <v>1.830559968000012</v>
      </c>
      <c r="I75" s="110"/>
      <c r="J75" s="103">
        <f t="shared" si="7"/>
        <v>1.830559968000012</v>
      </c>
      <c r="L75" s="108">
        <f t="shared" si="8"/>
        <v>1</v>
      </c>
    </row>
    <row r="76" spans="3:12" s="97" customFormat="1" x14ac:dyDescent="0.25">
      <c r="C76" s="29" t="s">
        <v>87</v>
      </c>
      <c r="F76" s="69">
        <f>SUM(F72:F75)</f>
        <v>-1.32</v>
      </c>
      <c r="H76" s="69">
        <f>SUM(H72:H75)</f>
        <v>3.194788998092946</v>
      </c>
      <c r="J76" s="69">
        <f>SUM(J72:J75)</f>
        <v>4.5147889980929463</v>
      </c>
      <c r="L76" s="68">
        <f t="shared" ref="L76" si="9">IF(ISERROR(J76/F76),0,J76/F76)</f>
        <v>-3.4202946955249591</v>
      </c>
    </row>
    <row r="77" spans="3:12" s="97" customFormat="1" ht="15" x14ac:dyDescent="0.2">
      <c r="C77" s="96"/>
    </row>
    <row r="78" spans="3:12" s="97" customFormat="1" ht="16.5" thickBot="1" x14ac:dyDescent="0.3">
      <c r="C78" s="29" t="s">
        <v>88</v>
      </c>
      <c r="F78" s="70">
        <f>SUM(F67,F76)</f>
        <v>1440.3568480000001</v>
      </c>
      <c r="H78" s="70">
        <f>SUM(H67,H76)</f>
        <v>1464.2507929904648</v>
      </c>
      <c r="J78" s="69">
        <f>SUM(J67,J76)</f>
        <v>23.893944990464753</v>
      </c>
      <c r="L78" s="72">
        <f>IF(ISERROR(J78/F78),0,J78/F78)</f>
        <v>1.6588906439152607E-2</v>
      </c>
    </row>
    <row r="79" spans="3:12" s="97" customFormat="1" ht="15.75" customHeight="1" x14ac:dyDescent="0.25">
      <c r="D79" s="1"/>
    </row>
    <row r="80" spans="3:12" s="97" customFormat="1" ht="15.75" customHeight="1" x14ac:dyDescent="0.25">
      <c r="D80" s="1"/>
    </row>
    <row r="81" spans="3:8" s="97" customFormat="1" ht="20.25" x14ac:dyDescent="0.3">
      <c r="C81" s="4" t="s">
        <v>125</v>
      </c>
      <c r="F81" s="100" t="s">
        <v>37</v>
      </c>
      <c r="G81" s="100"/>
      <c r="H81" s="100" t="s">
        <v>57</v>
      </c>
    </row>
    <row r="82" spans="3:8" s="97" customFormat="1" ht="15" x14ac:dyDescent="0.2"/>
    <row r="83" spans="3:8" s="97" customFormat="1" ht="15" x14ac:dyDescent="0.2">
      <c r="C83" s="97" t="s">
        <v>58</v>
      </c>
      <c r="F83" s="101">
        <f>'B1.1 Current Distribution Rates'!E18</f>
        <v>13.5</v>
      </c>
      <c r="H83" s="101">
        <f>'E1.1 Proposed Dist Rates '!E18</f>
        <v>13.5</v>
      </c>
    </row>
    <row r="84" spans="3:8" s="97" customFormat="1" ht="18" x14ac:dyDescent="0.2">
      <c r="C84" s="97" t="s">
        <v>59</v>
      </c>
      <c r="F84" s="102">
        <f>'B1.1 Current Distribution Rates'!F18</f>
        <v>15.6601</v>
      </c>
      <c r="H84" s="102">
        <f>'E1.1 Proposed Dist Rates '!F18</f>
        <v>15.943658704618338</v>
      </c>
    </row>
    <row r="85" spans="3:8" s="97" customFormat="1" ht="18" x14ac:dyDescent="0.2">
      <c r="C85" s="97" t="s">
        <v>60</v>
      </c>
      <c r="F85" s="102">
        <f>'B1.1 Current Distribution Rates'!G18</f>
        <v>10.652699999999999</v>
      </c>
      <c r="H85" s="102">
        <f>'E1.1 Proposed Dist Rates '!G18</f>
        <v>10.7805324</v>
      </c>
    </row>
    <row r="86" spans="3:8" s="97" customFormat="1" ht="15" x14ac:dyDescent="0.2">
      <c r="C86" s="97" t="s">
        <v>61</v>
      </c>
      <c r="F86" s="102">
        <f>'B1.1 Current Distribution Rates'!L18</f>
        <v>3.6299999999999999E-2</v>
      </c>
      <c r="H86" s="102">
        <f>'E1.1 Proposed Dist Rates '!L18</f>
        <v>3.6299999999999999E-2</v>
      </c>
    </row>
    <row r="87" spans="3:8" s="97" customFormat="1" ht="15" x14ac:dyDescent="0.2">
      <c r="F87" s="111"/>
      <c r="H87" s="111"/>
    </row>
    <row r="88" spans="3:8" s="97" customFormat="1" ht="15" x14ac:dyDescent="0.2">
      <c r="C88" s="97" t="s">
        <v>85</v>
      </c>
    </row>
    <row r="89" spans="3:8" s="97" customFormat="1" ht="15" x14ac:dyDescent="0.2">
      <c r="C89" s="97" t="s">
        <v>177</v>
      </c>
      <c r="F89" s="101">
        <f>'C1.1 Current Rate Riders'!E18</f>
        <v>-0.11</v>
      </c>
    </row>
    <row r="90" spans="3:8" s="97" customFormat="1" ht="15" x14ac:dyDescent="0.2">
      <c r="C90" s="97" t="s">
        <v>185</v>
      </c>
      <c r="H90" s="103">
        <f>ROUND('F1.3 Proposed Rate Riders'!E18,2)</f>
        <v>-0.11</v>
      </c>
    </row>
    <row r="91" spans="3:8" s="97" customFormat="1" ht="18" x14ac:dyDescent="0.2">
      <c r="C91" s="97" t="s">
        <v>196</v>
      </c>
      <c r="H91" s="178">
        <f>'F1.4 Proposed Forgone Rev Rider'!F18</f>
        <v>0.2835587046183381</v>
      </c>
    </row>
    <row r="92" spans="3:8" s="97" customFormat="1" ht="18" x14ac:dyDescent="0.2">
      <c r="C92" s="97" t="s">
        <v>197</v>
      </c>
      <c r="H92" s="178">
        <f>'F1.4 Proposed Forgone Rev Rider'!G18</f>
        <v>0.12783240000000085</v>
      </c>
    </row>
    <row r="93" spans="3:8" s="97" customFormat="1" ht="15" x14ac:dyDescent="0.2"/>
    <row r="94" spans="3:8" s="97" customFormat="1" ht="15" x14ac:dyDescent="0.2">
      <c r="C94" s="97" t="s">
        <v>67</v>
      </c>
    </row>
    <row r="95" spans="3:8" s="97" customFormat="1" ht="18" x14ac:dyDescent="0.2">
      <c r="C95" s="97" t="s">
        <v>59</v>
      </c>
      <c r="E95" s="104">
        <v>3122</v>
      </c>
    </row>
    <row r="96" spans="3:8" s="97" customFormat="1" ht="18" x14ac:dyDescent="0.2">
      <c r="C96" s="97" t="s">
        <v>60</v>
      </c>
      <c r="E96" s="104">
        <v>11117</v>
      </c>
    </row>
    <row r="97" spans="3:12" s="97" customFormat="1" ht="15" x14ac:dyDescent="0.2"/>
    <row r="98" spans="3:12" s="97" customFormat="1" ht="15" x14ac:dyDescent="0.2">
      <c r="E98" s="100" t="s">
        <v>62</v>
      </c>
      <c r="F98" s="100" t="s">
        <v>37</v>
      </c>
      <c r="G98" s="100"/>
      <c r="H98" s="100" t="s">
        <v>57</v>
      </c>
      <c r="J98" s="97" t="s">
        <v>64</v>
      </c>
      <c r="L98" s="105" t="s">
        <v>65</v>
      </c>
    </row>
    <row r="99" spans="3:12" s="97" customFormat="1" ht="15" x14ac:dyDescent="0.2">
      <c r="C99" s="97" t="s">
        <v>58</v>
      </c>
      <c r="E99" s="106">
        <v>12</v>
      </c>
      <c r="F99" s="107">
        <f>F83*E99</f>
        <v>162</v>
      </c>
      <c r="H99" s="107">
        <f>H83*E99</f>
        <v>162</v>
      </c>
      <c r="J99" s="107">
        <f>H99-F99</f>
        <v>0</v>
      </c>
      <c r="L99" s="108">
        <f>IF(ISERROR(J99/F99),0,J99/F99)</f>
        <v>0</v>
      </c>
    </row>
    <row r="100" spans="3:12" s="97" customFormat="1" ht="18" x14ac:dyDescent="0.2">
      <c r="C100" s="97" t="s">
        <v>59</v>
      </c>
      <c r="E100" s="106">
        <f>E95</f>
        <v>3122</v>
      </c>
      <c r="F100" s="107">
        <f>F84*E100/100</f>
        <v>488.908322</v>
      </c>
      <c r="H100" s="107">
        <f>H84*E100/100</f>
        <v>497.76102475818448</v>
      </c>
      <c r="J100" s="107">
        <f t="shared" ref="J100:J103" si="10">H100-F100</f>
        <v>8.8527027581844777</v>
      </c>
      <c r="L100" s="108">
        <f>IF(ISERROR(J100/F100),0,J100/F100)</f>
        <v>1.8107081348033339E-2</v>
      </c>
    </row>
    <row r="101" spans="3:12" s="97" customFormat="1" ht="18" x14ac:dyDescent="0.2">
      <c r="C101" s="97" t="s">
        <v>60</v>
      </c>
      <c r="E101" s="106">
        <f>E96</f>
        <v>11117</v>
      </c>
      <c r="F101" s="107">
        <f>F85*E101/100</f>
        <v>1184.2606589999998</v>
      </c>
      <c r="H101" s="107">
        <f>H85*E101/100</f>
        <v>1198.471786908</v>
      </c>
      <c r="J101" s="107">
        <f t="shared" si="10"/>
        <v>14.211127908000208</v>
      </c>
      <c r="L101" s="108">
        <f>IF(ISERROR(J101/F101),0,J101/F101)</f>
        <v>1.2000000000000177E-2</v>
      </c>
    </row>
    <row r="102" spans="3:12" s="97" customFormat="1" ht="15" x14ac:dyDescent="0.2">
      <c r="C102" s="97" t="s">
        <v>61</v>
      </c>
      <c r="E102" s="106">
        <f>SUM(E100:E101)</f>
        <v>14239</v>
      </c>
      <c r="F102" s="107">
        <f>F86*E102/100</f>
        <v>5.1687569999999994</v>
      </c>
      <c r="H102" s="107">
        <f>H86*E102/100</f>
        <v>5.1687569999999994</v>
      </c>
      <c r="J102" s="107">
        <f t="shared" si="10"/>
        <v>0</v>
      </c>
      <c r="L102" s="108">
        <f>IF(ISERROR(J102/F102),0,J102/F102)</f>
        <v>0</v>
      </c>
    </row>
    <row r="103" spans="3:12" s="97" customFormat="1" x14ac:dyDescent="0.25">
      <c r="C103" s="23" t="s">
        <v>63</v>
      </c>
      <c r="F103" s="66">
        <f>SUM(F99:F102)</f>
        <v>1840.3377379999997</v>
      </c>
      <c r="H103" s="66">
        <f>SUM(H99:H102)</f>
        <v>1863.4015686661844</v>
      </c>
      <c r="J103" s="67">
        <f t="shared" si="10"/>
        <v>23.063830666184685</v>
      </c>
      <c r="L103" s="68">
        <f>IF(ISERROR(J103/F103),0,J103/F103)</f>
        <v>1.2532390218357132E-2</v>
      </c>
    </row>
    <row r="104" spans="3:12" s="97" customFormat="1" ht="15.75" customHeight="1" x14ac:dyDescent="0.25">
      <c r="D104" s="1"/>
      <c r="J104" s="176"/>
    </row>
    <row r="105" spans="3:12" s="97" customFormat="1" x14ac:dyDescent="0.25">
      <c r="C105" s="23" t="s">
        <v>85</v>
      </c>
    </row>
    <row r="106" spans="3:12" s="97" customFormat="1" ht="15" x14ac:dyDescent="0.2"/>
    <row r="107" spans="3:12" s="97" customFormat="1" x14ac:dyDescent="0.25">
      <c r="C107" s="23" t="s">
        <v>85</v>
      </c>
      <c r="E107" s="100" t="s">
        <v>62</v>
      </c>
      <c r="F107" s="100" t="s">
        <v>37</v>
      </c>
      <c r="G107" s="100"/>
      <c r="H107" s="100" t="s">
        <v>57</v>
      </c>
      <c r="J107" s="97" t="s">
        <v>64</v>
      </c>
      <c r="L107" s="105" t="s">
        <v>65</v>
      </c>
    </row>
    <row r="108" spans="3:12" s="97" customFormat="1" ht="15" x14ac:dyDescent="0.2">
      <c r="C108" s="96" t="s">
        <v>177</v>
      </c>
      <c r="E108" s="109">
        <v>12</v>
      </c>
      <c r="F108" s="103">
        <f>F89*E108</f>
        <v>-1.32</v>
      </c>
      <c r="G108" s="110"/>
      <c r="H108" s="103">
        <v>0</v>
      </c>
      <c r="I108" s="110"/>
      <c r="J108" s="103">
        <f>H108-F108</f>
        <v>1.32</v>
      </c>
      <c r="L108" s="108">
        <f t="shared" ref="L108" si="11">IF(ISERROR(J108/F108),1,J108/F108)</f>
        <v>-1</v>
      </c>
    </row>
    <row r="109" spans="3:12" s="97" customFormat="1" ht="15" x14ac:dyDescent="0.2">
      <c r="C109" s="96" t="s">
        <v>185</v>
      </c>
      <c r="E109" s="109">
        <f>IF('F1.4 Proposed Forgone Rev Rider'!$E$12=0,12,12+'F1.4 Proposed Forgone Rev Rider'!$E$12)</f>
        <v>15</v>
      </c>
      <c r="F109" s="103">
        <v>0</v>
      </c>
      <c r="G109" s="110"/>
      <c r="H109" s="103">
        <f>H90*E109</f>
        <v>-1.65</v>
      </c>
      <c r="I109" s="110"/>
      <c r="J109" s="103">
        <f t="shared" ref="J109:J111" si="12">H109-F109</f>
        <v>-1.65</v>
      </c>
      <c r="L109" s="108">
        <f>IF(ISERROR(J109/F109),1,J109/F109)</f>
        <v>1</v>
      </c>
    </row>
    <row r="110" spans="3:12" s="97" customFormat="1" ht="18" x14ac:dyDescent="0.2">
      <c r="C110" s="97" t="s">
        <v>198</v>
      </c>
      <c r="E110" s="106">
        <f>E95/12*'F1.4 Proposed Forgone Rev Rider'!$E$12</f>
        <v>780.5</v>
      </c>
      <c r="F110" s="103"/>
      <c r="G110" s="110"/>
      <c r="H110" s="103">
        <f>E110*H91/100</f>
        <v>2.2131756895461288</v>
      </c>
      <c r="I110" s="110"/>
      <c r="J110" s="103">
        <f t="shared" si="12"/>
        <v>2.2131756895461288</v>
      </c>
      <c r="L110" s="108">
        <f t="shared" ref="L110:L111" si="13">IF(ISERROR(J110/F110),1,J110/F110)</f>
        <v>1</v>
      </c>
    </row>
    <row r="111" spans="3:12" s="97" customFormat="1" ht="18" x14ac:dyDescent="0.2">
      <c r="C111" s="97" t="s">
        <v>199</v>
      </c>
      <c r="E111" s="106">
        <f>E96/12*'F1.4 Proposed Forgone Rev Rider'!$E$12</f>
        <v>2779.25</v>
      </c>
      <c r="F111" s="103"/>
      <c r="G111" s="110"/>
      <c r="H111" s="103">
        <f>E111*H92/100</f>
        <v>3.5527819770000235</v>
      </c>
      <c r="I111" s="110"/>
      <c r="J111" s="103">
        <f t="shared" si="12"/>
        <v>3.5527819770000235</v>
      </c>
      <c r="L111" s="108">
        <f t="shared" si="13"/>
        <v>1</v>
      </c>
    </row>
    <row r="112" spans="3:12" s="97" customFormat="1" x14ac:dyDescent="0.25">
      <c r="C112" s="29" t="s">
        <v>87</v>
      </c>
      <c r="F112" s="69">
        <f>SUM(F108:F111)</f>
        <v>-1.32</v>
      </c>
      <c r="H112" s="69">
        <f>SUM(H108:H111)</f>
        <v>4.1159576665461524</v>
      </c>
      <c r="J112" s="69">
        <f>SUM(J108:J111)</f>
        <v>5.4359576665461526</v>
      </c>
      <c r="L112" s="68">
        <f t="shared" ref="L112" si="14">IF(ISERROR(J112/F112),0,J112/F112)</f>
        <v>-4.1181497473834492</v>
      </c>
    </row>
    <row r="113" spans="3:12" s="97" customFormat="1" ht="15" x14ac:dyDescent="0.2">
      <c r="C113" s="96"/>
    </row>
    <row r="114" spans="3:12" s="97" customFormat="1" ht="16.5" thickBot="1" x14ac:dyDescent="0.3">
      <c r="C114" s="29" t="s">
        <v>88</v>
      </c>
      <c r="F114" s="70">
        <f>SUM(F103,F112)</f>
        <v>1839.0177379999998</v>
      </c>
      <c r="H114" s="70">
        <f>SUM(H103,H112)</f>
        <v>1867.5175263327305</v>
      </c>
      <c r="J114" s="69">
        <f>SUM(J103,J112)</f>
        <v>28.499788332730837</v>
      </c>
      <c r="L114" s="72">
        <f>IF(ISERROR(J114/F114),0,J114/F114)</f>
        <v>1.5497288440363504E-2</v>
      </c>
    </row>
    <row r="115" spans="3:12" s="97" customFormat="1" ht="15.75" customHeight="1" x14ac:dyDescent="0.25">
      <c r="D115" s="1"/>
    </row>
    <row r="116" spans="3:12" s="97" customFormat="1" ht="15.75" customHeight="1" x14ac:dyDescent="0.25">
      <c r="D116" s="1"/>
    </row>
    <row r="117" spans="3:12" s="97" customFormat="1" ht="15.75" customHeight="1" x14ac:dyDescent="0.25">
      <c r="D117" s="1"/>
    </row>
    <row r="118" spans="3:12" s="97" customFormat="1" ht="15.75" customHeight="1" x14ac:dyDescent="0.25">
      <c r="D118" s="1"/>
    </row>
    <row r="119" spans="3:12" s="97" customFormat="1" ht="15.75" customHeight="1" x14ac:dyDescent="0.25">
      <c r="D119" s="1"/>
    </row>
    <row r="120" spans="3:12" s="97" customFormat="1" ht="15.75" customHeight="1" x14ac:dyDescent="0.25">
      <c r="D120" s="1"/>
    </row>
    <row r="121" spans="3:12" s="97" customFormat="1" ht="15.75" customHeight="1" x14ac:dyDescent="0.25">
      <c r="D121" s="1"/>
    </row>
    <row r="122" spans="3:12" s="97" customFormat="1" ht="15.75" customHeight="1" x14ac:dyDescent="0.25">
      <c r="D122" s="1"/>
    </row>
    <row r="123" spans="3:12" s="97" customFormat="1" ht="15.75" customHeight="1" x14ac:dyDescent="0.25">
      <c r="D123" s="1"/>
    </row>
    <row r="124" spans="3:12" s="97" customFormat="1" ht="15.75" customHeight="1" x14ac:dyDescent="0.25">
      <c r="D124" s="1"/>
    </row>
    <row r="125" spans="3:12" s="97" customFormat="1" ht="15.75" customHeight="1" x14ac:dyDescent="0.25">
      <c r="D125" s="1"/>
    </row>
    <row r="126" spans="3:12" s="97" customFormat="1" ht="15.75" customHeight="1" x14ac:dyDescent="0.25">
      <c r="D126" s="1"/>
    </row>
    <row r="127" spans="3:12" s="97" customFormat="1" ht="15.75" customHeight="1" x14ac:dyDescent="0.25">
      <c r="D127" s="1"/>
    </row>
    <row r="128" spans="3:12" s="97" customFormat="1" ht="15.75" customHeight="1" x14ac:dyDescent="0.25">
      <c r="D128" s="1"/>
    </row>
    <row r="129" spans="4:4" s="97" customFormat="1" ht="15.75" customHeight="1" x14ac:dyDescent="0.25">
      <c r="D129" s="1"/>
    </row>
    <row r="130" spans="4:4" s="97" customFormat="1" ht="15.75" customHeight="1" x14ac:dyDescent="0.25">
      <c r="D130" s="1"/>
    </row>
    <row r="131" spans="4:4" s="97" customFormat="1" ht="15.75" customHeight="1" x14ac:dyDescent="0.25">
      <c r="D131" s="1"/>
    </row>
    <row r="132" spans="4:4" s="97" customFormat="1" ht="15.75" customHeight="1" x14ac:dyDescent="0.25">
      <c r="D132" s="1"/>
    </row>
    <row r="133" spans="4:4" s="97" customFormat="1" ht="15.75" customHeight="1" x14ac:dyDescent="0.25">
      <c r="D133" s="1"/>
    </row>
  </sheetData>
  <sheetProtection formatColumns="0" formatRows="0"/>
  <pageMargins left="0.70866141732283505" right="0.70866141732283505" top="0.74803149606299202" bottom="0.74803149606299202" header="0.31496062992126" footer="0.31496062992126"/>
  <pageSetup scale="68" fitToHeight="3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  <rowBreaks count="2" manualBreakCount="2">
    <brk id="43" max="16383" man="1"/>
    <brk id="80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25"/>
  <sheetViews>
    <sheetView showGridLines="0" topLeftCell="A90" zoomScaleNormal="100" workbookViewId="0">
      <selection activeCell="E106" sqref="E106"/>
    </sheetView>
  </sheetViews>
  <sheetFormatPr defaultColWidth="0" defaultRowHeight="15.75" customHeight="1" zeroHeight="1" x14ac:dyDescent="0.25"/>
  <cols>
    <col min="1" max="1" width="15.7109375" style="18" customWidth="1"/>
    <col min="2" max="2" width="9.140625" style="18" hidden="1" customWidth="1"/>
    <col min="3" max="3" width="55.7109375" style="18" customWidth="1"/>
    <col min="4" max="4" width="2.7109375" style="2" customWidth="1"/>
    <col min="5" max="5" width="8.42578125" style="18" bestFit="1" customWidth="1"/>
    <col min="6" max="6" width="14" style="18" bestFit="1" customWidth="1"/>
    <col min="7" max="7" width="2.7109375" style="18" customWidth="1"/>
    <col min="8" max="8" width="16.5703125" style="18" bestFit="1" customWidth="1"/>
    <col min="9" max="9" width="2.7109375" style="18" customWidth="1"/>
    <col min="10" max="10" width="11" style="18" bestFit="1" customWidth="1"/>
    <col min="11" max="11" width="2.7109375" style="18" customWidth="1"/>
    <col min="12" max="12" width="11.7109375" style="18" bestFit="1" customWidth="1"/>
    <col min="13" max="13" width="2.7109375" style="18" customWidth="1"/>
    <col min="14" max="15" width="12.7109375" style="18" hidden="1" customWidth="1"/>
    <col min="16" max="16" width="2.7109375" style="18" hidden="1" customWidth="1"/>
    <col min="17" max="16384" width="0" style="18" hidden="1"/>
  </cols>
  <sheetData>
    <row r="1" spans="1:12" ht="15" x14ac:dyDescent="0.2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</row>
    <row r="2" spans="1:12" s="5" customFormat="1" ht="18" x14ac:dyDescent="0.25">
      <c r="C2" s="8" t="str">
        <f>'A1.1 Distributor Information'!C3</f>
        <v>Name of LDC:       Natural Resource Gas Limited</v>
      </c>
    </row>
    <row r="3" spans="1:12" s="5" customFormat="1" ht="18" x14ac:dyDescent="0.25">
      <c r="C3" s="8" t="str">
        <f>'A1.1 Distributor Information'!C4</f>
        <v xml:space="preserve">OEB Application Number:          </v>
      </c>
    </row>
    <row r="4" spans="1:12" s="5" customFormat="1" ht="15" x14ac:dyDescent="0.2"/>
    <row r="5" spans="1:12" s="5" customFormat="1" ht="15" x14ac:dyDescent="0.2"/>
    <row r="6" spans="1:12" s="5" customFormat="1" ht="15" x14ac:dyDescent="0.2"/>
    <row r="7" spans="1:12" s="5" customFormat="1" ht="20.25" x14ac:dyDescent="0.3">
      <c r="C7" s="4" t="s">
        <v>68</v>
      </c>
    </row>
    <row r="8" spans="1:12" s="5" customFormat="1" ht="15" x14ac:dyDescent="0.2"/>
    <row r="9" spans="1:12" s="5" customFormat="1" ht="20.25" x14ac:dyDescent="0.3">
      <c r="C9" s="4" t="s">
        <v>126</v>
      </c>
      <c r="F9" s="19" t="s">
        <v>37</v>
      </c>
      <c r="G9" s="19"/>
      <c r="H9" s="19" t="s">
        <v>57</v>
      </c>
    </row>
    <row r="10" spans="1:12" s="5" customFormat="1" ht="15" x14ac:dyDescent="0.2"/>
    <row r="11" spans="1:12" s="5" customFormat="1" ht="15" x14ac:dyDescent="0.2">
      <c r="C11" s="5" t="s">
        <v>58</v>
      </c>
      <c r="F11" s="61">
        <f>'B1.1 Current Distribution Rates'!E19</f>
        <v>15</v>
      </c>
      <c r="H11" s="61">
        <f>'E1.1 Proposed Dist Rates '!E19</f>
        <v>15</v>
      </c>
    </row>
    <row r="12" spans="1:12" s="5" customFormat="1" ht="18" x14ac:dyDescent="0.2">
      <c r="C12" s="97" t="s">
        <v>59</v>
      </c>
      <c r="F12" s="62">
        <f>'B1.1 Current Distribution Rates'!F19</f>
        <v>14.5236</v>
      </c>
      <c r="H12" s="62">
        <f>'E1.1 Proposed Dist Rates '!F19</f>
        <v>15.167689605087705</v>
      </c>
    </row>
    <row r="13" spans="1:12" s="5" customFormat="1" ht="18" x14ac:dyDescent="0.2">
      <c r="C13" s="25" t="s">
        <v>70</v>
      </c>
      <c r="F13" s="62">
        <f>'B1.1 Current Distribution Rates'!H19</f>
        <v>9.4825999999999997</v>
      </c>
      <c r="H13" s="62">
        <f>'E1.1 Proposed Dist Rates '!H19</f>
        <v>9.4825999999999997</v>
      </c>
    </row>
    <row r="14" spans="1:12" s="5" customFormat="1" ht="18" x14ac:dyDescent="0.2">
      <c r="C14" s="25" t="s">
        <v>69</v>
      </c>
      <c r="F14" s="62">
        <f>'B1.1 Current Distribution Rates'!I19</f>
        <v>6.1698000000000004</v>
      </c>
      <c r="H14" s="62">
        <f>'E1.1 Proposed Dist Rates '!I19</f>
        <v>6.1698000000000004</v>
      </c>
    </row>
    <row r="15" spans="1:12" s="5" customFormat="1" ht="15" x14ac:dyDescent="0.2">
      <c r="C15" s="5" t="s">
        <v>61</v>
      </c>
      <c r="F15" s="62">
        <f>'B1.1 Current Distribution Rates'!L19</f>
        <v>3.6299999999999999E-2</v>
      </c>
      <c r="H15" s="62">
        <f>'E1.1 Proposed Dist Rates '!L20</f>
        <v>3.6299999999999999E-2</v>
      </c>
    </row>
    <row r="16" spans="1:12" s="5" customFormat="1" ht="15" x14ac:dyDescent="0.2">
      <c r="F16" s="24"/>
      <c r="H16" s="24"/>
    </row>
    <row r="17" spans="3:14" s="5" customFormat="1" ht="15" x14ac:dyDescent="0.2">
      <c r="C17" s="39" t="s">
        <v>85</v>
      </c>
      <c r="D17" s="39"/>
      <c r="E17" s="39"/>
      <c r="F17" s="39"/>
      <c r="G17" s="39"/>
      <c r="H17" s="39"/>
    </row>
    <row r="18" spans="3:14" s="5" customFormat="1" ht="15" x14ac:dyDescent="0.2">
      <c r="C18" s="97" t="s">
        <v>177</v>
      </c>
      <c r="D18" s="39"/>
      <c r="E18" s="39"/>
      <c r="F18" s="73">
        <f>'C1.1 Current Rate Riders'!$E$19</f>
        <v>-0.19</v>
      </c>
      <c r="G18" s="39"/>
      <c r="H18" s="39"/>
    </row>
    <row r="19" spans="3:14" s="5" customFormat="1" ht="15" x14ac:dyDescent="0.2">
      <c r="C19" s="97" t="s">
        <v>185</v>
      </c>
      <c r="D19" s="39"/>
      <c r="E19" s="39"/>
      <c r="F19" s="39"/>
      <c r="G19" s="39"/>
      <c r="H19" s="73">
        <f>ROUND('F1.3 Proposed Rate Riders'!$E$19,2)</f>
        <v>-0.19</v>
      </c>
    </row>
    <row r="20" spans="3:14" s="5" customFormat="1" ht="15" x14ac:dyDescent="0.2">
      <c r="C20" s="97" t="s">
        <v>200</v>
      </c>
      <c r="D20" s="39"/>
      <c r="E20" s="39"/>
      <c r="F20" s="39"/>
      <c r="G20" s="39"/>
      <c r="H20" s="179">
        <f>'F1.4 Proposed Forgone Rev Rider'!F19</f>
        <v>0</v>
      </c>
    </row>
    <row r="21" spans="3:14" s="5" customFormat="1" ht="15" x14ac:dyDescent="0.2"/>
    <row r="22" spans="3:14" s="5" customFormat="1" ht="15" x14ac:dyDescent="0.2">
      <c r="C22" s="25" t="s">
        <v>71</v>
      </c>
    </row>
    <row r="23" spans="3:14" s="5" customFormat="1" ht="18" x14ac:dyDescent="0.2">
      <c r="C23" s="5" t="s">
        <v>59</v>
      </c>
      <c r="E23" s="22">
        <v>2831.2000000000003</v>
      </c>
    </row>
    <row r="24" spans="3:14" s="5" customFormat="1" ht="18.75" x14ac:dyDescent="0.25">
      <c r="C24" s="25" t="s">
        <v>70</v>
      </c>
      <c r="E24" s="22">
        <v>3379.8</v>
      </c>
      <c r="N24" s="21"/>
    </row>
    <row r="25" spans="3:14" s="5" customFormat="1" ht="18.75" x14ac:dyDescent="0.25">
      <c r="C25" s="25" t="s">
        <v>69</v>
      </c>
      <c r="E25" s="22">
        <v>1.1368683772161603E-13</v>
      </c>
      <c r="N25" s="21"/>
    </row>
    <row r="26" spans="3:14" s="5" customFormat="1" ht="15" x14ac:dyDescent="0.2"/>
    <row r="27" spans="3:14" s="5" customFormat="1" ht="15" x14ac:dyDescent="0.2">
      <c r="E27" s="19" t="s">
        <v>62</v>
      </c>
      <c r="F27" s="19" t="s">
        <v>37</v>
      </c>
      <c r="G27" s="19"/>
      <c r="H27" s="19" t="s">
        <v>57</v>
      </c>
      <c r="J27" s="5" t="s">
        <v>64</v>
      </c>
      <c r="L27" s="20" t="s">
        <v>65</v>
      </c>
    </row>
    <row r="28" spans="3:14" s="5" customFormat="1" ht="15" x14ac:dyDescent="0.2">
      <c r="C28" s="5" t="s">
        <v>58</v>
      </c>
      <c r="E28" s="63">
        <v>7</v>
      </c>
      <c r="F28" s="64">
        <f>F11*E28</f>
        <v>105</v>
      </c>
      <c r="H28" s="64">
        <f>H11*E28</f>
        <v>105</v>
      </c>
      <c r="J28" s="61">
        <f>H28-F28</f>
        <v>0</v>
      </c>
      <c r="L28" s="65">
        <f>IF(ISERROR(J28/F28),0,J28/F28)</f>
        <v>0</v>
      </c>
    </row>
    <row r="29" spans="3:14" s="5" customFormat="1" ht="18" x14ac:dyDescent="0.2">
      <c r="C29" s="5" t="s">
        <v>59</v>
      </c>
      <c r="E29" s="63">
        <f>E23</f>
        <v>2831.2000000000003</v>
      </c>
      <c r="F29" s="64">
        <f>F12*E29/100</f>
        <v>411.1921632000001</v>
      </c>
      <c r="H29" s="64">
        <f>H12*E29/100</f>
        <v>429.42762809924318</v>
      </c>
      <c r="J29" s="61">
        <f t="shared" ref="J29:J33" si="0">H29-F29</f>
        <v>18.235464899243084</v>
      </c>
      <c r="L29" s="65">
        <f>IF(ISERROR(J29/F29),0,J29/F29)</f>
        <v>4.4347792908624867E-2</v>
      </c>
    </row>
    <row r="30" spans="3:14" s="5" customFormat="1" ht="18" x14ac:dyDescent="0.2">
      <c r="C30" s="25" t="s">
        <v>70</v>
      </c>
      <c r="E30" s="63">
        <f>E24</f>
        <v>3379.8</v>
      </c>
      <c r="F30" s="64">
        <f>F13*E30/100</f>
        <v>320.49291479999999</v>
      </c>
      <c r="H30" s="64">
        <f>H13*E30/100</f>
        <v>320.49291479999999</v>
      </c>
      <c r="J30" s="61">
        <f t="shared" si="0"/>
        <v>0</v>
      </c>
      <c r="L30" s="65">
        <f t="shared" ref="L30:L31" si="1">IF(ISERROR(J30/F30),0,J30/F30)</f>
        <v>0</v>
      </c>
    </row>
    <row r="31" spans="3:14" s="5" customFormat="1" ht="18" x14ac:dyDescent="0.2">
      <c r="C31" s="25" t="s">
        <v>69</v>
      </c>
      <c r="E31" s="63">
        <f>E25</f>
        <v>1.1368683772161603E-13</v>
      </c>
      <c r="F31" s="64">
        <f>F14*E31/100</f>
        <v>7.0142505137482661E-15</v>
      </c>
      <c r="H31" s="64">
        <f>H14*E31/100</f>
        <v>7.0142505137482661E-15</v>
      </c>
      <c r="J31" s="61">
        <f t="shared" si="0"/>
        <v>0</v>
      </c>
      <c r="L31" s="65">
        <f t="shared" si="1"/>
        <v>0</v>
      </c>
    </row>
    <row r="32" spans="3:14" s="5" customFormat="1" ht="15" x14ac:dyDescent="0.2">
      <c r="C32" s="5" t="s">
        <v>61</v>
      </c>
      <c r="E32" s="63">
        <f>SUM(E29:E30)</f>
        <v>6211</v>
      </c>
      <c r="F32" s="64">
        <f>F15*E32/100</f>
        <v>2.2545929999999998</v>
      </c>
      <c r="H32" s="64">
        <f>H15*E32/100</f>
        <v>2.2545929999999998</v>
      </c>
      <c r="J32" s="61">
        <f t="shared" si="0"/>
        <v>0</v>
      </c>
      <c r="L32" s="65">
        <f>IF(ISERROR(J32/F32),0,J32/F32)</f>
        <v>0</v>
      </c>
    </row>
    <row r="33" spans="3:12" s="5" customFormat="1" x14ac:dyDescent="0.25">
      <c r="C33" s="23" t="s">
        <v>63</v>
      </c>
      <c r="F33" s="66">
        <f>SUM(F28:F32)</f>
        <v>838.93967100000009</v>
      </c>
      <c r="H33" s="66">
        <f>SUM(H28:H32)</f>
        <v>857.17513589924317</v>
      </c>
      <c r="J33" s="67">
        <f t="shared" si="0"/>
        <v>18.235464899243084</v>
      </c>
      <c r="L33" s="68">
        <f>IF(ISERROR(J33/F33),0,J33/F33)</f>
        <v>2.1736324469561391E-2</v>
      </c>
    </row>
    <row r="34" spans="3:12" s="5" customFormat="1" x14ac:dyDescent="0.25">
      <c r="C34" s="23"/>
      <c r="F34" s="36"/>
      <c r="H34" s="36"/>
      <c r="J34" s="37"/>
      <c r="L34" s="38"/>
    </row>
    <row r="35" spans="3:12" s="5" customFormat="1" x14ac:dyDescent="0.25">
      <c r="C35" s="23" t="s">
        <v>85</v>
      </c>
      <c r="D35" s="39"/>
      <c r="E35" s="39"/>
      <c r="F35" s="39"/>
      <c r="G35" s="39"/>
      <c r="H35" s="39"/>
      <c r="I35" s="39"/>
      <c r="J35" s="39"/>
      <c r="K35" s="39"/>
      <c r="L35" s="39"/>
    </row>
    <row r="36" spans="3:12" s="5" customFormat="1" ht="15" x14ac:dyDescent="0.2"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3:12" s="5" customFormat="1" x14ac:dyDescent="0.25">
      <c r="C37" s="23" t="s">
        <v>85</v>
      </c>
      <c r="D37" s="39"/>
      <c r="E37" s="42" t="s">
        <v>62</v>
      </c>
      <c r="F37" s="42" t="s">
        <v>37</v>
      </c>
      <c r="G37" s="42"/>
      <c r="H37" s="42" t="s">
        <v>57</v>
      </c>
      <c r="I37" s="39"/>
      <c r="J37" s="39" t="s">
        <v>64</v>
      </c>
      <c r="K37" s="39"/>
      <c r="L37" s="43" t="s">
        <v>65</v>
      </c>
    </row>
    <row r="38" spans="3:12" s="5" customFormat="1" ht="15" x14ac:dyDescent="0.2">
      <c r="C38" s="97" t="s">
        <v>177</v>
      </c>
      <c r="D38" s="39"/>
      <c r="E38" s="74">
        <v>7</v>
      </c>
      <c r="F38" s="73">
        <f>F18*E38</f>
        <v>-1.33</v>
      </c>
      <c r="G38" s="41"/>
      <c r="H38" s="73">
        <v>0</v>
      </c>
      <c r="I38" s="41"/>
      <c r="J38" s="73">
        <f>H38-F38</f>
        <v>1.33</v>
      </c>
      <c r="K38" s="39"/>
      <c r="L38" s="75">
        <f>IF(ISERROR(J38/F38),0,J38/F38)</f>
        <v>-1</v>
      </c>
    </row>
    <row r="39" spans="3:12" s="5" customFormat="1" ht="15" x14ac:dyDescent="0.2">
      <c r="C39" s="97" t="s">
        <v>185</v>
      </c>
      <c r="D39" s="39"/>
      <c r="E39" s="74">
        <v>7</v>
      </c>
      <c r="F39" s="73">
        <v>0</v>
      </c>
      <c r="G39" s="41"/>
      <c r="H39" s="73">
        <f>H19*E39</f>
        <v>-1.33</v>
      </c>
      <c r="I39" s="41"/>
      <c r="J39" s="73">
        <f t="shared" ref="J39" si="2">H39-F39</f>
        <v>-1.33</v>
      </c>
      <c r="K39" s="39"/>
      <c r="L39" s="75">
        <f t="shared" ref="L39:L41" si="3">IF(ISERROR(J39/F39),0,J39/F39)</f>
        <v>0</v>
      </c>
    </row>
    <row r="40" spans="3:12" s="5" customFormat="1" ht="15" x14ac:dyDescent="0.2">
      <c r="C40" s="97" t="s">
        <v>200</v>
      </c>
      <c r="D40" s="39"/>
      <c r="E40" s="74">
        <v>0</v>
      </c>
      <c r="F40" s="73"/>
      <c r="G40" s="41"/>
      <c r="H40" s="73">
        <f>E40*H20/100</f>
        <v>0</v>
      </c>
      <c r="I40" s="41"/>
      <c r="J40" s="73">
        <f>H40-F40</f>
        <v>0</v>
      </c>
      <c r="K40" s="39"/>
      <c r="L40" s="75">
        <f>IF(ISERROR(J40/F40),0,J40/F40)</f>
        <v>0</v>
      </c>
    </row>
    <row r="41" spans="3:12" s="5" customFormat="1" x14ac:dyDescent="0.25">
      <c r="C41" s="29" t="s">
        <v>87</v>
      </c>
      <c r="D41" s="39"/>
      <c r="E41" s="39"/>
      <c r="F41" s="69">
        <f>SUM(F38:F40)</f>
        <v>-1.33</v>
      </c>
      <c r="G41" s="39"/>
      <c r="H41" s="69">
        <f>SUM(H38:H40)</f>
        <v>-1.33</v>
      </c>
      <c r="I41" s="39"/>
      <c r="J41" s="69">
        <f>SUM(J38:J40)</f>
        <v>0</v>
      </c>
      <c r="K41" s="39"/>
      <c r="L41" s="68">
        <f t="shared" si="3"/>
        <v>0</v>
      </c>
    </row>
    <row r="42" spans="3:12" s="5" customFormat="1" ht="15" x14ac:dyDescent="0.2">
      <c r="C42" s="40"/>
      <c r="D42" s="39"/>
      <c r="E42" s="39"/>
      <c r="F42" s="39"/>
      <c r="G42" s="39"/>
      <c r="H42" s="39"/>
      <c r="I42" s="39"/>
      <c r="J42" s="39"/>
      <c r="K42" s="39"/>
      <c r="L42" s="39"/>
    </row>
    <row r="43" spans="3:12" s="5" customFormat="1" ht="16.5" thickBot="1" x14ac:dyDescent="0.3">
      <c r="C43" s="29" t="s">
        <v>88</v>
      </c>
      <c r="D43" s="39"/>
      <c r="E43" s="39"/>
      <c r="F43" s="70">
        <f>SUM(F33,F41)</f>
        <v>837.60967100000005</v>
      </c>
      <c r="G43" s="39"/>
      <c r="H43" s="69">
        <f>SUM(H33,H41)</f>
        <v>855.84513589924313</v>
      </c>
      <c r="I43" s="39"/>
      <c r="J43" s="69">
        <f>SUM(J33,J41)</f>
        <v>18.235464899243084</v>
      </c>
      <c r="K43" s="39"/>
      <c r="L43" s="72">
        <f>IF(ISERROR(J43/F43),0,J43/F43)</f>
        <v>2.1770838530878283E-2</v>
      </c>
    </row>
    <row r="44" spans="3:12" s="5" customFormat="1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3:12" s="5" customFormat="1" ht="15" x14ac:dyDescent="0.2"/>
    <row r="46" spans="3:12" s="5" customFormat="1" ht="20.25" x14ac:dyDescent="0.3">
      <c r="C46" s="4" t="s">
        <v>127</v>
      </c>
      <c r="F46" s="19" t="s">
        <v>37</v>
      </c>
      <c r="G46" s="19"/>
      <c r="H46" s="19" t="s">
        <v>57</v>
      </c>
    </row>
    <row r="47" spans="3:12" s="5" customFormat="1" ht="15" x14ac:dyDescent="0.2"/>
    <row r="48" spans="3:12" s="5" customFormat="1" ht="15" x14ac:dyDescent="0.2">
      <c r="C48" s="5" t="s">
        <v>58</v>
      </c>
      <c r="F48" s="61">
        <f>'B1.1 Current Distribution Rates'!E20</f>
        <v>15</v>
      </c>
      <c r="H48" s="61">
        <f>'E1.1 Proposed Dist Rates '!E20</f>
        <v>15</v>
      </c>
    </row>
    <row r="49" spans="3:12" s="5" customFormat="1" ht="18" x14ac:dyDescent="0.2">
      <c r="C49" s="5" t="s">
        <v>59</v>
      </c>
      <c r="F49" s="62">
        <f>'B1.1 Current Distribution Rates'!F20</f>
        <v>18.306799999999999</v>
      </c>
      <c r="H49" s="62">
        <f>'E1.1 Proposed Dist Rates '!F20</f>
        <v>19.118666175219612</v>
      </c>
    </row>
    <row r="50" spans="3:12" s="5" customFormat="1" ht="18" x14ac:dyDescent="0.2">
      <c r="C50" s="25" t="s">
        <v>70</v>
      </c>
      <c r="F50" s="62">
        <f>'B1.1 Current Distribution Rates'!H20</f>
        <v>15.696</v>
      </c>
      <c r="H50" s="62">
        <f>'E1.1 Proposed Dist Rates '!H20</f>
        <v>15.696</v>
      </c>
    </row>
    <row r="51" spans="3:12" s="5" customFormat="1" ht="18" x14ac:dyDescent="0.2">
      <c r="C51" s="25" t="s">
        <v>69</v>
      </c>
      <c r="F51" s="62">
        <f>'B1.1 Current Distribution Rates'!I20</f>
        <v>15.289899999999999</v>
      </c>
      <c r="H51" s="62">
        <f>'E1.1 Proposed Dist Rates '!I20</f>
        <v>15.289899999999999</v>
      </c>
    </row>
    <row r="52" spans="3:12" s="5" customFormat="1" ht="15" x14ac:dyDescent="0.2">
      <c r="C52" s="5" t="s">
        <v>61</v>
      </c>
      <c r="F52" s="62">
        <f>'B1.1 Current Distribution Rates'!L20</f>
        <v>3.6299999999999999E-2</v>
      </c>
      <c r="H52" s="62">
        <f>'E1.1 Proposed Dist Rates '!L20</f>
        <v>3.6299999999999999E-2</v>
      </c>
    </row>
    <row r="53" spans="3:12" s="5" customFormat="1" ht="15" x14ac:dyDescent="0.2">
      <c r="F53" s="24"/>
      <c r="H53" s="24"/>
    </row>
    <row r="54" spans="3:12" s="5" customFormat="1" ht="15" x14ac:dyDescent="0.2">
      <c r="C54" s="39" t="s">
        <v>85</v>
      </c>
      <c r="D54" s="39"/>
      <c r="E54" s="39"/>
      <c r="F54" s="39"/>
      <c r="G54" s="39"/>
      <c r="H54" s="39"/>
    </row>
    <row r="55" spans="3:12" s="5" customFormat="1" ht="15" x14ac:dyDescent="0.2">
      <c r="C55" s="97" t="s">
        <v>177</v>
      </c>
      <c r="D55" s="39"/>
      <c r="E55" s="39"/>
      <c r="F55" s="73">
        <f>'C1.1 Current Rate Riders'!$E$20</f>
        <v>-0.19</v>
      </c>
      <c r="G55" s="39"/>
      <c r="H55" s="39"/>
    </row>
    <row r="56" spans="3:12" s="5" customFormat="1" ht="15" x14ac:dyDescent="0.2">
      <c r="C56" s="97" t="s">
        <v>185</v>
      </c>
      <c r="D56" s="39"/>
      <c r="E56" s="39"/>
      <c r="F56" s="39"/>
      <c r="G56" s="39"/>
      <c r="H56" s="73">
        <f>ROUND('F1.3 Proposed Rate Riders'!$E$20,2)</f>
        <v>-0.19</v>
      </c>
    </row>
    <row r="57" spans="3:12" s="5" customFormat="1" x14ac:dyDescent="0.25">
      <c r="C57" s="97" t="s">
        <v>200</v>
      </c>
      <c r="D57" s="39"/>
      <c r="E57" s="1"/>
      <c r="F57" s="1"/>
      <c r="G57" s="41"/>
      <c r="H57" s="179">
        <f>'F1.4 Proposed Forgone Rev Rider'!F20</f>
        <v>0.75594065184231063</v>
      </c>
      <c r="I57" s="41"/>
      <c r="J57" s="1"/>
      <c r="K57" s="1"/>
      <c r="L57" s="1"/>
    </row>
    <row r="58" spans="3:12" s="5" customFormat="1" ht="15" x14ac:dyDescent="0.2"/>
    <row r="59" spans="3:12" s="5" customFormat="1" ht="15" x14ac:dyDescent="0.2">
      <c r="C59" s="25" t="s">
        <v>71</v>
      </c>
    </row>
    <row r="60" spans="3:12" s="5" customFormat="1" ht="18" x14ac:dyDescent="0.2">
      <c r="C60" s="5" t="s">
        <v>59</v>
      </c>
      <c r="E60" s="22">
        <v>677.60000000000014</v>
      </c>
    </row>
    <row r="61" spans="3:12" s="5" customFormat="1" ht="18" x14ac:dyDescent="0.2">
      <c r="C61" s="25" t="s">
        <v>70</v>
      </c>
      <c r="E61" s="22">
        <v>0</v>
      </c>
    </row>
    <row r="62" spans="3:12" s="5" customFormat="1" ht="18" x14ac:dyDescent="0.2">
      <c r="C62" s="25" t="s">
        <v>69</v>
      </c>
      <c r="E62" s="22">
        <v>0</v>
      </c>
    </row>
    <row r="63" spans="3:12" s="5" customFormat="1" ht="15" x14ac:dyDescent="0.2"/>
    <row r="64" spans="3:12" s="5" customFormat="1" ht="15" x14ac:dyDescent="0.2">
      <c r="E64" s="19" t="s">
        <v>62</v>
      </c>
      <c r="F64" s="19" t="s">
        <v>37</v>
      </c>
      <c r="G64" s="19"/>
      <c r="H64" s="19" t="s">
        <v>57</v>
      </c>
      <c r="J64" s="5" t="s">
        <v>64</v>
      </c>
      <c r="L64" s="20" t="s">
        <v>65</v>
      </c>
    </row>
    <row r="65" spans="3:12" s="5" customFormat="1" ht="15" x14ac:dyDescent="0.2">
      <c r="C65" s="5" t="s">
        <v>58</v>
      </c>
      <c r="E65" s="63">
        <v>5</v>
      </c>
      <c r="F65" s="64">
        <f>F48*E65</f>
        <v>75</v>
      </c>
      <c r="H65" s="64">
        <f>H48*E65</f>
        <v>75</v>
      </c>
      <c r="J65" s="61">
        <f>H65-F65</f>
        <v>0</v>
      </c>
      <c r="L65" s="65">
        <f t="shared" ref="L65:L70" si="4">IF(ISERROR(J65/F65),0,J65/F65)</f>
        <v>0</v>
      </c>
    </row>
    <row r="66" spans="3:12" s="5" customFormat="1" ht="18" x14ac:dyDescent="0.2">
      <c r="C66" s="5" t="s">
        <v>59</v>
      </c>
      <c r="E66" s="63">
        <f>E60</f>
        <v>677.60000000000014</v>
      </c>
      <c r="F66" s="64">
        <f>F49*E66/100</f>
        <v>124.04687680000002</v>
      </c>
      <c r="H66" s="64">
        <f>H49*E66/100</f>
        <v>129.54808200328813</v>
      </c>
      <c r="J66" s="61">
        <f t="shared" ref="J66:J70" si="5">H66-F66</f>
        <v>5.5012052032881087</v>
      </c>
      <c r="L66" s="65">
        <f t="shared" si="4"/>
        <v>4.4347792908624908E-2</v>
      </c>
    </row>
    <row r="67" spans="3:12" s="5" customFormat="1" ht="18" x14ac:dyDescent="0.2">
      <c r="C67" s="25" t="s">
        <v>70</v>
      </c>
      <c r="E67" s="63">
        <f>E61</f>
        <v>0</v>
      </c>
      <c r="F67" s="64">
        <f>F50*E67/100</f>
        <v>0</v>
      </c>
      <c r="H67" s="64">
        <f>H50*E67/100</f>
        <v>0</v>
      </c>
      <c r="J67" s="61">
        <f t="shared" si="5"/>
        <v>0</v>
      </c>
      <c r="L67" s="65">
        <f t="shared" si="4"/>
        <v>0</v>
      </c>
    </row>
    <row r="68" spans="3:12" s="5" customFormat="1" ht="18" x14ac:dyDescent="0.2">
      <c r="C68" s="25" t="s">
        <v>69</v>
      </c>
      <c r="E68" s="63">
        <f>E62</f>
        <v>0</v>
      </c>
      <c r="F68" s="64">
        <f>F51*E68/100</f>
        <v>0</v>
      </c>
      <c r="H68" s="64">
        <f>H51*E68/100</f>
        <v>0</v>
      </c>
      <c r="J68" s="61">
        <f t="shared" ref="J68" si="6">H68-F68</f>
        <v>0</v>
      </c>
      <c r="L68" s="65">
        <f t="shared" si="4"/>
        <v>0</v>
      </c>
    </row>
    <row r="69" spans="3:12" s="5" customFormat="1" ht="15" x14ac:dyDescent="0.2">
      <c r="C69" s="5" t="s">
        <v>61</v>
      </c>
      <c r="E69" s="63">
        <f>SUM(E66:E67)</f>
        <v>677.60000000000014</v>
      </c>
      <c r="F69" s="64">
        <f>F52*E69/100</f>
        <v>0.24596880000000007</v>
      </c>
      <c r="H69" s="64">
        <f>H52*E69/100</f>
        <v>0.24596880000000007</v>
      </c>
      <c r="J69" s="61">
        <f t="shared" si="5"/>
        <v>0</v>
      </c>
      <c r="L69" s="65">
        <f t="shared" si="4"/>
        <v>0</v>
      </c>
    </row>
    <row r="70" spans="3:12" s="5" customFormat="1" x14ac:dyDescent="0.25">
      <c r="C70" s="23" t="s">
        <v>63</v>
      </c>
      <c r="F70" s="66">
        <f>SUM(F65:F69)</f>
        <v>199.29284560000002</v>
      </c>
      <c r="H70" s="66">
        <f>SUM(H65:H69)</f>
        <v>204.79405080328814</v>
      </c>
      <c r="J70" s="67">
        <f t="shared" si="5"/>
        <v>5.5012052032881229</v>
      </c>
      <c r="L70" s="68">
        <f t="shared" si="4"/>
        <v>2.7603626144862083E-2</v>
      </c>
    </row>
    <row r="71" spans="3:12" s="5" customFormat="1" x14ac:dyDescent="0.25">
      <c r="C71" s="23"/>
      <c r="F71" s="36"/>
      <c r="H71" s="36"/>
      <c r="J71" s="37"/>
      <c r="L71" s="38"/>
    </row>
    <row r="72" spans="3:12" s="5" customFormat="1" x14ac:dyDescent="0.25">
      <c r="C72" s="23" t="s">
        <v>85</v>
      </c>
      <c r="D72" s="39"/>
      <c r="E72" s="39"/>
      <c r="F72" s="39"/>
      <c r="G72" s="39"/>
      <c r="H72" s="39"/>
      <c r="I72" s="39"/>
      <c r="J72" s="39"/>
      <c r="K72" s="39"/>
      <c r="L72" s="39"/>
    </row>
    <row r="73" spans="3:12" s="5" customFormat="1" ht="15" x14ac:dyDescent="0.2"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3:12" s="5" customFormat="1" x14ac:dyDescent="0.25">
      <c r="C74" s="23" t="s">
        <v>85</v>
      </c>
      <c r="D74" s="39"/>
      <c r="E74" s="42" t="s">
        <v>62</v>
      </c>
      <c r="F74" s="42" t="s">
        <v>37</v>
      </c>
      <c r="G74" s="42"/>
      <c r="H74" s="42" t="s">
        <v>57</v>
      </c>
      <c r="I74" s="39"/>
      <c r="J74" s="39" t="s">
        <v>64</v>
      </c>
      <c r="K74" s="39"/>
      <c r="L74" s="43" t="s">
        <v>65</v>
      </c>
    </row>
    <row r="75" spans="3:12" s="5" customFormat="1" ht="15" x14ac:dyDescent="0.2">
      <c r="C75" s="97" t="s">
        <v>177</v>
      </c>
      <c r="D75" s="39"/>
      <c r="E75" s="74">
        <v>5</v>
      </c>
      <c r="F75" s="73">
        <f>F55*E75</f>
        <v>-0.95</v>
      </c>
      <c r="G75" s="41"/>
      <c r="H75" s="73">
        <v>0</v>
      </c>
      <c r="I75" s="41"/>
      <c r="J75" s="73">
        <f>H75-F75</f>
        <v>0.95</v>
      </c>
      <c r="K75" s="39"/>
      <c r="L75" s="75">
        <f>IF(ISERROR(J75/F75),0,J75/F75)</f>
        <v>-1</v>
      </c>
    </row>
    <row r="76" spans="3:12" s="5" customFormat="1" ht="15" x14ac:dyDescent="0.2">
      <c r="C76" s="97" t="s">
        <v>185</v>
      </c>
      <c r="D76" s="39"/>
      <c r="E76" s="109">
        <f>IF('F1.4 Proposed Forgone Rev Rider'!$E$12=0,5,5+'F1.4 Proposed Forgone Rev Rider'!$E$12)</f>
        <v>8</v>
      </c>
      <c r="F76" s="73">
        <v>0</v>
      </c>
      <c r="G76" s="41"/>
      <c r="H76" s="73">
        <f>H56*E76</f>
        <v>-1.52</v>
      </c>
      <c r="I76" s="41"/>
      <c r="J76" s="73">
        <f t="shared" ref="J76:J77" si="7">H76-F76</f>
        <v>-1.52</v>
      </c>
      <c r="K76" s="39"/>
      <c r="L76" s="75">
        <f t="shared" ref="L76:L77" si="8">IF(ISERROR(J76/F76),0,J76/F76)</f>
        <v>0</v>
      </c>
    </row>
    <row r="77" spans="3:12" s="5" customFormat="1" ht="15" x14ac:dyDescent="0.2">
      <c r="C77" s="97" t="s">
        <v>200</v>
      </c>
      <c r="D77" s="39"/>
      <c r="E77" s="63">
        <f>E60/5*'F1.4 Proposed Forgone Rev Rider'!E12</f>
        <v>406.56000000000012</v>
      </c>
      <c r="F77" s="73"/>
      <c r="G77" s="41"/>
      <c r="H77" s="73">
        <f>E77*H57/100</f>
        <v>3.0733523141300991</v>
      </c>
      <c r="I77" s="41"/>
      <c r="J77" s="73">
        <f t="shared" si="7"/>
        <v>3.0733523141300991</v>
      </c>
      <c r="K77" s="39"/>
      <c r="L77" s="75">
        <f t="shared" si="8"/>
        <v>0</v>
      </c>
    </row>
    <row r="78" spans="3:12" s="5" customFormat="1" x14ac:dyDescent="0.25">
      <c r="C78" s="29" t="s">
        <v>87</v>
      </c>
      <c r="D78" s="39"/>
      <c r="E78" s="39"/>
      <c r="F78" s="69">
        <f>SUM(F75:F77)</f>
        <v>-0.95</v>
      </c>
      <c r="G78" s="39"/>
      <c r="H78" s="69">
        <f>SUM(H75:H77)</f>
        <v>1.5533523141300991</v>
      </c>
      <c r="I78" s="39"/>
      <c r="J78" s="69">
        <f>SUM(J75:J77)</f>
        <v>2.5033523141300993</v>
      </c>
      <c r="K78" s="39"/>
      <c r="L78" s="68">
        <f t="shared" ref="L78" si="9">IF(ISERROR(J78/F78),0,J78/F78)</f>
        <v>-2.635107699084315</v>
      </c>
    </row>
    <row r="79" spans="3:12" s="5" customFormat="1" ht="15" x14ac:dyDescent="0.2">
      <c r="C79" s="40"/>
      <c r="D79" s="39"/>
      <c r="E79" s="39"/>
      <c r="F79" s="39"/>
      <c r="G79" s="39"/>
      <c r="H79" s="39"/>
      <c r="I79" s="39"/>
      <c r="J79" s="39"/>
      <c r="K79" s="39"/>
      <c r="L79" s="39"/>
    </row>
    <row r="80" spans="3:12" s="5" customFormat="1" ht="16.5" thickBot="1" x14ac:dyDescent="0.3">
      <c r="C80" s="29" t="s">
        <v>88</v>
      </c>
      <c r="D80" s="39"/>
      <c r="E80" s="39"/>
      <c r="F80" s="70">
        <f>SUM(F70,F78)</f>
        <v>198.34284560000003</v>
      </c>
      <c r="G80" s="39"/>
      <c r="H80" s="69">
        <f>SUM(H70,H78)</f>
        <v>206.34740311741825</v>
      </c>
      <c r="I80" s="39"/>
      <c r="J80" s="69">
        <f>SUM(J70,J78)</f>
        <v>8.0045575174182222</v>
      </c>
      <c r="K80" s="39"/>
      <c r="L80" s="72">
        <f>IF(ISERROR(J80/F80),0,J80/F80)</f>
        <v>4.0357177962249732E-2</v>
      </c>
    </row>
    <row r="81" spans="3:12" s="5" customFormat="1" ht="15.75" customHeight="1" x14ac:dyDescent="0.25">
      <c r="D81" s="1"/>
    </row>
    <row r="82" spans="3:12" s="5" customFormat="1" ht="15.75" customHeight="1" x14ac:dyDescent="0.25">
      <c r="D82" s="1"/>
    </row>
    <row r="83" spans="3:12" s="5" customFormat="1" ht="20.25" x14ac:dyDescent="0.3">
      <c r="C83" s="4" t="s">
        <v>128</v>
      </c>
      <c r="F83" s="19" t="s">
        <v>37</v>
      </c>
      <c r="G83" s="19"/>
      <c r="H83" s="19" t="s">
        <v>57</v>
      </c>
    </row>
    <row r="84" spans="3:12" s="5" customFormat="1" ht="15" x14ac:dyDescent="0.2"/>
    <row r="85" spans="3:12" s="5" customFormat="1" ht="15" x14ac:dyDescent="0.2">
      <c r="C85" s="5" t="s">
        <v>67</v>
      </c>
    </row>
    <row r="86" spans="3:12" s="5" customFormat="1" ht="18" x14ac:dyDescent="0.2">
      <c r="C86" s="5" t="s">
        <v>59</v>
      </c>
      <c r="E86" s="22">
        <f>E23+E60</f>
        <v>3508.8</v>
      </c>
    </row>
    <row r="87" spans="3:12" s="5" customFormat="1" ht="18" x14ac:dyDescent="0.2">
      <c r="C87" s="25" t="s">
        <v>70</v>
      </c>
      <c r="E87" s="22">
        <f>E24+E61</f>
        <v>3379.8</v>
      </c>
    </row>
    <row r="88" spans="3:12" s="5" customFormat="1" ht="18" x14ac:dyDescent="0.2">
      <c r="C88" s="25" t="s">
        <v>69</v>
      </c>
      <c r="E88" s="22">
        <f>E25+E62</f>
        <v>1.1368683772161603E-13</v>
      </c>
    </row>
    <row r="89" spans="3:12" s="5" customFormat="1" ht="15" x14ac:dyDescent="0.2"/>
    <row r="90" spans="3:12" s="5" customFormat="1" ht="15" x14ac:dyDescent="0.2">
      <c r="E90" s="19" t="s">
        <v>62</v>
      </c>
      <c r="F90" s="19" t="s">
        <v>37</v>
      </c>
      <c r="G90" s="19"/>
      <c r="H90" s="19" t="s">
        <v>57</v>
      </c>
      <c r="J90" s="5" t="s">
        <v>64</v>
      </c>
      <c r="L90" s="20" t="s">
        <v>65</v>
      </c>
    </row>
    <row r="91" spans="3:12" s="5" customFormat="1" ht="15" x14ac:dyDescent="0.2">
      <c r="C91" s="5" t="s">
        <v>58</v>
      </c>
      <c r="E91" s="63">
        <f>E28+E65</f>
        <v>12</v>
      </c>
      <c r="F91" s="64">
        <f>F28+F65</f>
        <v>180</v>
      </c>
      <c r="H91" s="64">
        <f>H28+H65</f>
        <v>180</v>
      </c>
      <c r="J91" s="61">
        <f>H91-F91</f>
        <v>0</v>
      </c>
      <c r="L91" s="65">
        <f t="shared" ref="L91:L96" si="10">IF(ISERROR(J91/F91),0,J91/F91)</f>
        <v>0</v>
      </c>
    </row>
    <row r="92" spans="3:12" s="5" customFormat="1" ht="18" x14ac:dyDescent="0.2">
      <c r="C92" s="5" t="s">
        <v>59</v>
      </c>
      <c r="E92" s="63">
        <f>E86</f>
        <v>3508.8</v>
      </c>
      <c r="F92" s="64">
        <f>F29+F66</f>
        <v>535.23904000000016</v>
      </c>
      <c r="H92" s="64">
        <f>H29+H66</f>
        <v>558.97571010253137</v>
      </c>
      <c r="J92" s="61">
        <f t="shared" ref="J92:J96" si="11">H92-F92</f>
        <v>23.736670102531207</v>
      </c>
      <c r="L92" s="65">
        <f t="shared" si="10"/>
        <v>4.4347792908624901E-2</v>
      </c>
    </row>
    <row r="93" spans="3:12" s="5" customFormat="1" ht="18" x14ac:dyDescent="0.2">
      <c r="C93" s="25" t="s">
        <v>70</v>
      </c>
      <c r="E93" s="63">
        <f>E87</f>
        <v>3379.8</v>
      </c>
      <c r="F93" s="64">
        <f>F30+F67</f>
        <v>320.49291479999999</v>
      </c>
      <c r="H93" s="64">
        <f>H30+H67</f>
        <v>320.49291479999999</v>
      </c>
      <c r="J93" s="61">
        <f t="shared" si="11"/>
        <v>0</v>
      </c>
      <c r="L93" s="65">
        <f t="shared" si="10"/>
        <v>0</v>
      </c>
    </row>
    <row r="94" spans="3:12" s="5" customFormat="1" ht="18" x14ac:dyDescent="0.2">
      <c r="C94" s="25" t="s">
        <v>69</v>
      </c>
      <c r="E94" s="63">
        <f>E88</f>
        <v>1.1368683772161603E-13</v>
      </c>
      <c r="F94" s="64">
        <f>F31+F68</f>
        <v>7.0142505137482661E-15</v>
      </c>
      <c r="H94" s="64">
        <f>H31+H68</f>
        <v>7.0142505137482661E-15</v>
      </c>
      <c r="J94" s="61">
        <f t="shared" ref="J94" si="12">H94-F94</f>
        <v>0</v>
      </c>
      <c r="L94" s="65">
        <f t="shared" si="10"/>
        <v>0</v>
      </c>
    </row>
    <row r="95" spans="3:12" s="5" customFormat="1" ht="15" x14ac:dyDescent="0.2">
      <c r="C95" s="5" t="s">
        <v>61</v>
      </c>
      <c r="E95" s="63">
        <f>SUM(E92:E93)</f>
        <v>6888.6</v>
      </c>
      <c r="F95" s="64">
        <f>F32+F69</f>
        <v>2.5005617999999998</v>
      </c>
      <c r="H95" s="64">
        <f>H32+H69</f>
        <v>2.5005617999999998</v>
      </c>
      <c r="J95" s="61">
        <f t="shared" si="11"/>
        <v>0</v>
      </c>
      <c r="L95" s="65">
        <f t="shared" si="10"/>
        <v>0</v>
      </c>
    </row>
    <row r="96" spans="3:12" s="5" customFormat="1" x14ac:dyDescent="0.25">
      <c r="C96" s="23" t="s">
        <v>63</v>
      </c>
      <c r="F96" s="66">
        <f>SUM(F91:F95)</f>
        <v>1038.2325166000001</v>
      </c>
      <c r="H96" s="66">
        <f>SUM(H91:H95)</f>
        <v>1061.9691867025313</v>
      </c>
      <c r="J96" s="67">
        <f t="shared" si="11"/>
        <v>23.736670102531207</v>
      </c>
      <c r="L96" s="68">
        <f t="shared" si="10"/>
        <v>2.2862576275557198E-2</v>
      </c>
    </row>
    <row r="97" spans="3:12" s="5" customFormat="1" ht="15.75" customHeight="1" x14ac:dyDescent="0.25">
      <c r="D97" s="1"/>
    </row>
    <row r="98" spans="3:12" s="5" customFormat="1" ht="15.75" customHeight="1" x14ac:dyDescent="0.25">
      <c r="C98" s="23" t="s">
        <v>85</v>
      </c>
      <c r="D98" s="39"/>
      <c r="E98" s="39"/>
      <c r="F98" s="39"/>
      <c r="G98" s="39"/>
      <c r="H98" s="39"/>
      <c r="I98" s="39"/>
      <c r="J98" s="39"/>
      <c r="K98" s="39"/>
      <c r="L98" s="39"/>
    </row>
    <row r="99" spans="3:12" s="5" customFormat="1" ht="15.75" customHeight="1" x14ac:dyDescent="0.2"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3:12" s="5" customFormat="1" ht="15.75" customHeight="1" x14ac:dyDescent="0.25">
      <c r="C100" s="23" t="s">
        <v>85</v>
      </c>
      <c r="D100" s="39"/>
      <c r="E100" s="42" t="s">
        <v>62</v>
      </c>
      <c r="F100" s="42" t="s">
        <v>37</v>
      </c>
      <c r="G100" s="42"/>
      <c r="H100" s="42" t="s">
        <v>57</v>
      </c>
      <c r="I100" s="39"/>
      <c r="J100" s="39" t="s">
        <v>64</v>
      </c>
      <c r="K100" s="39"/>
      <c r="L100" s="43" t="s">
        <v>65</v>
      </c>
    </row>
    <row r="101" spans="3:12" s="5" customFormat="1" ht="15.75" customHeight="1" x14ac:dyDescent="0.2">
      <c r="C101" s="97" t="s">
        <v>177</v>
      </c>
      <c r="D101" s="39"/>
      <c r="E101" s="74">
        <f t="shared" ref="E101:F103" si="13">E38+E75</f>
        <v>12</v>
      </c>
      <c r="F101" s="73">
        <f t="shared" si="13"/>
        <v>-2.2800000000000002</v>
      </c>
      <c r="G101" s="41"/>
      <c r="H101" s="73">
        <f>H38+H75</f>
        <v>0</v>
      </c>
      <c r="I101" s="41"/>
      <c r="J101" s="73">
        <f>H101-F101</f>
        <v>2.2800000000000002</v>
      </c>
      <c r="K101" s="39"/>
      <c r="L101" s="75">
        <f t="shared" ref="L101" si="14">IF(ISERROR(J101/F101),1,J101/F101)</f>
        <v>-1</v>
      </c>
    </row>
    <row r="102" spans="3:12" s="5" customFormat="1" ht="15.75" customHeight="1" x14ac:dyDescent="0.2">
      <c r="C102" s="97" t="s">
        <v>185</v>
      </c>
      <c r="D102" s="39"/>
      <c r="E102" s="74">
        <f t="shared" si="13"/>
        <v>15</v>
      </c>
      <c r="F102" s="73">
        <f t="shared" si="13"/>
        <v>0</v>
      </c>
      <c r="G102" s="41"/>
      <c r="H102" s="73">
        <f>H39+H76</f>
        <v>-2.85</v>
      </c>
      <c r="I102" s="41"/>
      <c r="J102" s="73">
        <f t="shared" ref="J102:J103" si="15">H102-F102</f>
        <v>-2.85</v>
      </c>
      <c r="K102" s="39"/>
      <c r="L102" s="75">
        <f>IF(ISERROR(J102/F102),1,J102/F102)</f>
        <v>1</v>
      </c>
    </row>
    <row r="103" spans="3:12" s="5" customFormat="1" ht="15.75" customHeight="1" x14ac:dyDescent="0.2">
      <c r="C103" s="97" t="str">
        <f>C77</f>
        <v>Block 1 (First 1,000 m3 per month) - Foregone Revenue</v>
      </c>
      <c r="D103" s="39"/>
      <c r="E103" s="63">
        <f t="shared" si="13"/>
        <v>406.56000000000012</v>
      </c>
      <c r="F103" s="73">
        <f t="shared" si="13"/>
        <v>0</v>
      </c>
      <c r="G103" s="41"/>
      <c r="H103" s="73">
        <f>H40+H77</f>
        <v>3.0733523141300991</v>
      </c>
      <c r="I103" s="41"/>
      <c r="J103" s="73">
        <f t="shared" si="15"/>
        <v>3.0733523141300991</v>
      </c>
      <c r="K103" s="39"/>
      <c r="L103" s="75">
        <f>IF(ISERROR(J103/F103),1,J103/F103)</f>
        <v>1</v>
      </c>
    </row>
    <row r="104" spans="3:12" s="5" customFormat="1" ht="15.75" customHeight="1" x14ac:dyDescent="0.25">
      <c r="C104" s="29" t="s">
        <v>87</v>
      </c>
      <c r="D104" s="39"/>
      <c r="E104" s="39"/>
      <c r="F104" s="69">
        <f>SUM(F101:F103)</f>
        <v>-2.2800000000000002</v>
      </c>
      <c r="G104" s="39"/>
      <c r="H104" s="69">
        <f>SUM(H101:H103)</f>
        <v>0.22335231413009904</v>
      </c>
      <c r="I104" s="39"/>
      <c r="J104" s="69">
        <f>SUM(J101:J103)</f>
        <v>2.5033523141300993</v>
      </c>
      <c r="K104" s="39"/>
      <c r="L104" s="68">
        <f t="shared" ref="L104" si="16">IF(ISERROR(J104/F104),0,J104/F104)</f>
        <v>-1.0979615412851311</v>
      </c>
    </row>
    <row r="105" spans="3:12" s="5" customFormat="1" ht="15.75" customHeight="1" x14ac:dyDescent="0.2">
      <c r="C105" s="40"/>
      <c r="D105" s="39"/>
      <c r="E105" s="39"/>
      <c r="F105" s="39"/>
      <c r="G105" s="39"/>
      <c r="H105" s="39"/>
      <c r="I105" s="39"/>
      <c r="J105" s="39"/>
      <c r="K105" s="39"/>
      <c r="L105" s="39"/>
    </row>
    <row r="106" spans="3:12" s="5" customFormat="1" ht="15.75" customHeight="1" thickBot="1" x14ac:dyDescent="0.3">
      <c r="C106" s="29" t="s">
        <v>88</v>
      </c>
      <c r="D106" s="39"/>
      <c r="E106" s="39"/>
      <c r="F106" s="70">
        <f>SUM(F96,F104)</f>
        <v>1035.9525166000001</v>
      </c>
      <c r="G106" s="39"/>
      <c r="H106" s="69">
        <f>SUM(H96,H104)</f>
        <v>1062.1925390166614</v>
      </c>
      <c r="I106" s="39"/>
      <c r="J106" s="69">
        <f>SUM(J96,J104)</f>
        <v>26.240022416661304</v>
      </c>
      <c r="K106" s="39"/>
      <c r="L106" s="72">
        <f>IF(ISERROR(J106/F106),0,J106/F106)</f>
        <v>2.5329367896881175E-2</v>
      </c>
    </row>
    <row r="107" spans="3:12" s="5" customFormat="1" ht="15.75" customHeight="1" x14ac:dyDescent="0.25">
      <c r="D107" s="1"/>
    </row>
    <row r="108" spans="3:12" s="5" customFormat="1" ht="15.75" customHeight="1" x14ac:dyDescent="0.25">
      <c r="D108" s="1"/>
    </row>
    <row r="109" spans="3:12" s="5" customFormat="1" ht="15.75" customHeight="1" x14ac:dyDescent="0.25">
      <c r="D109" s="1"/>
    </row>
    <row r="110" spans="3:12" s="5" customFormat="1" ht="15.75" customHeight="1" x14ac:dyDescent="0.25">
      <c r="D110" s="1"/>
    </row>
    <row r="111" spans="3:12" s="5" customFormat="1" ht="15.75" customHeight="1" x14ac:dyDescent="0.25">
      <c r="D111" s="1"/>
    </row>
    <row r="112" spans="3:12" s="5" customFormat="1" ht="15.75" customHeight="1" x14ac:dyDescent="0.25">
      <c r="D112" s="1"/>
    </row>
    <row r="113" spans="4:4" s="5" customFormat="1" ht="15.75" customHeight="1" x14ac:dyDescent="0.25">
      <c r="D113" s="1"/>
    </row>
    <row r="114" spans="4:4" s="5" customFormat="1" ht="15.75" customHeight="1" x14ac:dyDescent="0.25">
      <c r="D114" s="1"/>
    </row>
    <row r="115" spans="4:4" s="5" customFormat="1" ht="15.75" customHeight="1" x14ac:dyDescent="0.25">
      <c r="D115" s="1"/>
    </row>
    <row r="116" spans="4:4" s="5" customFormat="1" ht="15.75" customHeight="1" x14ac:dyDescent="0.25">
      <c r="D116" s="1"/>
    </row>
    <row r="117" spans="4:4" s="5" customFormat="1" ht="15.75" customHeight="1" x14ac:dyDescent="0.25">
      <c r="D117" s="1"/>
    </row>
    <row r="118" spans="4:4" s="5" customFormat="1" ht="15.75" customHeight="1" x14ac:dyDescent="0.25">
      <c r="D118" s="1"/>
    </row>
    <row r="119" spans="4:4" s="5" customFormat="1" ht="15.75" customHeight="1" x14ac:dyDescent="0.25">
      <c r="D119" s="1"/>
    </row>
    <row r="120" spans="4:4" s="5" customFormat="1" ht="15.75" customHeight="1" x14ac:dyDescent="0.25">
      <c r="D120" s="1"/>
    </row>
    <row r="121" spans="4:4" s="5" customFormat="1" ht="15.75" customHeight="1" x14ac:dyDescent="0.25">
      <c r="D121" s="1"/>
    </row>
    <row r="122" spans="4:4" s="5" customFormat="1" ht="15.75" customHeight="1" x14ac:dyDescent="0.25">
      <c r="D122" s="1"/>
    </row>
    <row r="123" spans="4:4" s="5" customFormat="1" ht="15.75" customHeight="1" x14ac:dyDescent="0.25">
      <c r="D123" s="1"/>
    </row>
    <row r="124" spans="4:4" s="5" customFormat="1" ht="15.75" customHeight="1" x14ac:dyDescent="0.25">
      <c r="D124" s="1"/>
    </row>
    <row r="125" spans="4:4" s="5" customFormat="1" ht="15.75" customHeight="1" x14ac:dyDescent="0.25">
      <c r="D125" s="1"/>
    </row>
  </sheetData>
  <sheetProtection formatColumns="0" formatRows="0"/>
  <pageMargins left="0.70866141732283505" right="0.70866141732283505" top="0.74803149606299202" bottom="0.74803149606299202" header="0.31496062992126" footer="0.31496062992126"/>
  <pageSetup scale="57" fitToHeight="3" orientation="landscape" r:id="rId1"/>
  <headerFooter>
    <oddHeader>&amp;RNatural Resource Gas Limited
EB-2014-2014
2014 IRM Application
Application
Page &amp;P &amp;  of  &amp;N
Filed: November 24, 2014</oddHeader>
    <oddFooter>&amp;R&amp;9&amp;A
&amp;D</oddFooter>
  </headerFooter>
  <rowBreaks count="2" manualBreakCount="2">
    <brk id="43" max="16383" man="1"/>
    <brk id="80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P65"/>
  <sheetViews>
    <sheetView showGridLines="0" topLeftCell="A44" workbookViewId="0">
      <selection activeCell="E42" sqref="E42"/>
    </sheetView>
  </sheetViews>
  <sheetFormatPr defaultColWidth="0" defaultRowHeight="15.75" customHeight="1" zeroHeight="1" x14ac:dyDescent="0.25"/>
  <cols>
    <col min="1" max="1" width="15.7109375" style="18" customWidth="1"/>
    <col min="2" max="2" width="9.140625" style="18" hidden="1" customWidth="1"/>
    <col min="3" max="3" width="55.7109375" style="18" customWidth="1"/>
    <col min="4" max="4" width="2.7109375" style="2" customWidth="1"/>
    <col min="5" max="5" width="11" style="18" bestFit="1" customWidth="1"/>
    <col min="6" max="6" width="14" style="18" bestFit="1" customWidth="1"/>
    <col min="7" max="7" width="2.7109375" style="18" customWidth="1"/>
    <col min="8" max="8" width="16.5703125" style="18" bestFit="1" customWidth="1"/>
    <col min="9" max="9" width="2.7109375" style="18" customWidth="1"/>
    <col min="10" max="10" width="11" style="18" bestFit="1" customWidth="1"/>
    <col min="11" max="11" width="2.7109375" style="18" customWidth="1"/>
    <col min="12" max="12" width="11.7109375" style="18" bestFit="1" customWidth="1"/>
    <col min="13" max="13" width="2.7109375" style="18" customWidth="1"/>
    <col min="14" max="15" width="12.7109375" style="18" hidden="1" customWidth="1"/>
    <col min="16" max="16" width="2.7109375" style="18" hidden="1" customWidth="1"/>
    <col min="17" max="16384" width="0" style="18" hidden="1"/>
  </cols>
  <sheetData>
    <row r="1" spans="1:12" ht="15" x14ac:dyDescent="0.2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</row>
    <row r="2" spans="1:12" s="5" customFormat="1" ht="18" x14ac:dyDescent="0.25">
      <c r="C2" s="8" t="str">
        <f>'A1.1 Distributor Information'!C3</f>
        <v>Name of LDC:       Natural Resource Gas Limited</v>
      </c>
    </row>
    <row r="3" spans="1:12" s="5" customFormat="1" ht="18" x14ac:dyDescent="0.25">
      <c r="C3" s="8" t="str">
        <f>'A1.1 Distributor Information'!C4</f>
        <v xml:space="preserve">OEB Application Number:          </v>
      </c>
    </row>
    <row r="4" spans="1:12" s="5" customFormat="1" ht="15" x14ac:dyDescent="0.2"/>
    <row r="5" spans="1:12" s="5" customFormat="1" ht="15" x14ac:dyDescent="0.2"/>
    <row r="6" spans="1:12" s="5" customFormat="1" ht="15" x14ac:dyDescent="0.2"/>
    <row r="7" spans="1:12" s="5" customFormat="1" ht="15" x14ac:dyDescent="0.2"/>
    <row r="8" spans="1:12" s="5" customFormat="1" ht="15" x14ac:dyDescent="0.2"/>
    <row r="9" spans="1:12" s="5" customFormat="1" ht="15" x14ac:dyDescent="0.2"/>
    <row r="10" spans="1:12" s="5" customFormat="1" ht="20.25" x14ac:dyDescent="0.3">
      <c r="C10" s="4" t="s">
        <v>72</v>
      </c>
    </row>
    <row r="11" spans="1:12" s="5" customFormat="1" ht="15" x14ac:dyDescent="0.2"/>
    <row r="12" spans="1:12" s="5" customFormat="1" ht="15" x14ac:dyDescent="0.2"/>
    <row r="13" spans="1:12" s="5" customFormat="1" ht="15" x14ac:dyDescent="0.2"/>
    <row r="14" spans="1:12" s="5" customFormat="1" ht="15" x14ac:dyDescent="0.2"/>
    <row r="15" spans="1:12" s="5" customFormat="1" ht="20.25" x14ac:dyDescent="0.3">
      <c r="C15" s="4" t="s">
        <v>73</v>
      </c>
      <c r="F15" s="19" t="s">
        <v>37</v>
      </c>
      <c r="G15" s="19"/>
      <c r="H15" s="19" t="s">
        <v>57</v>
      </c>
    </row>
    <row r="16" spans="1:12" s="5" customFormat="1" ht="15" x14ac:dyDescent="0.2"/>
    <row r="17" spans="3:14" s="5" customFormat="1" ht="15" x14ac:dyDescent="0.2">
      <c r="C17" s="5" t="s">
        <v>58</v>
      </c>
      <c r="F17" s="61">
        <f>'B1.1 Current Distribution Rates'!E21</f>
        <v>150</v>
      </c>
      <c r="H17" s="61">
        <f>'E1.1 Proposed Dist Rates '!E21</f>
        <v>150</v>
      </c>
    </row>
    <row r="18" spans="3:14" s="5" customFormat="1" ht="15" x14ac:dyDescent="0.2">
      <c r="C18" s="26" t="s">
        <v>6</v>
      </c>
      <c r="F18" s="62">
        <f>'B1.1 Current Distribution Rates'!J21</f>
        <v>3.8521000000000001</v>
      </c>
      <c r="H18" s="62">
        <f>'E1.1 Proposed Dist Rates '!J21</f>
        <v>3.9431266753884224</v>
      </c>
    </row>
    <row r="19" spans="3:14" s="5" customFormat="1" ht="15" x14ac:dyDescent="0.2">
      <c r="C19" s="26" t="s">
        <v>7</v>
      </c>
      <c r="F19" s="62">
        <f>'B1.1 Current Distribution Rates'!K21</f>
        <v>29.0974</v>
      </c>
      <c r="H19" s="62">
        <f>'E1.1 Proposed Dist Rates '!K21</f>
        <v>29.0974</v>
      </c>
    </row>
    <row r="20" spans="3:14" s="5" customFormat="1" ht="15" x14ac:dyDescent="0.2">
      <c r="C20" s="5" t="s">
        <v>61</v>
      </c>
      <c r="F20" s="62">
        <f>'B1.1 Current Distribution Rates'!L21</f>
        <v>3.6299999999999999E-2</v>
      </c>
      <c r="H20" s="62">
        <f>'E1.1 Proposed Dist Rates '!L21</f>
        <v>3.6299999999999999E-2</v>
      </c>
    </row>
    <row r="21" spans="3:14" s="5" customFormat="1" ht="15" x14ac:dyDescent="0.2">
      <c r="F21" s="24"/>
      <c r="H21" s="24"/>
    </row>
    <row r="22" spans="3:14" s="5" customFormat="1" ht="15" x14ac:dyDescent="0.2">
      <c r="C22" s="39" t="s">
        <v>85</v>
      </c>
      <c r="D22" s="39"/>
      <c r="E22" s="39"/>
      <c r="F22" s="39"/>
      <c r="G22" s="39"/>
      <c r="H22" s="39"/>
    </row>
    <row r="23" spans="3:14" s="5" customFormat="1" ht="15" x14ac:dyDescent="0.2">
      <c r="C23" s="97" t="s">
        <v>177</v>
      </c>
      <c r="D23" s="39"/>
      <c r="E23" s="39"/>
      <c r="F23" s="73">
        <f>'C1.1 Current Rate Riders'!$E$21</f>
        <v>-8.34</v>
      </c>
      <c r="G23" s="39"/>
      <c r="H23" s="39"/>
    </row>
    <row r="24" spans="3:14" s="5" customFormat="1" ht="15" x14ac:dyDescent="0.2">
      <c r="C24" s="97" t="s">
        <v>185</v>
      </c>
      <c r="D24" s="39"/>
      <c r="E24" s="39"/>
      <c r="F24" s="39"/>
      <c r="G24" s="39"/>
      <c r="H24" s="73">
        <f>ROUND('F1.3 Proposed Rate Riders'!$E$21,2)</f>
        <v>-8.34</v>
      </c>
    </row>
    <row r="25" spans="3:14" s="5" customFormat="1" ht="15" x14ac:dyDescent="0.2">
      <c r="C25" s="97" t="s">
        <v>201</v>
      </c>
      <c r="D25" s="39"/>
      <c r="E25" s="39"/>
      <c r="F25" s="39"/>
      <c r="G25" s="39"/>
      <c r="H25" s="179">
        <f>'F1.4 Proposed Forgone Rev Rider'!J21</f>
        <v>9.1026675388422351E-2</v>
      </c>
    </row>
    <row r="26" spans="3:14" s="5" customFormat="1" ht="15" x14ac:dyDescent="0.2"/>
    <row r="27" spans="3:14" s="5" customFormat="1" ht="15" x14ac:dyDescent="0.2">
      <c r="C27" s="5" t="s">
        <v>67</v>
      </c>
    </row>
    <row r="28" spans="3:14" s="5" customFormat="1" ht="15" x14ac:dyDescent="0.2">
      <c r="C28" s="26" t="s">
        <v>6</v>
      </c>
      <c r="E28" s="22">
        <v>548824.77</v>
      </c>
    </row>
    <row r="29" spans="3:14" s="5" customFormat="1" x14ac:dyDescent="0.25">
      <c r="C29" s="26" t="s">
        <v>7</v>
      </c>
      <c r="E29" s="22">
        <v>64233</v>
      </c>
      <c r="N29" s="21"/>
    </row>
    <row r="30" spans="3:14" s="5" customFormat="1" ht="15" x14ac:dyDescent="0.2"/>
    <row r="31" spans="3:14" s="5" customFormat="1" ht="15" x14ac:dyDescent="0.2">
      <c r="E31" s="19" t="s">
        <v>62</v>
      </c>
      <c r="F31" s="19" t="s">
        <v>37</v>
      </c>
      <c r="G31" s="19"/>
      <c r="H31" s="19" t="s">
        <v>57</v>
      </c>
      <c r="J31" s="5" t="s">
        <v>64</v>
      </c>
      <c r="L31" s="20" t="s">
        <v>65</v>
      </c>
    </row>
    <row r="32" spans="3:14" s="5" customFormat="1" ht="15" x14ac:dyDescent="0.2">
      <c r="C32" s="5" t="s">
        <v>58</v>
      </c>
      <c r="E32" s="63">
        <v>12</v>
      </c>
      <c r="F32" s="64">
        <f>F17*E32</f>
        <v>1800</v>
      </c>
      <c r="H32" s="61">
        <f>H17*E32</f>
        <v>1800</v>
      </c>
      <c r="J32" s="61">
        <f>H32-F32</f>
        <v>0</v>
      </c>
      <c r="L32" s="65">
        <f>IF(ISERROR(J32/F32),0,J32/F32)</f>
        <v>0</v>
      </c>
    </row>
    <row r="33" spans="3:12" s="5" customFormat="1" ht="15" x14ac:dyDescent="0.2">
      <c r="C33" s="26" t="s">
        <v>6</v>
      </c>
      <c r="E33" s="63">
        <f>E28</f>
        <v>548824.77</v>
      </c>
      <c r="F33" s="64">
        <f>F18*E33/100</f>
        <v>21141.27896517</v>
      </c>
      <c r="H33" s="61">
        <f>H18*E33/100</f>
        <v>21640.855907009154</v>
      </c>
      <c r="J33" s="61">
        <f t="shared" ref="J33:J36" si="0">H33-F33</f>
        <v>499.57694183915373</v>
      </c>
      <c r="L33" s="65">
        <f>IF(ISERROR(J33/F33),0,J33/F33)</f>
        <v>2.3630402997954884E-2</v>
      </c>
    </row>
    <row r="34" spans="3:12" s="5" customFormat="1" ht="15" x14ac:dyDescent="0.2">
      <c r="C34" s="26" t="s">
        <v>7</v>
      </c>
      <c r="E34" s="63">
        <f>E29</f>
        <v>64233</v>
      </c>
      <c r="F34" s="64">
        <f>F19*E34/100</f>
        <v>18690.132942</v>
      </c>
      <c r="H34" s="61">
        <f>H19*E34/100</f>
        <v>18690.132942</v>
      </c>
      <c r="J34" s="61">
        <f t="shared" si="0"/>
        <v>0</v>
      </c>
      <c r="L34" s="65">
        <f>IF(ISERROR(J34/F34),0,J34/F34)</f>
        <v>0</v>
      </c>
    </row>
    <row r="35" spans="3:12" s="5" customFormat="1" ht="15" x14ac:dyDescent="0.2">
      <c r="C35" s="5" t="s">
        <v>61</v>
      </c>
      <c r="E35" s="63">
        <f>E28</f>
        <v>548824.77</v>
      </c>
      <c r="F35" s="64">
        <f>F20*E35/100</f>
        <v>199.22339151</v>
      </c>
      <c r="H35" s="61">
        <f>H20*E35/100</f>
        <v>199.22339151</v>
      </c>
      <c r="J35" s="61">
        <f t="shared" si="0"/>
        <v>0</v>
      </c>
      <c r="L35" s="65">
        <f>IF(ISERROR(J35/F35),0,J35/F35)</f>
        <v>0</v>
      </c>
    </row>
    <row r="36" spans="3:12" s="5" customFormat="1" x14ac:dyDescent="0.25">
      <c r="C36" s="23" t="s">
        <v>63</v>
      </c>
      <c r="F36" s="66">
        <f>SUM(F32:F35)</f>
        <v>41830.635298679998</v>
      </c>
      <c r="H36" s="66">
        <f>SUM(H32:H35)</f>
        <v>42330.212240519155</v>
      </c>
      <c r="J36" s="67">
        <f t="shared" si="0"/>
        <v>499.57694183915737</v>
      </c>
      <c r="L36" s="68">
        <f>IF(ISERROR(J36/F36),0,J36/F36)</f>
        <v>1.1942848543228364E-2</v>
      </c>
    </row>
    <row r="37" spans="3:12" s="5" customFormat="1" ht="15" x14ac:dyDescent="0.2">
      <c r="J37" s="177"/>
    </row>
    <row r="38" spans="3:12" s="5" customFormat="1" x14ac:dyDescent="0.25">
      <c r="C38" s="23" t="s">
        <v>85</v>
      </c>
      <c r="D38" s="39"/>
      <c r="E38" s="39"/>
      <c r="F38" s="39"/>
      <c r="G38" s="39"/>
      <c r="H38" s="39"/>
      <c r="I38" s="39"/>
      <c r="J38" s="39"/>
      <c r="K38" s="39"/>
      <c r="L38" s="39"/>
    </row>
    <row r="39" spans="3:12" s="5" customFormat="1" ht="15.75" customHeight="1" x14ac:dyDescent="0.2"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3:12" s="5" customFormat="1" ht="15.75" customHeight="1" x14ac:dyDescent="0.25">
      <c r="C40" s="23" t="s">
        <v>85</v>
      </c>
      <c r="D40" s="39"/>
      <c r="E40" s="42" t="s">
        <v>62</v>
      </c>
      <c r="F40" s="42" t="s">
        <v>37</v>
      </c>
      <c r="G40" s="42"/>
      <c r="H40" s="42" t="s">
        <v>57</v>
      </c>
      <c r="I40" s="39"/>
      <c r="J40" s="39" t="s">
        <v>64</v>
      </c>
      <c r="K40" s="39"/>
      <c r="L40" s="43" t="s">
        <v>65</v>
      </c>
    </row>
    <row r="41" spans="3:12" s="5" customFormat="1" ht="15.75" customHeight="1" x14ac:dyDescent="0.2">
      <c r="C41" s="97" t="s">
        <v>177</v>
      </c>
      <c r="D41" s="39"/>
      <c r="E41" s="74">
        <v>12</v>
      </c>
      <c r="F41" s="73">
        <f>F23*E41</f>
        <v>-100.08</v>
      </c>
      <c r="G41" s="41"/>
      <c r="H41" s="73">
        <v>0</v>
      </c>
      <c r="I41" s="41"/>
      <c r="J41" s="73">
        <f>H41-F41</f>
        <v>100.08</v>
      </c>
      <c r="K41" s="39"/>
      <c r="L41" s="75">
        <f t="shared" ref="L41:L43" si="1">IF(ISERROR(J41/F41),1,J41/F41)</f>
        <v>-1</v>
      </c>
    </row>
    <row r="42" spans="3:12" s="5" customFormat="1" ht="15.75" customHeight="1" x14ac:dyDescent="0.2">
      <c r="C42" s="97" t="s">
        <v>185</v>
      </c>
      <c r="D42" s="39"/>
      <c r="E42" s="109">
        <f>IF('F1.4 Proposed Forgone Rev Rider'!$E$12=0,12,12+'F1.4 Proposed Forgone Rev Rider'!$E$12)</f>
        <v>15</v>
      </c>
      <c r="F42" s="73">
        <v>0</v>
      </c>
      <c r="G42" s="41"/>
      <c r="H42" s="73">
        <f>H24*E42</f>
        <v>-125.1</v>
      </c>
      <c r="I42" s="41"/>
      <c r="J42" s="73">
        <f t="shared" ref="J42" si="2">H42-F42</f>
        <v>-125.1</v>
      </c>
      <c r="K42" s="39"/>
      <c r="L42" s="75">
        <f>IF(ISERROR(J42/F42),1,J42/F42)</f>
        <v>1</v>
      </c>
    </row>
    <row r="43" spans="3:12" s="5" customFormat="1" ht="15.75" customHeight="1" x14ac:dyDescent="0.2">
      <c r="C43" s="97" t="s">
        <v>201</v>
      </c>
      <c r="D43" s="39"/>
      <c r="E43" s="63">
        <f>E28/12*'F1.4 Proposed Forgone Rev Rider'!$E$12</f>
        <v>137206.1925</v>
      </c>
      <c r="F43" s="73"/>
      <c r="G43" s="41"/>
      <c r="H43" s="73">
        <f>E43*H25/100</f>
        <v>124.8942354597889</v>
      </c>
      <c r="I43" s="41"/>
      <c r="J43" s="73">
        <f>H43-F43</f>
        <v>124.8942354597889</v>
      </c>
      <c r="K43" s="39"/>
      <c r="L43" s="75">
        <f t="shared" si="1"/>
        <v>1</v>
      </c>
    </row>
    <row r="44" spans="3:12" s="5" customFormat="1" ht="15.75" customHeight="1" x14ac:dyDescent="0.25">
      <c r="C44" s="29" t="s">
        <v>87</v>
      </c>
      <c r="D44" s="39"/>
      <c r="E44" s="39"/>
      <c r="F44" s="69">
        <f>SUM(F41:F43)</f>
        <v>-100.08</v>
      </c>
      <c r="G44" s="39"/>
      <c r="H44" s="69">
        <f>SUM(H41:H43)</f>
        <v>-0.20576454021109214</v>
      </c>
      <c r="I44" s="39"/>
      <c r="J44" s="69">
        <f>SUM(J41:J43)</f>
        <v>99.874235459788906</v>
      </c>
      <c r="K44" s="39"/>
      <c r="L44" s="68">
        <f t="shared" ref="L44" si="3">IF(ISERROR(J44/F44),0,J44/F44)</f>
        <v>-0.99794399939837042</v>
      </c>
    </row>
    <row r="45" spans="3:12" s="5" customFormat="1" ht="15.75" customHeight="1" x14ac:dyDescent="0.2">
      <c r="C45" s="40"/>
      <c r="D45" s="39"/>
      <c r="E45" s="39"/>
      <c r="F45" s="39"/>
      <c r="G45" s="39"/>
      <c r="H45" s="39"/>
      <c r="I45" s="39"/>
      <c r="J45" s="39"/>
      <c r="K45" s="39"/>
      <c r="L45" s="39"/>
    </row>
    <row r="46" spans="3:12" s="5" customFormat="1" ht="15.75" customHeight="1" thickBot="1" x14ac:dyDescent="0.3">
      <c r="C46" s="29" t="s">
        <v>88</v>
      </c>
      <c r="D46" s="39"/>
      <c r="E46" s="39"/>
      <c r="F46" s="69">
        <f>SUM(F36,F44)</f>
        <v>41730.555298679996</v>
      </c>
      <c r="G46" s="39"/>
      <c r="H46" s="69">
        <f>SUM(H36,H44)</f>
        <v>42330.006475978946</v>
      </c>
      <c r="I46" s="39"/>
      <c r="J46" s="69">
        <f>SUM(J36,J44)</f>
        <v>599.45117729894628</v>
      </c>
      <c r="K46" s="39"/>
      <c r="L46" s="72">
        <f>IF(ISERROR(J46/F46),0,J46/F46)</f>
        <v>1.4364802313519847E-2</v>
      </c>
    </row>
    <row r="47" spans="3:12" s="5" customFormat="1" ht="15.75" customHeight="1" x14ac:dyDescent="0.25">
      <c r="D47" s="1"/>
    </row>
    <row r="48" spans="3:12" s="5" customFormat="1" ht="15.75" customHeight="1" x14ac:dyDescent="0.25">
      <c r="D48" s="1"/>
    </row>
    <row r="49" spans="4:4" s="5" customFormat="1" ht="15.75" customHeight="1" x14ac:dyDescent="0.25">
      <c r="D49" s="1"/>
    </row>
    <row r="50" spans="4:4" s="5" customFormat="1" ht="15.75" customHeight="1" x14ac:dyDescent="0.25">
      <c r="D50" s="1"/>
    </row>
    <row r="51" spans="4:4" s="5" customFormat="1" ht="15.75" customHeight="1" x14ac:dyDescent="0.25">
      <c r="D51" s="1"/>
    </row>
    <row r="52" spans="4:4" s="5" customFormat="1" ht="15.75" customHeight="1" x14ac:dyDescent="0.25">
      <c r="D52" s="1"/>
    </row>
    <row r="53" spans="4:4" s="5" customFormat="1" ht="15.75" customHeight="1" x14ac:dyDescent="0.25">
      <c r="D53" s="1"/>
    </row>
    <row r="54" spans="4:4" s="5" customFormat="1" ht="15.75" customHeight="1" x14ac:dyDescent="0.25">
      <c r="D54" s="1"/>
    </row>
    <row r="55" spans="4:4" s="5" customFormat="1" ht="15.75" customHeight="1" x14ac:dyDescent="0.25">
      <c r="D55" s="1"/>
    </row>
    <row r="56" spans="4:4" s="5" customFormat="1" ht="15.75" customHeight="1" x14ac:dyDescent="0.25">
      <c r="D56" s="1"/>
    </row>
    <row r="57" spans="4:4" s="5" customFormat="1" ht="15.75" customHeight="1" x14ac:dyDescent="0.25">
      <c r="D57" s="1"/>
    </row>
    <row r="58" spans="4:4" s="5" customFormat="1" ht="15.75" customHeight="1" x14ac:dyDescent="0.25">
      <c r="D58" s="1"/>
    </row>
    <row r="59" spans="4:4" s="5" customFormat="1" ht="15.75" customHeight="1" x14ac:dyDescent="0.25">
      <c r="D59" s="1"/>
    </row>
    <row r="60" spans="4:4" s="5" customFormat="1" ht="15.75" customHeight="1" x14ac:dyDescent="0.25">
      <c r="D60" s="1"/>
    </row>
    <row r="61" spans="4:4" s="5" customFormat="1" ht="15.75" customHeight="1" x14ac:dyDescent="0.25">
      <c r="D61" s="1"/>
    </row>
    <row r="62" spans="4:4" s="5" customFormat="1" ht="15.75" customHeight="1" x14ac:dyDescent="0.25">
      <c r="D62" s="1"/>
    </row>
    <row r="63" spans="4:4" s="5" customFormat="1" ht="15.75" customHeight="1" x14ac:dyDescent="0.25">
      <c r="D63" s="1"/>
    </row>
    <row r="64" spans="4:4" s="5" customFormat="1" ht="15.75" customHeight="1" x14ac:dyDescent="0.25">
      <c r="D64" s="1"/>
    </row>
    <row r="65" spans="4:4" s="5" customFormat="1" ht="15.75" customHeight="1" x14ac:dyDescent="0.25">
      <c r="D65" s="1"/>
    </row>
  </sheetData>
  <sheetProtection formatColumns="0" formatRows="0"/>
  <pageMargins left="0.70866141732283505" right="0.70866141732283505" top="0.74803149606299202" bottom="0.74803149606299202" header="0.31496062992126" footer="0.31496062992126"/>
  <pageSetup scale="72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119"/>
  <sheetViews>
    <sheetView showGridLines="0" tabSelected="1" zoomScaleNormal="100" workbookViewId="0">
      <selection activeCell="E72" sqref="E72"/>
    </sheetView>
  </sheetViews>
  <sheetFormatPr defaultColWidth="0" defaultRowHeight="15.75" customHeight="1" zeroHeight="1" x14ac:dyDescent="0.25"/>
  <cols>
    <col min="1" max="1" width="15.7109375" style="18" customWidth="1"/>
    <col min="2" max="2" width="14.28515625" style="18" hidden="1" customWidth="1"/>
    <col min="3" max="3" width="55.7109375" style="18" customWidth="1"/>
    <col min="4" max="4" width="2.7109375" style="2" customWidth="1"/>
    <col min="5" max="5" width="9.7109375" style="18" bestFit="1" customWidth="1"/>
    <col min="6" max="6" width="14" style="18" bestFit="1" customWidth="1"/>
    <col min="7" max="7" width="2.7109375" style="18" customWidth="1"/>
    <col min="8" max="8" width="16.5703125" style="18" bestFit="1" customWidth="1"/>
    <col min="9" max="9" width="2.7109375" style="18" customWidth="1"/>
    <col min="10" max="10" width="11" style="18" bestFit="1" customWidth="1"/>
    <col min="11" max="11" width="2.7109375" style="18" customWidth="1"/>
    <col min="12" max="12" width="11.7109375" style="18" bestFit="1" customWidth="1"/>
    <col min="13" max="13" width="2.7109375" style="18" customWidth="1"/>
    <col min="14" max="14" width="14.28515625" style="18" hidden="1" customWidth="1"/>
    <col min="15" max="16384" width="0" style="18" hidden="1"/>
  </cols>
  <sheetData>
    <row r="1" spans="1:12" ht="15" x14ac:dyDescent="0.2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</row>
    <row r="2" spans="1:12" s="5" customFormat="1" ht="18" x14ac:dyDescent="0.25">
      <c r="C2" s="8" t="str">
        <f>'A1.1 Distributor Information'!C3</f>
        <v>Name of LDC:       Natural Resource Gas Limited</v>
      </c>
    </row>
    <row r="3" spans="1:12" s="5" customFormat="1" ht="18" x14ac:dyDescent="0.25">
      <c r="C3" s="8" t="str">
        <f>'A1.1 Distributor Information'!C4</f>
        <v xml:space="preserve">OEB Application Number:          </v>
      </c>
    </row>
    <row r="4" spans="1:12" s="5" customFormat="1" ht="15" x14ac:dyDescent="0.2"/>
    <row r="5" spans="1:12" s="5" customFormat="1" ht="15" x14ac:dyDescent="0.2"/>
    <row r="6" spans="1:12" s="5" customFormat="1" ht="15" x14ac:dyDescent="0.2"/>
    <row r="7" spans="1:12" s="5" customFormat="1" ht="20.25" x14ac:dyDescent="0.3">
      <c r="C7" s="4" t="s">
        <v>74</v>
      </c>
    </row>
    <row r="8" spans="1:12" s="5" customFormat="1" ht="15" x14ac:dyDescent="0.2"/>
    <row r="9" spans="1:12" s="5" customFormat="1" ht="15" x14ac:dyDescent="0.2"/>
    <row r="10" spans="1:12" s="5" customFormat="1" ht="15" x14ac:dyDescent="0.2"/>
    <row r="11" spans="1:12" s="5" customFormat="1" ht="20.25" x14ac:dyDescent="0.3">
      <c r="C11" s="4" t="s">
        <v>129</v>
      </c>
      <c r="F11" s="19" t="s">
        <v>37</v>
      </c>
      <c r="G11" s="19"/>
      <c r="H11" s="19" t="s">
        <v>57</v>
      </c>
    </row>
    <row r="12" spans="1:12" s="5" customFormat="1" ht="15" x14ac:dyDescent="0.2"/>
    <row r="13" spans="1:12" s="5" customFormat="1" ht="15" x14ac:dyDescent="0.2">
      <c r="C13" s="5" t="s">
        <v>58</v>
      </c>
      <c r="F13" s="61">
        <f>'B1.1 Current Distribution Rates'!E22</f>
        <v>15</v>
      </c>
      <c r="H13" s="61">
        <f>'E1.1 Proposed Dist Rates '!E22</f>
        <v>15</v>
      </c>
    </row>
    <row r="14" spans="1:12" s="5" customFormat="1" ht="18" x14ac:dyDescent="0.2">
      <c r="C14" s="5" t="s">
        <v>59</v>
      </c>
      <c r="F14" s="62">
        <f>'B1.1 Current Distribution Rates'!F22</f>
        <v>15.1257</v>
      </c>
      <c r="H14" s="62">
        <f>'E1.1 Proposed Dist Rates '!F22</f>
        <v>15.467772358201707</v>
      </c>
    </row>
    <row r="15" spans="1:12" s="5" customFormat="1" ht="18" x14ac:dyDescent="0.2">
      <c r="C15" s="26" t="s">
        <v>60</v>
      </c>
      <c r="F15" s="62">
        <f>'B1.1 Current Distribution Rates'!G22</f>
        <v>10.521800000000001</v>
      </c>
      <c r="H15" s="62">
        <f>'E1.1 Proposed Dist Rates '!G22</f>
        <v>10.521800000000001</v>
      </c>
    </row>
    <row r="16" spans="1:12" s="5" customFormat="1" ht="15" x14ac:dyDescent="0.2">
      <c r="C16" s="5" t="s">
        <v>61</v>
      </c>
      <c r="F16" s="62">
        <f>'B1.1 Current Distribution Rates'!L19</f>
        <v>3.6299999999999999E-2</v>
      </c>
      <c r="H16" s="62">
        <f>'E1.1 Proposed Dist Rates '!L22</f>
        <v>3.6299999999999999E-2</v>
      </c>
    </row>
    <row r="17" spans="3:14" s="5" customFormat="1" ht="15" x14ac:dyDescent="0.2">
      <c r="F17" s="24"/>
      <c r="H17" s="24"/>
    </row>
    <row r="18" spans="3:14" s="5" customFormat="1" ht="15" x14ac:dyDescent="0.2">
      <c r="C18" s="39" t="s">
        <v>85</v>
      </c>
      <c r="D18" s="39"/>
      <c r="E18" s="39"/>
      <c r="F18" s="39"/>
      <c r="G18" s="39"/>
      <c r="H18" s="39"/>
    </row>
    <row r="19" spans="3:14" s="5" customFormat="1" ht="15" x14ac:dyDescent="0.2">
      <c r="C19" s="97" t="s">
        <v>177</v>
      </c>
      <c r="D19" s="39"/>
      <c r="E19" s="39"/>
      <c r="F19" s="73">
        <f>'C1.1 Current Rate Riders'!$E$22</f>
        <v>-0.55000000000000004</v>
      </c>
      <c r="G19" s="39"/>
      <c r="H19" s="39"/>
    </row>
    <row r="20" spans="3:14" s="5" customFormat="1" ht="15" x14ac:dyDescent="0.2">
      <c r="C20" s="97" t="s">
        <v>185</v>
      </c>
      <c r="D20" s="39"/>
      <c r="E20" s="39"/>
      <c r="F20" s="39"/>
      <c r="G20" s="39"/>
      <c r="H20" s="73">
        <f>ROUND('F1.3 Proposed Rate Riders'!$E$22,2)</f>
        <v>-0.55000000000000004</v>
      </c>
    </row>
    <row r="21" spans="3:14" s="5" customFormat="1" ht="15" x14ac:dyDescent="0.2">
      <c r="C21" s="97" t="s">
        <v>200</v>
      </c>
      <c r="D21" s="39"/>
      <c r="E21" s="39"/>
      <c r="F21" s="39"/>
      <c r="G21" s="39"/>
      <c r="H21" s="179">
        <f>'F1.4 Proposed Forgone Rev Rider'!F22</f>
        <v>0</v>
      </c>
    </row>
    <row r="22" spans="3:14" s="5" customFormat="1" ht="15" x14ac:dyDescent="0.2"/>
    <row r="23" spans="3:14" s="5" customFormat="1" ht="15" x14ac:dyDescent="0.2">
      <c r="C23" s="25" t="s">
        <v>71</v>
      </c>
    </row>
    <row r="24" spans="3:14" s="5" customFormat="1" ht="18" x14ac:dyDescent="0.2">
      <c r="C24" s="5" t="s">
        <v>59</v>
      </c>
      <c r="E24" s="22">
        <v>5579.7300000000005</v>
      </c>
    </row>
    <row r="25" spans="3:14" s="5" customFormat="1" ht="18.75" x14ac:dyDescent="0.25">
      <c r="C25" s="26" t="s">
        <v>60</v>
      </c>
      <c r="E25" s="22">
        <v>13417</v>
      </c>
      <c r="N25" s="21"/>
    </row>
    <row r="26" spans="3:14" s="5" customFormat="1" ht="15" x14ac:dyDescent="0.2"/>
    <row r="27" spans="3:14" s="5" customFormat="1" ht="15" x14ac:dyDescent="0.2">
      <c r="E27" s="19" t="s">
        <v>62</v>
      </c>
      <c r="F27" s="19" t="s">
        <v>37</v>
      </c>
      <c r="G27" s="19"/>
      <c r="H27" s="19" t="s">
        <v>57</v>
      </c>
      <c r="J27" s="5" t="s">
        <v>64</v>
      </c>
      <c r="L27" s="20" t="s">
        <v>65</v>
      </c>
    </row>
    <row r="28" spans="3:14" s="5" customFormat="1" ht="15" x14ac:dyDescent="0.2">
      <c r="C28" s="5" t="s">
        <v>58</v>
      </c>
      <c r="E28" s="63">
        <v>9</v>
      </c>
      <c r="F28" s="64">
        <f>F13*E28</f>
        <v>135</v>
      </c>
      <c r="H28" s="61">
        <f>H13*E28</f>
        <v>135</v>
      </c>
      <c r="J28" s="61">
        <f>H28-F28</f>
        <v>0</v>
      </c>
      <c r="L28" s="65">
        <f>IF(ISERROR(J28/F28),0,J28/F28)</f>
        <v>0</v>
      </c>
    </row>
    <row r="29" spans="3:14" s="5" customFormat="1" ht="18" x14ac:dyDescent="0.2">
      <c r="C29" s="5" t="s">
        <v>59</v>
      </c>
      <c r="E29" s="63">
        <f>E24</f>
        <v>5579.7300000000005</v>
      </c>
      <c r="F29" s="64">
        <f>F14*E29/100</f>
        <v>843.97322061000011</v>
      </c>
      <c r="H29" s="61">
        <f>H14*E29/100</f>
        <v>863.05993460228808</v>
      </c>
      <c r="J29" s="61">
        <f t="shared" ref="J29:J32" si="0">H29-F29</f>
        <v>19.086713992287969</v>
      </c>
      <c r="L29" s="65">
        <f>IF(ISERROR(J29/F29),0,J29/F29)</f>
        <v>2.2615307602405474E-2</v>
      </c>
    </row>
    <row r="30" spans="3:14" s="5" customFormat="1" ht="18" x14ac:dyDescent="0.2">
      <c r="C30" s="26" t="s">
        <v>60</v>
      </c>
      <c r="E30" s="63">
        <f>E25</f>
        <v>13417</v>
      </c>
      <c r="F30" s="64">
        <f>F15*E30/100</f>
        <v>1411.7099060000003</v>
      </c>
      <c r="H30" s="61">
        <f>H15*E30/100</f>
        <v>1411.7099060000003</v>
      </c>
      <c r="J30" s="61">
        <f t="shared" si="0"/>
        <v>0</v>
      </c>
      <c r="L30" s="65">
        <f t="shared" ref="L30" si="1">IF(ISERROR(J30/F30),0,J30/F30)</f>
        <v>0</v>
      </c>
    </row>
    <row r="31" spans="3:14" s="5" customFormat="1" ht="15" x14ac:dyDescent="0.2">
      <c r="C31" s="5" t="s">
        <v>61</v>
      </c>
      <c r="E31" s="63">
        <f>SUM(E29:E30)</f>
        <v>18996.73</v>
      </c>
      <c r="F31" s="64">
        <f>F16*E31/100</f>
        <v>6.8958129899999996</v>
      </c>
      <c r="H31" s="61">
        <f>H16*E31/100</f>
        <v>6.8958129899999996</v>
      </c>
      <c r="J31" s="61">
        <f t="shared" si="0"/>
        <v>0</v>
      </c>
      <c r="L31" s="65">
        <f>IF(ISERROR(J31/F31),0,J31/F31)</f>
        <v>0</v>
      </c>
    </row>
    <row r="32" spans="3:14" s="5" customFormat="1" x14ac:dyDescent="0.25">
      <c r="C32" s="23" t="s">
        <v>63</v>
      </c>
      <c r="F32" s="66">
        <f>SUM(F28:F31)</f>
        <v>2397.5789396000005</v>
      </c>
      <c r="H32" s="66">
        <f>SUM(H28:H31)</f>
        <v>2416.6656535922884</v>
      </c>
      <c r="J32" s="67">
        <f t="shared" si="0"/>
        <v>19.086713992287969</v>
      </c>
      <c r="L32" s="68">
        <f>IF(ISERROR(J32/F32),0,J32/F32)</f>
        <v>7.9608281825633218E-3</v>
      </c>
    </row>
    <row r="33" spans="3:12" s="5" customFormat="1" x14ac:dyDescent="0.25">
      <c r="C33" s="23"/>
      <c r="F33" s="36"/>
      <c r="H33" s="36"/>
      <c r="J33" s="37"/>
      <c r="L33" s="38"/>
    </row>
    <row r="34" spans="3:12" s="5" customFormat="1" x14ac:dyDescent="0.25">
      <c r="C34" s="23" t="s">
        <v>85</v>
      </c>
      <c r="D34" s="39"/>
      <c r="E34" s="39"/>
      <c r="F34" s="39"/>
      <c r="G34" s="39"/>
      <c r="H34" s="39"/>
      <c r="I34" s="39"/>
      <c r="J34" s="39"/>
      <c r="K34" s="39"/>
      <c r="L34" s="39"/>
    </row>
    <row r="35" spans="3:12" s="5" customFormat="1" ht="15" x14ac:dyDescent="0.2"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3:12" s="5" customFormat="1" x14ac:dyDescent="0.25">
      <c r="C36" s="23" t="s">
        <v>85</v>
      </c>
      <c r="D36" s="39"/>
      <c r="E36" s="42" t="s">
        <v>62</v>
      </c>
      <c r="F36" s="42" t="s">
        <v>37</v>
      </c>
      <c r="G36" s="42"/>
      <c r="H36" s="42" t="s">
        <v>57</v>
      </c>
      <c r="I36" s="39"/>
      <c r="J36" s="39" t="s">
        <v>64</v>
      </c>
      <c r="K36" s="39"/>
      <c r="L36" s="43" t="s">
        <v>65</v>
      </c>
    </row>
    <row r="37" spans="3:12" s="5" customFormat="1" ht="15" x14ac:dyDescent="0.2">
      <c r="C37" s="97" t="s">
        <v>177</v>
      </c>
      <c r="D37" s="39"/>
      <c r="E37" s="76">
        <v>9</v>
      </c>
      <c r="F37" s="73">
        <f>F19*E37</f>
        <v>-4.95</v>
      </c>
      <c r="G37" s="41"/>
      <c r="H37" s="73">
        <v>0</v>
      </c>
      <c r="I37" s="41"/>
      <c r="J37" s="73">
        <f>H37-F37</f>
        <v>4.95</v>
      </c>
      <c r="K37" s="39"/>
      <c r="L37" s="75">
        <f t="shared" ref="L37" si="2">IF(ISERROR(J37/F37),1,J37/F37)</f>
        <v>-1</v>
      </c>
    </row>
    <row r="38" spans="3:12" s="5" customFormat="1" ht="15" x14ac:dyDescent="0.2">
      <c r="C38" s="97" t="s">
        <v>185</v>
      </c>
      <c r="D38" s="39"/>
      <c r="E38" s="76">
        <v>9</v>
      </c>
      <c r="F38" s="73">
        <v>0</v>
      </c>
      <c r="G38" s="41"/>
      <c r="H38" s="73">
        <f>H20*E38</f>
        <v>-4.95</v>
      </c>
      <c r="I38" s="41"/>
      <c r="J38" s="73">
        <f t="shared" ref="J38:J39" si="3">H38-F38</f>
        <v>-4.95</v>
      </c>
      <c r="K38" s="39"/>
      <c r="L38" s="75">
        <f>IF(ISERROR(J38/F38),1,J38/F38)</f>
        <v>1</v>
      </c>
    </row>
    <row r="39" spans="3:12" s="5" customFormat="1" ht="15" x14ac:dyDescent="0.2">
      <c r="C39" s="97" t="s">
        <v>200</v>
      </c>
      <c r="D39" s="39"/>
      <c r="E39" s="76">
        <v>0</v>
      </c>
      <c r="F39" s="73"/>
      <c r="G39" s="41"/>
      <c r="H39" s="73">
        <f>E39*H21/100</f>
        <v>0</v>
      </c>
      <c r="I39" s="41"/>
      <c r="J39" s="73">
        <f t="shared" si="3"/>
        <v>0</v>
      </c>
      <c r="K39" s="39"/>
      <c r="L39" s="75">
        <f>IF(ISERROR(J39/F39),1,J39/F39)</f>
        <v>1</v>
      </c>
    </row>
    <row r="40" spans="3:12" s="5" customFormat="1" x14ac:dyDescent="0.25">
      <c r="C40" s="29" t="s">
        <v>87</v>
      </c>
      <c r="D40" s="39"/>
      <c r="E40" s="39"/>
      <c r="F40" s="69">
        <f>SUM(F37:F39)</f>
        <v>-4.95</v>
      </c>
      <c r="G40" s="39"/>
      <c r="H40" s="69">
        <f>SUM(H37:H39)</f>
        <v>-4.95</v>
      </c>
      <c r="I40" s="39"/>
      <c r="J40" s="69">
        <f>SUM(J37:J39)</f>
        <v>0</v>
      </c>
      <c r="K40" s="39"/>
      <c r="L40" s="68">
        <f t="shared" ref="L40" si="4">IF(ISERROR(J40/F40),0,J40/F40)</f>
        <v>0</v>
      </c>
    </row>
    <row r="41" spans="3:12" s="5" customFormat="1" ht="15" x14ac:dyDescent="0.2">
      <c r="C41" s="40"/>
      <c r="D41" s="39"/>
      <c r="E41" s="39"/>
      <c r="F41" s="39"/>
      <c r="G41" s="39"/>
      <c r="H41" s="39"/>
      <c r="I41" s="39"/>
      <c r="J41" s="39"/>
      <c r="K41" s="39"/>
      <c r="L41" s="39"/>
    </row>
    <row r="42" spans="3:12" s="5" customFormat="1" ht="16.5" thickBot="1" x14ac:dyDescent="0.3">
      <c r="C42" s="29" t="s">
        <v>88</v>
      </c>
      <c r="D42" s="39"/>
      <c r="E42" s="39"/>
      <c r="F42" s="70">
        <f>SUM(F32,F40)</f>
        <v>2392.6289396000006</v>
      </c>
      <c r="G42" s="39"/>
      <c r="H42" s="70">
        <f>SUM(H32,H40)</f>
        <v>2411.7156535922886</v>
      </c>
      <c r="I42" s="39"/>
      <c r="J42" s="69">
        <f>SUM(J32,J40)</f>
        <v>19.086713992287969</v>
      </c>
      <c r="K42" s="39"/>
      <c r="L42" s="72">
        <f>IF(ISERROR(J42/F42),0,J42/F42)</f>
        <v>7.9772979739511484E-3</v>
      </c>
    </row>
    <row r="43" spans="3:12" s="5" customFormat="1" ht="15" x14ac:dyDescent="0.2"/>
    <row r="44" spans="3:12" s="5" customFormat="1" ht="15" x14ac:dyDescent="0.2"/>
    <row r="45" spans="3:12" s="5" customFormat="1" ht="20.25" x14ac:dyDescent="0.3">
      <c r="C45" s="4" t="s">
        <v>130</v>
      </c>
      <c r="F45" s="19" t="s">
        <v>37</v>
      </c>
      <c r="G45" s="19"/>
      <c r="H45" s="19" t="s">
        <v>57</v>
      </c>
    </row>
    <row r="46" spans="3:12" s="5" customFormat="1" ht="15" x14ac:dyDescent="0.2"/>
    <row r="47" spans="3:12" s="5" customFormat="1" ht="15" x14ac:dyDescent="0.2">
      <c r="C47" s="5" t="s">
        <v>58</v>
      </c>
      <c r="F47" s="61">
        <f>'B1.1 Current Distribution Rates'!E23</f>
        <v>15</v>
      </c>
      <c r="H47" s="61">
        <f>'E1.1 Proposed Dist Rates '!E23</f>
        <v>15</v>
      </c>
    </row>
    <row r="48" spans="3:12" s="5" customFormat="1" ht="18" x14ac:dyDescent="0.2">
      <c r="C48" s="5" t="s">
        <v>59</v>
      </c>
      <c r="F48" s="62">
        <f>'B1.1 Current Distribution Rates'!F23</f>
        <v>19.296299999999999</v>
      </c>
      <c r="H48" s="62">
        <f>'E1.1 Proposed Dist Rates '!F23</f>
        <v>19.732691760088294</v>
      </c>
    </row>
    <row r="49" spans="3:12" s="5" customFormat="1" ht="18" x14ac:dyDescent="0.2">
      <c r="C49" s="26" t="s">
        <v>60</v>
      </c>
      <c r="F49" s="62">
        <f>'B1.1 Current Distribution Rates'!G23</f>
        <v>16.905200000000001</v>
      </c>
      <c r="H49" s="62">
        <f>'E1.1 Proposed Dist Rates '!G23</f>
        <v>16.905200000000001</v>
      </c>
    </row>
    <row r="50" spans="3:12" s="5" customFormat="1" ht="15" x14ac:dyDescent="0.2">
      <c r="C50" s="5" t="s">
        <v>61</v>
      </c>
      <c r="F50" s="62">
        <f>'B1.1 Current Distribution Rates'!L23</f>
        <v>3.6299999999999999E-2</v>
      </c>
      <c r="H50" s="62">
        <f>'E1.1 Proposed Dist Rates '!L23</f>
        <v>3.6299999999999999E-2</v>
      </c>
    </row>
    <row r="51" spans="3:12" s="5" customFormat="1" ht="15" x14ac:dyDescent="0.2">
      <c r="F51" s="24"/>
      <c r="H51" s="24"/>
    </row>
    <row r="52" spans="3:12" s="5" customFormat="1" ht="15" x14ac:dyDescent="0.2">
      <c r="C52" s="39" t="s">
        <v>85</v>
      </c>
      <c r="D52" s="39"/>
      <c r="E52" s="39"/>
      <c r="F52" s="39"/>
      <c r="G52" s="39"/>
      <c r="H52" s="39"/>
    </row>
    <row r="53" spans="3:12" s="5" customFormat="1" ht="15" x14ac:dyDescent="0.2">
      <c r="C53" s="97" t="s">
        <v>177</v>
      </c>
      <c r="D53" s="39"/>
      <c r="E53" s="39"/>
      <c r="F53" s="73">
        <f>'C1.1 Current Rate Riders'!$E$23</f>
        <v>-0.55000000000000004</v>
      </c>
      <c r="G53" s="39"/>
      <c r="H53" s="39"/>
    </row>
    <row r="54" spans="3:12" s="5" customFormat="1" ht="15" x14ac:dyDescent="0.2">
      <c r="C54" s="97" t="s">
        <v>185</v>
      </c>
      <c r="D54" s="39"/>
      <c r="E54" s="39"/>
      <c r="F54" s="39"/>
      <c r="G54" s="39"/>
      <c r="H54" s="73">
        <f>ROUND('F1.3 Proposed Rate Riders'!$E$23,2)</f>
        <v>-0.55000000000000004</v>
      </c>
    </row>
    <row r="55" spans="3:12" s="5" customFormat="1" ht="15" x14ac:dyDescent="0.2">
      <c r="C55" s="97" t="s">
        <v>200</v>
      </c>
      <c r="D55" s="39"/>
      <c r="E55" s="39"/>
      <c r="F55" s="39"/>
      <c r="G55" s="39"/>
      <c r="H55" s="179">
        <f>'F1.4 Proposed Forgone Rev Rider'!F23</f>
        <v>0.34207235820170645</v>
      </c>
    </row>
    <row r="56" spans="3:12" s="5" customFormat="1" ht="15" x14ac:dyDescent="0.2"/>
    <row r="57" spans="3:12" s="5" customFormat="1" ht="15" x14ac:dyDescent="0.2">
      <c r="C57" s="25" t="s">
        <v>71</v>
      </c>
    </row>
    <row r="58" spans="3:12" s="5" customFormat="1" ht="18" x14ac:dyDescent="0.2">
      <c r="C58" s="5" t="s">
        <v>59</v>
      </c>
      <c r="E58" s="22">
        <v>753.83999999999992</v>
      </c>
    </row>
    <row r="59" spans="3:12" s="5" customFormat="1" ht="18" x14ac:dyDescent="0.2">
      <c r="C59" s="26" t="s">
        <v>60</v>
      </c>
      <c r="E59" s="22">
        <v>0</v>
      </c>
    </row>
    <row r="60" spans="3:12" s="5" customFormat="1" ht="15" x14ac:dyDescent="0.2"/>
    <row r="61" spans="3:12" s="5" customFormat="1" ht="15" x14ac:dyDescent="0.2">
      <c r="E61" s="19" t="s">
        <v>62</v>
      </c>
      <c r="F61" s="19" t="s">
        <v>37</v>
      </c>
      <c r="G61" s="19"/>
      <c r="H61" s="19" t="s">
        <v>57</v>
      </c>
      <c r="J61" s="5" t="s">
        <v>64</v>
      </c>
      <c r="L61" s="20" t="s">
        <v>65</v>
      </c>
    </row>
    <row r="62" spans="3:12" s="5" customFormat="1" ht="15" x14ac:dyDescent="0.2">
      <c r="C62" s="5" t="s">
        <v>58</v>
      </c>
      <c r="E62" s="63">
        <v>3</v>
      </c>
      <c r="F62" s="64">
        <f>F47*E62</f>
        <v>45</v>
      </c>
      <c r="H62" s="61">
        <f>H47*E62</f>
        <v>45</v>
      </c>
      <c r="J62" s="61">
        <f>H62-F62</f>
        <v>0</v>
      </c>
      <c r="L62" s="65">
        <f t="shared" ref="L62:L66" si="5">IF(ISERROR(J62/F62),0,J62/F62)</f>
        <v>0</v>
      </c>
    </row>
    <row r="63" spans="3:12" s="5" customFormat="1" ht="18" x14ac:dyDescent="0.2">
      <c r="C63" s="5" t="s">
        <v>59</v>
      </c>
      <c r="E63" s="63">
        <f>E58</f>
        <v>753.83999999999992</v>
      </c>
      <c r="F63" s="64">
        <f>F48*E63/100</f>
        <v>145.46322791999998</v>
      </c>
      <c r="H63" s="61">
        <f>H48*E63/100</f>
        <v>148.75292356424958</v>
      </c>
      <c r="J63" s="61">
        <f t="shared" ref="J63:J66" si="6">H63-F63</f>
        <v>3.2896956442496048</v>
      </c>
      <c r="L63" s="65">
        <f t="shared" si="5"/>
        <v>2.2615307602405398E-2</v>
      </c>
    </row>
    <row r="64" spans="3:12" s="5" customFormat="1" ht="18" x14ac:dyDescent="0.2">
      <c r="C64" s="26" t="s">
        <v>60</v>
      </c>
      <c r="E64" s="63">
        <f>E59</f>
        <v>0</v>
      </c>
      <c r="F64" s="64">
        <f>F49*E64/100</f>
        <v>0</v>
      </c>
      <c r="H64" s="61">
        <f>H49*E64/100</f>
        <v>0</v>
      </c>
      <c r="J64" s="61">
        <f t="shared" si="6"/>
        <v>0</v>
      </c>
      <c r="L64" s="65">
        <f t="shared" si="5"/>
        <v>0</v>
      </c>
    </row>
    <row r="65" spans="3:12" s="5" customFormat="1" ht="15" x14ac:dyDescent="0.2">
      <c r="C65" s="5" t="s">
        <v>61</v>
      </c>
      <c r="E65" s="63">
        <f>SUM(E63:E64)</f>
        <v>753.83999999999992</v>
      </c>
      <c r="F65" s="64">
        <f>F50*E65/100</f>
        <v>0.27364391999999993</v>
      </c>
      <c r="H65" s="61">
        <f>H50*E65/100</f>
        <v>0.27364391999999993</v>
      </c>
      <c r="J65" s="61">
        <f t="shared" si="6"/>
        <v>0</v>
      </c>
      <c r="L65" s="65">
        <f t="shared" si="5"/>
        <v>0</v>
      </c>
    </row>
    <row r="66" spans="3:12" s="5" customFormat="1" x14ac:dyDescent="0.25">
      <c r="C66" s="23" t="s">
        <v>63</v>
      </c>
      <c r="F66" s="66">
        <f>SUM(F62:F65)</f>
        <v>190.73687183999999</v>
      </c>
      <c r="H66" s="66">
        <f>SUM(H62:H65)</f>
        <v>194.0265674842496</v>
      </c>
      <c r="J66" s="67">
        <f t="shared" si="6"/>
        <v>3.2896956442496048</v>
      </c>
      <c r="L66" s="68">
        <f t="shared" si="5"/>
        <v>1.7247297874367851E-2</v>
      </c>
    </row>
    <row r="67" spans="3:12" s="5" customFormat="1" x14ac:dyDescent="0.25">
      <c r="C67" s="23"/>
      <c r="F67" s="36"/>
      <c r="H67" s="36"/>
      <c r="J67" s="37"/>
      <c r="L67" s="38"/>
    </row>
    <row r="68" spans="3:12" s="5" customFormat="1" x14ac:dyDescent="0.25">
      <c r="C68" s="23" t="s">
        <v>85</v>
      </c>
      <c r="D68" s="39"/>
      <c r="E68" s="39"/>
      <c r="F68" s="39"/>
      <c r="G68" s="39"/>
      <c r="H68" s="39"/>
      <c r="I68" s="39"/>
      <c r="J68" s="39"/>
      <c r="K68" s="39"/>
      <c r="L68" s="39"/>
    </row>
    <row r="69" spans="3:12" s="5" customFormat="1" ht="15" x14ac:dyDescent="0.2"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3:12" s="5" customFormat="1" x14ac:dyDescent="0.25">
      <c r="C70" s="23" t="s">
        <v>85</v>
      </c>
      <c r="D70" s="39"/>
      <c r="E70" s="42" t="s">
        <v>62</v>
      </c>
      <c r="F70" s="42" t="s">
        <v>37</v>
      </c>
      <c r="G70" s="42"/>
      <c r="H70" s="42" t="s">
        <v>57</v>
      </c>
      <c r="I70" s="39"/>
      <c r="J70" s="39" t="s">
        <v>64</v>
      </c>
      <c r="K70" s="39"/>
      <c r="L70" s="43" t="s">
        <v>65</v>
      </c>
    </row>
    <row r="71" spans="3:12" s="5" customFormat="1" ht="15" x14ac:dyDescent="0.2">
      <c r="C71" s="97" t="s">
        <v>177</v>
      </c>
      <c r="D71" s="39"/>
      <c r="E71" s="76">
        <v>3</v>
      </c>
      <c r="F71" s="73">
        <f>F53*E71</f>
        <v>-1.6500000000000001</v>
      </c>
      <c r="G71" s="41"/>
      <c r="H71" s="73">
        <v>0</v>
      </c>
      <c r="I71" s="41"/>
      <c r="J71" s="73">
        <f>H71-F71</f>
        <v>1.6500000000000001</v>
      </c>
      <c r="K71" s="39"/>
      <c r="L71" s="75">
        <f t="shared" ref="L71" si="7">IF(ISERROR(J71/F71),1,J71/F71)</f>
        <v>-1</v>
      </c>
    </row>
    <row r="72" spans="3:12" s="5" customFormat="1" ht="15" x14ac:dyDescent="0.2">
      <c r="C72" s="97" t="s">
        <v>185</v>
      </c>
      <c r="D72" s="39"/>
      <c r="E72" s="76">
        <f>IF('F1.4 Proposed Forgone Rev Rider'!$E$12=0,3,3+'F1.4 Proposed Forgone Rev Rider'!$E$12)</f>
        <v>6</v>
      </c>
      <c r="F72" s="73">
        <v>0</v>
      </c>
      <c r="G72" s="41"/>
      <c r="H72" s="73">
        <f>H54*E72</f>
        <v>-3.3000000000000003</v>
      </c>
      <c r="I72" s="41"/>
      <c r="J72" s="73">
        <f t="shared" ref="J72:J73" si="8">H72-F72</f>
        <v>-3.3000000000000003</v>
      </c>
      <c r="K72" s="39"/>
      <c r="L72" s="75">
        <f>IF(ISERROR(J72/F72),1,J72/F72)</f>
        <v>1</v>
      </c>
    </row>
    <row r="73" spans="3:12" s="5" customFormat="1" ht="15" x14ac:dyDescent="0.2">
      <c r="C73" s="97" t="s">
        <v>200</v>
      </c>
      <c r="D73" s="39"/>
      <c r="E73" s="76">
        <f>E58</f>
        <v>753.83999999999992</v>
      </c>
      <c r="F73" s="73"/>
      <c r="G73" s="41"/>
      <c r="H73" s="73">
        <f>E73*H55/100</f>
        <v>2.5786782650677433</v>
      </c>
      <c r="I73" s="41"/>
      <c r="J73" s="73">
        <f t="shared" si="8"/>
        <v>2.5786782650677433</v>
      </c>
      <c r="K73" s="39"/>
      <c r="L73" s="75">
        <f>IF(ISERROR(J73/F73),1,J73/F73)</f>
        <v>1</v>
      </c>
    </row>
    <row r="74" spans="3:12" s="5" customFormat="1" x14ac:dyDescent="0.25">
      <c r="C74" s="29" t="s">
        <v>87</v>
      </c>
      <c r="D74" s="39"/>
      <c r="E74" s="39"/>
      <c r="F74" s="69">
        <f>SUM(F71:F73)</f>
        <v>-1.6500000000000001</v>
      </c>
      <c r="G74" s="39"/>
      <c r="H74" s="69">
        <f>SUM(H71:H73)</f>
        <v>-0.72132173493225693</v>
      </c>
      <c r="I74" s="39"/>
      <c r="J74" s="69">
        <f>SUM(J71:J73)</f>
        <v>0.9286782650677432</v>
      </c>
      <c r="K74" s="39"/>
      <c r="L74" s="68">
        <f t="shared" ref="L74" si="9">IF(ISERROR(J74/F74),0,J74/F74)</f>
        <v>-0.56283531216226856</v>
      </c>
    </row>
    <row r="75" spans="3:12" s="5" customFormat="1" ht="15" x14ac:dyDescent="0.2">
      <c r="C75" s="40"/>
      <c r="D75" s="39"/>
      <c r="E75" s="39"/>
      <c r="F75" s="39"/>
      <c r="G75" s="39"/>
      <c r="H75" s="39"/>
      <c r="I75" s="39"/>
      <c r="J75" s="39"/>
      <c r="K75" s="39"/>
      <c r="L75" s="39"/>
    </row>
    <row r="76" spans="3:12" s="5" customFormat="1" ht="16.5" thickBot="1" x14ac:dyDescent="0.3">
      <c r="C76" s="29" t="s">
        <v>88</v>
      </c>
      <c r="D76" s="39"/>
      <c r="E76" s="39"/>
      <c r="F76" s="70">
        <f>SUM(F66,F74)</f>
        <v>189.08687183999999</v>
      </c>
      <c r="G76" s="39"/>
      <c r="H76" s="70">
        <f>SUM(H66,H74)</f>
        <v>193.30524574931735</v>
      </c>
      <c r="I76" s="39"/>
      <c r="J76" s="69">
        <f>SUM(J66,J74)</f>
        <v>4.2183739093173482</v>
      </c>
      <c r="K76" s="39"/>
      <c r="L76" s="72">
        <f>IF(ISERROR(J76/F76),0,J76/F76)</f>
        <v>2.2309184494240394E-2</v>
      </c>
    </row>
    <row r="77" spans="3:12" s="5" customFormat="1" ht="15.75" customHeight="1" x14ac:dyDescent="0.25">
      <c r="D77" s="1"/>
    </row>
    <row r="78" spans="3:12" s="5" customFormat="1" ht="15.75" customHeight="1" x14ac:dyDescent="0.25">
      <c r="D78" s="1"/>
    </row>
    <row r="79" spans="3:12" s="5" customFormat="1" ht="20.25" x14ac:dyDescent="0.3">
      <c r="C79" s="4" t="s">
        <v>131</v>
      </c>
      <c r="F79" s="19" t="s">
        <v>37</v>
      </c>
      <c r="G79" s="19"/>
      <c r="H79" s="19" t="s">
        <v>57</v>
      </c>
    </row>
    <row r="80" spans="3:12" s="5" customFormat="1" ht="15" x14ac:dyDescent="0.2"/>
    <row r="81" spans="3:12" s="5" customFormat="1" ht="15" x14ac:dyDescent="0.2">
      <c r="C81" s="5" t="s">
        <v>67</v>
      </c>
    </row>
    <row r="82" spans="3:12" s="5" customFormat="1" ht="18" x14ac:dyDescent="0.2">
      <c r="C82" s="5" t="s">
        <v>59</v>
      </c>
      <c r="E82" s="22">
        <f>E24+E58</f>
        <v>6333.5700000000006</v>
      </c>
    </row>
    <row r="83" spans="3:12" s="5" customFormat="1" ht="18" x14ac:dyDescent="0.2">
      <c r="C83" s="26" t="s">
        <v>60</v>
      </c>
      <c r="E83" s="22">
        <f>E25+E59</f>
        <v>13417</v>
      </c>
    </row>
    <row r="84" spans="3:12" s="5" customFormat="1" ht="15" x14ac:dyDescent="0.2"/>
    <row r="85" spans="3:12" s="5" customFormat="1" ht="15" x14ac:dyDescent="0.2">
      <c r="E85" s="19" t="s">
        <v>62</v>
      </c>
      <c r="F85" s="19" t="s">
        <v>37</v>
      </c>
      <c r="G85" s="19"/>
      <c r="H85" s="19" t="s">
        <v>57</v>
      </c>
      <c r="J85" s="5" t="s">
        <v>64</v>
      </c>
      <c r="L85" s="20" t="s">
        <v>65</v>
      </c>
    </row>
    <row r="86" spans="3:12" s="5" customFormat="1" ht="15" x14ac:dyDescent="0.2">
      <c r="C86" s="5" t="s">
        <v>58</v>
      </c>
      <c r="E86" s="63">
        <f>E28+E62</f>
        <v>12</v>
      </c>
      <c r="F86" s="64">
        <f>F28+F62</f>
        <v>180</v>
      </c>
      <c r="H86" s="61">
        <f>H28+H62</f>
        <v>180</v>
      </c>
      <c r="J86" s="61">
        <f>H86-F86</f>
        <v>0</v>
      </c>
      <c r="L86" s="65">
        <f t="shared" ref="L86:L90" si="10">IF(ISERROR(J86/F86),0,J86/F86)</f>
        <v>0</v>
      </c>
    </row>
    <row r="87" spans="3:12" s="5" customFormat="1" ht="18" x14ac:dyDescent="0.2">
      <c r="C87" s="5" t="s">
        <v>59</v>
      </c>
      <c r="E87" s="63">
        <f>E82</f>
        <v>6333.5700000000006</v>
      </c>
      <c r="F87" s="64">
        <f>F29+F63</f>
        <v>989.43644853000012</v>
      </c>
      <c r="H87" s="61">
        <f>H29+H63</f>
        <v>1011.8128581665377</v>
      </c>
      <c r="J87" s="61">
        <f t="shared" ref="J87:J90" si="11">H87-F87</f>
        <v>22.376409636537574</v>
      </c>
      <c r="L87" s="65">
        <f t="shared" si="10"/>
        <v>2.2615307602405463E-2</v>
      </c>
    </row>
    <row r="88" spans="3:12" s="5" customFormat="1" ht="18" x14ac:dyDescent="0.2">
      <c r="C88" s="26" t="s">
        <v>60</v>
      </c>
      <c r="E88" s="63">
        <f>E83</f>
        <v>13417</v>
      </c>
      <c r="F88" s="64">
        <f>F30+F64</f>
        <v>1411.7099060000003</v>
      </c>
      <c r="H88" s="61">
        <f>H30+H64</f>
        <v>1411.7099060000003</v>
      </c>
      <c r="J88" s="61">
        <f t="shared" si="11"/>
        <v>0</v>
      </c>
      <c r="L88" s="65">
        <f t="shared" si="10"/>
        <v>0</v>
      </c>
    </row>
    <row r="89" spans="3:12" s="5" customFormat="1" ht="15" x14ac:dyDescent="0.2">
      <c r="C89" s="5" t="s">
        <v>61</v>
      </c>
      <c r="E89" s="63">
        <f>SUM(E87:E88)</f>
        <v>19750.57</v>
      </c>
      <c r="F89" s="64">
        <f>F31+F65</f>
        <v>7.1694569099999992</v>
      </c>
      <c r="H89" s="61">
        <f>H31+H65</f>
        <v>7.1694569099999992</v>
      </c>
      <c r="J89" s="61">
        <f t="shared" si="11"/>
        <v>0</v>
      </c>
      <c r="L89" s="65">
        <f t="shared" si="10"/>
        <v>0</v>
      </c>
    </row>
    <row r="90" spans="3:12" s="5" customFormat="1" x14ac:dyDescent="0.25">
      <c r="C90" s="23" t="s">
        <v>63</v>
      </c>
      <c r="F90" s="66">
        <f>SUM(F86:F89)</f>
        <v>2588.3158114400003</v>
      </c>
      <c r="H90" s="66">
        <f>SUM(H86:H89)</f>
        <v>2610.6922210765379</v>
      </c>
      <c r="J90" s="67">
        <f t="shared" si="11"/>
        <v>22.376409636537574</v>
      </c>
      <c r="L90" s="68">
        <f t="shared" si="10"/>
        <v>8.6451620538872866E-3</v>
      </c>
    </row>
    <row r="91" spans="3:12" s="5" customFormat="1" ht="15.75" customHeight="1" x14ac:dyDescent="0.25">
      <c r="D91" s="1"/>
    </row>
    <row r="92" spans="3:12" s="5" customFormat="1" ht="15.75" customHeight="1" x14ac:dyDescent="0.25">
      <c r="C92" s="23" t="s">
        <v>85</v>
      </c>
      <c r="D92" s="39"/>
      <c r="E92" s="39"/>
      <c r="F92" s="39"/>
      <c r="G92" s="39"/>
      <c r="H92" s="39"/>
      <c r="I92" s="39"/>
      <c r="J92" s="39"/>
      <c r="K92" s="39"/>
      <c r="L92" s="39"/>
    </row>
    <row r="93" spans="3:12" s="5" customFormat="1" ht="15.75" customHeight="1" x14ac:dyDescent="0.2"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3:12" s="5" customFormat="1" ht="15.75" customHeight="1" x14ac:dyDescent="0.25">
      <c r="C94" s="23" t="s">
        <v>85</v>
      </c>
      <c r="D94" s="39"/>
      <c r="E94" s="42" t="s">
        <v>62</v>
      </c>
      <c r="F94" s="42" t="s">
        <v>37</v>
      </c>
      <c r="G94" s="42"/>
      <c r="H94" s="42" t="s">
        <v>57</v>
      </c>
      <c r="I94" s="39"/>
      <c r="J94" s="39" t="s">
        <v>64</v>
      </c>
      <c r="K94" s="39"/>
      <c r="L94" s="43" t="s">
        <v>65</v>
      </c>
    </row>
    <row r="95" spans="3:12" s="5" customFormat="1" ht="15.75" customHeight="1" x14ac:dyDescent="0.2">
      <c r="C95" s="97" t="s">
        <v>177</v>
      </c>
      <c r="D95" s="39"/>
      <c r="E95" s="76">
        <f t="shared" ref="E95:F97" si="12">E71+E37</f>
        <v>12</v>
      </c>
      <c r="F95" s="73">
        <f t="shared" si="12"/>
        <v>-6.6000000000000005</v>
      </c>
      <c r="G95" s="41"/>
      <c r="H95" s="73">
        <f>H71+H37</f>
        <v>0</v>
      </c>
      <c r="I95" s="41"/>
      <c r="J95" s="73">
        <f>H95-F95</f>
        <v>6.6000000000000005</v>
      </c>
      <c r="K95" s="39"/>
      <c r="L95" s="75">
        <f t="shared" ref="L95" si="13">IF(ISERROR(J95/F95),1,J95/F95)</f>
        <v>-1</v>
      </c>
    </row>
    <row r="96" spans="3:12" s="5" customFormat="1" ht="15.75" customHeight="1" x14ac:dyDescent="0.2">
      <c r="C96" s="97" t="s">
        <v>185</v>
      </c>
      <c r="D96" s="39"/>
      <c r="E96" s="76">
        <f t="shared" si="12"/>
        <v>15</v>
      </c>
      <c r="F96" s="73">
        <f t="shared" si="12"/>
        <v>0</v>
      </c>
      <c r="G96" s="41"/>
      <c r="H96" s="73">
        <f>H72+H38</f>
        <v>-8.25</v>
      </c>
      <c r="I96" s="41"/>
      <c r="J96" s="73">
        <f t="shared" ref="J96:J97" si="14">H96-F96</f>
        <v>-8.25</v>
      </c>
      <c r="K96" s="39"/>
      <c r="L96" s="75">
        <f>IF(ISERROR(J96/F96),1,J96/F96)</f>
        <v>1</v>
      </c>
    </row>
    <row r="97" spans="3:12" s="5" customFormat="1" ht="15.75" customHeight="1" x14ac:dyDescent="0.2">
      <c r="C97" s="97" t="s">
        <v>200</v>
      </c>
      <c r="D97" s="39"/>
      <c r="E97" s="76">
        <f t="shared" si="12"/>
        <v>753.83999999999992</v>
      </c>
      <c r="F97" s="73">
        <f t="shared" si="12"/>
        <v>0</v>
      </c>
      <c r="G97" s="41"/>
      <c r="H97" s="73">
        <f>H73+H39</f>
        <v>2.5786782650677433</v>
      </c>
      <c r="I97" s="41"/>
      <c r="J97" s="73">
        <f t="shared" si="14"/>
        <v>2.5786782650677433</v>
      </c>
      <c r="K97" s="39"/>
      <c r="L97" s="75">
        <f>IF(ISERROR(J97/F97),1,J97/F97)</f>
        <v>1</v>
      </c>
    </row>
    <row r="98" spans="3:12" s="5" customFormat="1" ht="15.75" customHeight="1" x14ac:dyDescent="0.25">
      <c r="C98" s="29" t="s">
        <v>87</v>
      </c>
      <c r="D98" s="39"/>
      <c r="E98" s="39"/>
      <c r="F98" s="69">
        <f>SUM(F95:F97)</f>
        <v>-6.6000000000000005</v>
      </c>
      <c r="G98" s="39"/>
      <c r="H98" s="69">
        <f>SUM(H95:H97)</f>
        <v>-5.6713217349322562</v>
      </c>
      <c r="I98" s="39"/>
      <c r="J98" s="69">
        <f>SUM(J95:J97)</f>
        <v>0.92867826506774387</v>
      </c>
      <c r="K98" s="39"/>
      <c r="L98" s="68">
        <f t="shared" ref="L98" si="15">IF(ISERROR(J98/F98),0,J98/F98)</f>
        <v>-0.14070882804056725</v>
      </c>
    </row>
    <row r="99" spans="3:12" s="5" customFormat="1" ht="15.75" customHeight="1" x14ac:dyDescent="0.2">
      <c r="C99" s="40"/>
      <c r="D99" s="39"/>
      <c r="E99" s="39"/>
      <c r="F99" s="39"/>
      <c r="G99" s="39"/>
      <c r="H99" s="39"/>
      <c r="I99" s="39"/>
      <c r="J99" s="39"/>
      <c r="K99" s="39"/>
      <c r="L99" s="39"/>
    </row>
    <row r="100" spans="3:12" s="5" customFormat="1" ht="15.75" customHeight="1" thickBot="1" x14ac:dyDescent="0.3">
      <c r="C100" s="29" t="s">
        <v>88</v>
      </c>
      <c r="D100" s="39"/>
      <c r="E100" s="39"/>
      <c r="F100" s="70">
        <f>SUM(F90,F98)</f>
        <v>2581.7158114400004</v>
      </c>
      <c r="G100" s="39"/>
      <c r="H100" s="70">
        <f>SUM(H90,H98)</f>
        <v>2605.0208993416054</v>
      </c>
      <c r="I100" s="39"/>
      <c r="J100" s="69">
        <f>SUM(J90,J98)</f>
        <v>23.305087901605319</v>
      </c>
      <c r="K100" s="39"/>
      <c r="L100" s="72">
        <f>IF(ISERROR(J100/F100),0,J100/F100)</f>
        <v>9.0269764775567883E-3</v>
      </c>
    </row>
    <row r="101" spans="3:12" s="5" customFormat="1" ht="15.75" customHeight="1" x14ac:dyDescent="0.25">
      <c r="D101" s="1"/>
    </row>
    <row r="102" spans="3:12" s="5" customFormat="1" ht="15.75" customHeight="1" x14ac:dyDescent="0.25">
      <c r="D102" s="1"/>
    </row>
    <row r="103" spans="3:12" s="5" customFormat="1" ht="15.75" customHeight="1" x14ac:dyDescent="0.25">
      <c r="D103" s="1"/>
    </row>
    <row r="104" spans="3:12" s="5" customFormat="1" ht="15.75" customHeight="1" x14ac:dyDescent="0.25">
      <c r="D104" s="1"/>
    </row>
    <row r="105" spans="3:12" s="5" customFormat="1" ht="15.75" customHeight="1" x14ac:dyDescent="0.25">
      <c r="D105" s="1"/>
    </row>
    <row r="106" spans="3:12" s="5" customFormat="1" ht="15.75" customHeight="1" x14ac:dyDescent="0.25">
      <c r="D106" s="1"/>
    </row>
    <row r="107" spans="3:12" s="5" customFormat="1" ht="15.75" customHeight="1" x14ac:dyDescent="0.25">
      <c r="D107" s="1"/>
    </row>
    <row r="108" spans="3:12" s="5" customFormat="1" ht="15.75" customHeight="1" x14ac:dyDescent="0.25">
      <c r="D108" s="1"/>
    </row>
    <row r="109" spans="3:12" s="5" customFormat="1" ht="15.75" customHeight="1" x14ac:dyDescent="0.25">
      <c r="D109" s="1"/>
    </row>
    <row r="110" spans="3:12" s="5" customFormat="1" ht="15.75" customHeight="1" x14ac:dyDescent="0.25">
      <c r="D110" s="1"/>
    </row>
    <row r="111" spans="3:12" s="5" customFormat="1" ht="15.75" customHeight="1" x14ac:dyDescent="0.25">
      <c r="D111" s="1"/>
    </row>
    <row r="112" spans="3:12" s="5" customFormat="1" ht="15.75" customHeight="1" x14ac:dyDescent="0.25">
      <c r="D112" s="1"/>
    </row>
    <row r="113" spans="4:4" s="5" customFormat="1" ht="15.75" customHeight="1" x14ac:dyDescent="0.25">
      <c r="D113" s="1"/>
    </row>
    <row r="114" spans="4:4" s="5" customFormat="1" ht="15.75" customHeight="1" x14ac:dyDescent="0.25">
      <c r="D114" s="1"/>
    </row>
    <row r="115" spans="4:4" s="5" customFormat="1" ht="15.75" customHeight="1" x14ac:dyDescent="0.25">
      <c r="D115" s="1"/>
    </row>
    <row r="116" spans="4:4" s="5" customFormat="1" ht="15.75" customHeight="1" x14ac:dyDescent="0.25">
      <c r="D116" s="1"/>
    </row>
    <row r="117" spans="4:4" s="5" customFormat="1" ht="15.75" customHeight="1" x14ac:dyDescent="0.25">
      <c r="D117" s="1"/>
    </row>
    <row r="118" spans="4:4" s="5" customFormat="1" ht="15.75" customHeight="1" x14ac:dyDescent="0.25">
      <c r="D118" s="1"/>
    </row>
    <row r="119" spans="4:4" s="5" customFormat="1" ht="15.75" customHeight="1" x14ac:dyDescent="0.25">
      <c r="D119" s="1"/>
    </row>
  </sheetData>
  <sheetProtection formatColumns="0" formatRows="0"/>
  <pageMargins left="0.70866141732283505" right="0.70866141732283505" top="0.74803149606299202" bottom="0.74803149606299202" header="0.31496062992126" footer="0.31496062992126"/>
  <pageSetup scale="64" fitToHeight="3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  <rowBreaks count="2" manualBreakCount="2">
    <brk id="42" max="16383" man="1"/>
    <brk id="7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45"/>
  <sheetViews>
    <sheetView showGridLines="0" topLeftCell="A6" zoomScale="80" zoomScaleNormal="80" workbookViewId="0">
      <selection sqref="A1:XFD1048576"/>
    </sheetView>
  </sheetViews>
  <sheetFormatPr defaultColWidth="0" defaultRowHeight="15" zeroHeight="1" x14ac:dyDescent="0.25"/>
  <cols>
    <col min="1" max="1" width="15.7109375" style="2" customWidth="1"/>
    <col min="2" max="2" width="1.7109375" style="2" hidden="1" customWidth="1"/>
    <col min="3" max="3" width="55.7109375" style="2" customWidth="1"/>
    <col min="4" max="4" width="2.7109375" style="2" customWidth="1"/>
    <col min="5" max="5" width="17.140625" style="2" bestFit="1" customWidth="1"/>
    <col min="6" max="7" width="13.85546875" style="2" bestFit="1" customWidth="1"/>
    <col min="8" max="9" width="15.140625" style="2" bestFit="1" customWidth="1"/>
    <col min="10" max="10" width="15.28515625" style="2" bestFit="1" customWidth="1"/>
    <col min="11" max="11" width="15.7109375" style="2" customWidth="1"/>
    <col min="12" max="12" width="12.28515625" style="2" bestFit="1" customWidth="1"/>
    <col min="13" max="14" width="15" style="2" bestFit="1" customWidth="1"/>
    <col min="15" max="15" width="2.7109375" style="2" customWidth="1"/>
    <col min="16" max="16384" width="0" style="2" hidden="1"/>
  </cols>
  <sheetData>
    <row r="1" spans="1:14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" customFormat="1" ht="18" x14ac:dyDescent="0.25">
      <c r="C2" s="8" t="str">
        <f>'A1.1 Distributor Information'!C3</f>
        <v>Name of LDC:       Natural Resource Gas Limited</v>
      </c>
    </row>
    <row r="3" spans="1:14" s="1" customFormat="1" ht="18" x14ac:dyDescent="0.25">
      <c r="C3" s="8" t="str">
        <f>'A1.1 Distributor Information'!C4</f>
        <v xml:space="preserve">OEB Application Number:          </v>
      </c>
    </row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x14ac:dyDescent="0.25"/>
    <row r="8" spans="1:14" s="1" customFormat="1" x14ac:dyDescent="0.25">
      <c r="C8" s="14"/>
    </row>
    <row r="9" spans="1:14" s="1" customFormat="1" x14ac:dyDescent="0.25"/>
    <row r="10" spans="1:14" s="1" customFormat="1" ht="20.25" x14ac:dyDescent="0.3">
      <c r="C10" s="4" t="s">
        <v>28</v>
      </c>
    </row>
    <row r="11" spans="1:14" s="1" customFormat="1" x14ac:dyDescent="0.25"/>
    <row r="12" spans="1:14" s="1" customFormat="1" x14ac:dyDescent="0.25"/>
    <row r="13" spans="1:14" s="1" customFormat="1" x14ac:dyDescent="0.25"/>
    <row r="14" spans="1:14" s="1" customFormat="1" x14ac:dyDescent="0.25"/>
    <row r="15" spans="1:14" s="1" customFormat="1" ht="32.25" x14ac:dyDescent="0.25">
      <c r="C15" s="1" t="s">
        <v>0</v>
      </c>
      <c r="E15" s="13" t="s">
        <v>1</v>
      </c>
      <c r="F15" s="13" t="s">
        <v>2</v>
      </c>
      <c r="G15" s="13" t="s">
        <v>3</v>
      </c>
      <c r="H15" s="13" t="s">
        <v>4</v>
      </c>
      <c r="I15" s="13" t="s">
        <v>5</v>
      </c>
      <c r="J15" s="13" t="s">
        <v>6</v>
      </c>
      <c r="K15" s="13" t="s">
        <v>7</v>
      </c>
      <c r="L15" s="13" t="s">
        <v>8</v>
      </c>
      <c r="M15" s="13" t="s">
        <v>9</v>
      </c>
      <c r="N15" s="13" t="s">
        <v>10</v>
      </c>
    </row>
    <row r="16" spans="1:14" s="1" customFormat="1" x14ac:dyDescent="0.25">
      <c r="C16" s="1" t="s">
        <v>12</v>
      </c>
      <c r="E16" s="31">
        <v>6559.916666666667</v>
      </c>
      <c r="F16" s="31">
        <v>12369781</v>
      </c>
      <c r="G16" s="31">
        <v>733799.79984444298</v>
      </c>
      <c r="H16" s="10"/>
      <c r="I16" s="10"/>
      <c r="J16" s="10"/>
      <c r="L16" s="31">
        <v>13103580.799844444</v>
      </c>
    </row>
    <row r="17" spans="3:14" s="1" customFormat="1" x14ac:dyDescent="0.25">
      <c r="C17" s="1" t="s">
        <v>13</v>
      </c>
      <c r="E17" s="31">
        <v>414</v>
      </c>
      <c r="F17" s="31">
        <v>1760200</v>
      </c>
      <c r="G17" s="31">
        <v>2371550.0078849494</v>
      </c>
      <c r="H17" s="10"/>
      <c r="I17" s="10"/>
      <c r="J17" s="10"/>
      <c r="L17" s="31">
        <v>4131750.0078849494</v>
      </c>
    </row>
    <row r="18" spans="3:14" s="1" customFormat="1" x14ac:dyDescent="0.25">
      <c r="C18" s="1" t="s">
        <v>14</v>
      </c>
      <c r="E18" s="31">
        <v>42</v>
      </c>
      <c r="F18" s="31">
        <v>131099.99999999997</v>
      </c>
      <c r="G18" s="31">
        <v>466927.66606406035</v>
      </c>
      <c r="H18" s="10"/>
      <c r="I18" s="10"/>
      <c r="J18" s="10"/>
      <c r="L18" s="31">
        <v>598027.66606406029</v>
      </c>
    </row>
    <row r="19" spans="3:14" s="1" customFormat="1" x14ac:dyDescent="0.25">
      <c r="C19" s="1" t="s">
        <v>15</v>
      </c>
      <c r="E19" s="31">
        <v>73</v>
      </c>
      <c r="F19" s="31">
        <v>123779</v>
      </c>
      <c r="H19" s="31">
        <v>329621.00000000006</v>
      </c>
      <c r="I19" s="31">
        <v>0</v>
      </c>
      <c r="J19" s="10"/>
      <c r="L19" s="31">
        <v>453400.00000000006</v>
      </c>
    </row>
    <row r="20" spans="3:14" s="1" customFormat="1" x14ac:dyDescent="0.25">
      <c r="C20" s="1" t="s">
        <v>16</v>
      </c>
      <c r="E20" s="31">
        <v>73</v>
      </c>
      <c r="F20" s="31">
        <v>5688</v>
      </c>
      <c r="H20" s="31">
        <v>43772.000000000007</v>
      </c>
      <c r="I20" s="31">
        <v>0</v>
      </c>
      <c r="J20" s="10"/>
      <c r="L20" s="31">
        <v>49460.000000000007</v>
      </c>
    </row>
    <row r="21" spans="3:14" s="1" customFormat="1" x14ac:dyDescent="0.25">
      <c r="C21" s="1" t="s">
        <v>17</v>
      </c>
      <c r="E21" s="31">
        <v>4</v>
      </c>
      <c r="F21" s="10"/>
      <c r="G21" s="10"/>
      <c r="H21" s="10"/>
      <c r="I21" s="10"/>
      <c r="J21" s="31">
        <v>2195299.0893468545</v>
      </c>
      <c r="K21" s="31">
        <v>256932</v>
      </c>
      <c r="L21" s="31">
        <v>2195299.0893468545</v>
      </c>
    </row>
    <row r="22" spans="3:14" s="1" customFormat="1" x14ac:dyDescent="0.25">
      <c r="C22" s="1" t="s">
        <v>18</v>
      </c>
      <c r="E22" s="31">
        <v>23</v>
      </c>
      <c r="F22" s="31">
        <v>215710</v>
      </c>
      <c r="G22" s="31">
        <v>221214.44489017199</v>
      </c>
      <c r="I22" s="10"/>
      <c r="J22" s="10"/>
      <c r="L22" s="31">
        <v>436924.44489017199</v>
      </c>
    </row>
    <row r="23" spans="3:14" s="1" customFormat="1" x14ac:dyDescent="0.25">
      <c r="C23" s="1" t="s">
        <v>19</v>
      </c>
      <c r="E23" s="31">
        <v>23</v>
      </c>
      <c r="F23" s="31">
        <v>4368.1919191919205</v>
      </c>
      <c r="G23" s="31">
        <v>12970</v>
      </c>
      <c r="L23" s="31">
        <v>17338.191919191922</v>
      </c>
    </row>
    <row r="24" spans="3:14" s="1" customFormat="1" x14ac:dyDescent="0.25">
      <c r="C24" s="1" t="s">
        <v>20</v>
      </c>
      <c r="E24" s="31">
        <v>5</v>
      </c>
      <c r="J24" s="31">
        <v>947161.70962962962</v>
      </c>
      <c r="L24" s="31">
        <v>947161.70962962962</v>
      </c>
    </row>
    <row r="25" spans="3:14" s="1" customFormat="1" ht="30" x14ac:dyDescent="0.25">
      <c r="C25" s="12" t="s">
        <v>21</v>
      </c>
      <c r="E25" s="31">
        <v>1</v>
      </c>
      <c r="J25" s="31">
        <v>33416816</v>
      </c>
      <c r="K25" s="31">
        <v>1298256</v>
      </c>
      <c r="L25" s="11"/>
    </row>
    <row r="26" spans="3:14" s="1" customFormat="1" x14ac:dyDescent="0.25">
      <c r="E26" s="44">
        <f>SUM(E16:E19,E21:E22,E24:E25)</f>
        <v>7121.916666666667</v>
      </c>
      <c r="F26" s="44">
        <f t="shared" ref="F26:L26" si="0">SUM(F16:F25)</f>
        <v>14610626.191919193</v>
      </c>
      <c r="G26" s="44">
        <f t="shared" si="0"/>
        <v>3806461.9186836248</v>
      </c>
      <c r="H26" s="44">
        <f t="shared" si="0"/>
        <v>373393.00000000006</v>
      </c>
      <c r="I26" s="44">
        <f t="shared" si="0"/>
        <v>0</v>
      </c>
      <c r="J26" s="44">
        <f t="shared" si="0"/>
        <v>36559276.798976481</v>
      </c>
      <c r="K26" s="44">
        <f t="shared" si="0"/>
        <v>1555188</v>
      </c>
      <c r="L26" s="44">
        <f t="shared" si="0"/>
        <v>21932941.909579303</v>
      </c>
      <c r="M26" s="44">
        <f t="shared" ref="M26" si="1">SUM(M16:M25)</f>
        <v>0</v>
      </c>
      <c r="N26" s="44">
        <f t="shared" ref="N26" si="2">SUM(N16:N25)</f>
        <v>0</v>
      </c>
    </row>
    <row r="27" spans="3:14" s="1" customFormat="1" x14ac:dyDescent="0.25"/>
    <row r="28" spans="3:14" s="1" customFormat="1" x14ac:dyDescent="0.25"/>
    <row r="29" spans="3:14" s="1" customFormat="1" x14ac:dyDescent="0.25"/>
    <row r="30" spans="3:14" s="1" customFormat="1" x14ac:dyDescent="0.25"/>
    <row r="31" spans="3:14" s="1" customFormat="1" x14ac:dyDescent="0.25"/>
    <row r="32" spans="3:1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</sheetData>
  <sheetProtection password="B400" sheet="1" objects="1" scenarios="1" formatColumns="0" formatRows="0"/>
  <pageMargins left="0.70866141732283505" right="0.70866141732283505" top="0.74803149606299202" bottom="0.74803149606299202" header="0.31496062992126" footer="0.31496062992126"/>
  <pageSetup scale="54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P62"/>
  <sheetViews>
    <sheetView showGridLines="0" topLeftCell="A26" workbookViewId="0">
      <selection activeCell="E39" sqref="E39"/>
    </sheetView>
  </sheetViews>
  <sheetFormatPr defaultColWidth="0" defaultRowHeight="15.75" customHeight="1" zeroHeight="1" x14ac:dyDescent="0.25"/>
  <cols>
    <col min="1" max="1" width="15.7109375" style="18" customWidth="1"/>
    <col min="2" max="2" width="9.140625" style="18" hidden="1" customWidth="1"/>
    <col min="3" max="3" width="55.7109375" style="18" customWidth="1"/>
    <col min="4" max="4" width="2.7109375" style="2" customWidth="1"/>
    <col min="5" max="5" width="11" style="18" bestFit="1" customWidth="1"/>
    <col min="6" max="6" width="14" style="18" bestFit="1" customWidth="1"/>
    <col min="7" max="7" width="2.7109375" style="18" customWidth="1"/>
    <col min="8" max="8" width="16.5703125" style="18" bestFit="1" customWidth="1"/>
    <col min="9" max="9" width="2.7109375" style="18" customWidth="1"/>
    <col min="10" max="10" width="11" style="18" bestFit="1" customWidth="1"/>
    <col min="11" max="11" width="2.7109375" style="18" customWidth="1"/>
    <col min="12" max="12" width="11.7109375" style="18" bestFit="1" customWidth="1"/>
    <col min="13" max="13" width="2.7109375" style="18" customWidth="1"/>
    <col min="14" max="15" width="12.7109375" style="18" hidden="1" customWidth="1"/>
    <col min="16" max="16" width="2.7109375" style="18" hidden="1" customWidth="1"/>
    <col min="17" max="16384" width="0" style="18" hidden="1"/>
  </cols>
  <sheetData>
    <row r="1" spans="1:12" ht="15" x14ac:dyDescent="0.2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</row>
    <row r="2" spans="1:12" s="5" customFormat="1" ht="18" x14ac:dyDescent="0.25">
      <c r="C2" s="8" t="str">
        <f>'A1.1 Distributor Information'!C3</f>
        <v>Name of LDC:       Natural Resource Gas Limited</v>
      </c>
    </row>
    <row r="3" spans="1:12" s="5" customFormat="1" ht="18" x14ac:dyDescent="0.25">
      <c r="C3" s="8" t="str">
        <f>'A1.1 Distributor Information'!C4</f>
        <v xml:space="preserve">OEB Application Number:          </v>
      </c>
    </row>
    <row r="4" spans="1:12" s="5" customFormat="1" ht="15" x14ac:dyDescent="0.2"/>
    <row r="5" spans="1:12" s="5" customFormat="1" ht="15" x14ac:dyDescent="0.2"/>
    <row r="6" spans="1:12" s="5" customFormat="1" ht="15" x14ac:dyDescent="0.2"/>
    <row r="7" spans="1:12" s="5" customFormat="1" ht="15" x14ac:dyDescent="0.2"/>
    <row r="8" spans="1:12" s="5" customFormat="1" ht="15" x14ac:dyDescent="0.2"/>
    <row r="9" spans="1:12" s="5" customFormat="1" ht="15" x14ac:dyDescent="0.2"/>
    <row r="10" spans="1:12" s="5" customFormat="1" ht="20.25" x14ac:dyDescent="0.3">
      <c r="C10" s="4" t="s">
        <v>75</v>
      </c>
    </row>
    <row r="11" spans="1:12" s="5" customFormat="1" ht="15" x14ac:dyDescent="0.2"/>
    <row r="12" spans="1:12" s="5" customFormat="1" ht="15" x14ac:dyDescent="0.2"/>
    <row r="13" spans="1:12" s="5" customFormat="1" ht="15" x14ac:dyDescent="0.2"/>
    <row r="14" spans="1:12" s="5" customFormat="1" ht="15" x14ac:dyDescent="0.2"/>
    <row r="15" spans="1:12" s="5" customFormat="1" ht="20.25" x14ac:dyDescent="0.3">
      <c r="C15" s="4" t="s">
        <v>76</v>
      </c>
      <c r="F15" s="19" t="s">
        <v>37</v>
      </c>
      <c r="G15" s="19"/>
      <c r="H15" s="19" t="s">
        <v>57</v>
      </c>
    </row>
    <row r="16" spans="1:12" s="5" customFormat="1" ht="15" x14ac:dyDescent="0.2"/>
    <row r="17" spans="3:12" s="5" customFormat="1" ht="15" x14ac:dyDescent="0.2">
      <c r="C17" s="5" t="s">
        <v>58</v>
      </c>
      <c r="F17" s="61">
        <f>'B1.1 Current Distribution Rates'!E24</f>
        <v>150</v>
      </c>
      <c r="H17" s="61">
        <f>'E1.1 Proposed Dist Rates '!E24</f>
        <v>150</v>
      </c>
    </row>
    <row r="18" spans="3:12" s="5" customFormat="1" ht="15" x14ac:dyDescent="0.2">
      <c r="C18" s="26" t="s">
        <v>6</v>
      </c>
      <c r="F18" s="62">
        <f>'B1.1 Current Distribution Rates'!J24</f>
        <v>7.0068999999999999</v>
      </c>
      <c r="H18" s="62">
        <f>'E1.1 Proposed Dist Rates '!J24</f>
        <v>7.1023852879703195</v>
      </c>
    </row>
    <row r="19" spans="3:12" s="5" customFormat="1" ht="15" x14ac:dyDescent="0.2">
      <c r="C19" s="5" t="s">
        <v>61</v>
      </c>
      <c r="F19" s="62">
        <f>'B1.1 Current Distribution Rates'!L24</f>
        <v>3.6299999999999999E-2</v>
      </c>
      <c r="H19" s="62">
        <f>'E1.1 Proposed Dist Rates '!L24</f>
        <v>3.6299999999999999E-2</v>
      </c>
    </row>
    <row r="20" spans="3:12" s="5" customFormat="1" ht="15" x14ac:dyDescent="0.2">
      <c r="F20" s="24"/>
      <c r="H20" s="24"/>
    </row>
    <row r="21" spans="3:12" s="5" customFormat="1" ht="15" x14ac:dyDescent="0.2">
      <c r="C21" s="39" t="s">
        <v>85</v>
      </c>
      <c r="D21" s="39"/>
      <c r="E21" s="39"/>
      <c r="F21" s="39"/>
      <c r="G21" s="39"/>
      <c r="H21" s="39"/>
    </row>
    <row r="22" spans="3:12" s="5" customFormat="1" ht="15" x14ac:dyDescent="0.2">
      <c r="C22" s="97" t="s">
        <v>177</v>
      </c>
      <c r="D22" s="39"/>
      <c r="E22" s="39"/>
      <c r="F22" s="73">
        <f>'C1.1 Current Rate Riders'!$E$24</f>
        <v>-3.02</v>
      </c>
      <c r="G22" s="39"/>
      <c r="H22" s="39"/>
    </row>
    <row r="23" spans="3:12" s="5" customFormat="1" ht="15" x14ac:dyDescent="0.2">
      <c r="C23" s="97" t="s">
        <v>185</v>
      </c>
      <c r="D23" s="39"/>
      <c r="E23" s="39"/>
      <c r="F23" s="39"/>
      <c r="G23" s="39"/>
      <c r="H23" s="73">
        <f>ROUND('F1.3 Proposed Rate Riders'!$E$24,2)</f>
        <v>-3.02</v>
      </c>
    </row>
    <row r="24" spans="3:12" s="5" customFormat="1" ht="15" x14ac:dyDescent="0.2">
      <c r="C24" s="97" t="s">
        <v>201</v>
      </c>
      <c r="D24" s="39"/>
      <c r="E24" s="39"/>
      <c r="F24" s="39"/>
      <c r="G24" s="39"/>
      <c r="H24" s="179">
        <f>'F1.4 Proposed Forgone Rev Rider'!J24</f>
        <v>9.5485287970319632E-2</v>
      </c>
    </row>
    <row r="25" spans="3:12" s="5" customFormat="1" ht="15" x14ac:dyDescent="0.2"/>
    <row r="26" spans="3:12" s="5" customFormat="1" ht="15" x14ac:dyDescent="0.2">
      <c r="C26" s="5" t="s">
        <v>67</v>
      </c>
    </row>
    <row r="27" spans="3:12" s="5" customFormat="1" ht="15" x14ac:dyDescent="0.2">
      <c r="C27" s="26" t="s">
        <v>6</v>
      </c>
      <c r="E27" s="22">
        <v>189432.34</v>
      </c>
    </row>
    <row r="28" spans="3:12" s="5" customFormat="1" ht="15" x14ac:dyDescent="0.2"/>
    <row r="29" spans="3:12" s="5" customFormat="1" ht="15" x14ac:dyDescent="0.2">
      <c r="E29" s="19" t="s">
        <v>62</v>
      </c>
      <c r="F29" s="19" t="s">
        <v>37</v>
      </c>
      <c r="G29" s="19"/>
      <c r="H29" s="19" t="s">
        <v>57</v>
      </c>
      <c r="J29" s="5" t="s">
        <v>64</v>
      </c>
      <c r="L29" s="20" t="s">
        <v>65</v>
      </c>
    </row>
    <row r="30" spans="3:12" s="5" customFormat="1" ht="15" x14ac:dyDescent="0.2">
      <c r="C30" s="5" t="s">
        <v>58</v>
      </c>
      <c r="E30" s="63">
        <v>12</v>
      </c>
      <c r="F30" s="64">
        <f>F17*E30</f>
        <v>1800</v>
      </c>
      <c r="H30" s="61">
        <f>H17*E30</f>
        <v>1800</v>
      </c>
      <c r="J30" s="61">
        <f>H30-F30</f>
        <v>0</v>
      </c>
      <c r="L30" s="65">
        <f>IF(ISERROR(J30/F30),0,J30/F30)</f>
        <v>0</v>
      </c>
    </row>
    <row r="31" spans="3:12" s="5" customFormat="1" ht="15" x14ac:dyDescent="0.2">
      <c r="C31" s="26" t="s">
        <v>6</v>
      </c>
      <c r="E31" s="63">
        <f>E27</f>
        <v>189432.34</v>
      </c>
      <c r="F31" s="64">
        <f>F18*E31/100</f>
        <v>13273.334631459998</v>
      </c>
      <c r="H31" s="61">
        <f>H18*E31/100</f>
        <v>13454.214646817914</v>
      </c>
      <c r="J31" s="61">
        <f t="shared" ref="J31:J33" si="0">H31-F31</f>
        <v>180.88001535791591</v>
      </c>
      <c r="L31" s="65">
        <f>IF(ISERROR(J31/F31),0,J31/F31)</f>
        <v>1.3627322777593534E-2</v>
      </c>
    </row>
    <row r="32" spans="3:12" s="5" customFormat="1" ht="15" x14ac:dyDescent="0.2">
      <c r="C32" s="5" t="s">
        <v>61</v>
      </c>
      <c r="E32" s="63">
        <f>E27</f>
        <v>189432.34</v>
      </c>
      <c r="F32" s="64">
        <f>F19*E32/100</f>
        <v>68.76393942</v>
      </c>
      <c r="H32" s="61">
        <f>H19*E32/100</f>
        <v>68.76393942</v>
      </c>
      <c r="J32" s="61">
        <f t="shared" si="0"/>
        <v>0</v>
      </c>
      <c r="L32" s="65">
        <f>IF(ISERROR(J32/F32),0,J32/F32)</f>
        <v>0</v>
      </c>
    </row>
    <row r="33" spans="3:12" s="5" customFormat="1" x14ac:dyDescent="0.25">
      <c r="C33" s="23" t="s">
        <v>63</v>
      </c>
      <c r="F33" s="66">
        <f>SUM(F30:F32)</f>
        <v>15142.098570879998</v>
      </c>
      <c r="H33" s="66">
        <f>SUM(H30:H32)</f>
        <v>15322.978586237914</v>
      </c>
      <c r="J33" s="67">
        <f t="shared" si="0"/>
        <v>180.88001535791591</v>
      </c>
      <c r="L33" s="68">
        <f>IF(ISERROR(J33/F33),0,J33/F33)</f>
        <v>1.1945505077200397E-2</v>
      </c>
    </row>
    <row r="34" spans="3:12" s="5" customFormat="1" ht="15" x14ac:dyDescent="0.2">
      <c r="J34" s="177"/>
    </row>
    <row r="35" spans="3:12" s="5" customFormat="1" x14ac:dyDescent="0.25">
      <c r="C35" s="23" t="s">
        <v>85</v>
      </c>
      <c r="D35" s="39"/>
      <c r="E35" s="39"/>
      <c r="F35" s="39"/>
      <c r="G35" s="39"/>
      <c r="H35" s="39"/>
      <c r="I35" s="39"/>
      <c r="J35" s="39"/>
      <c r="K35" s="39"/>
      <c r="L35" s="39"/>
    </row>
    <row r="36" spans="3:12" s="5" customFormat="1" ht="15.75" customHeight="1" x14ac:dyDescent="0.2"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3:12" s="5" customFormat="1" ht="15.75" customHeight="1" x14ac:dyDescent="0.25">
      <c r="C37" s="23" t="s">
        <v>85</v>
      </c>
      <c r="D37" s="39"/>
      <c r="E37" s="42" t="s">
        <v>62</v>
      </c>
      <c r="F37" s="42" t="s">
        <v>37</v>
      </c>
      <c r="G37" s="42"/>
      <c r="H37" s="42" t="s">
        <v>57</v>
      </c>
      <c r="I37" s="39"/>
      <c r="J37" s="39" t="s">
        <v>64</v>
      </c>
      <c r="K37" s="39"/>
      <c r="L37" s="43" t="s">
        <v>65</v>
      </c>
    </row>
    <row r="38" spans="3:12" s="5" customFormat="1" ht="15.75" customHeight="1" x14ac:dyDescent="0.2">
      <c r="C38" s="97" t="s">
        <v>177</v>
      </c>
      <c r="D38" s="39"/>
      <c r="E38" s="109">
        <v>12</v>
      </c>
      <c r="F38" s="73">
        <f>F22*E38</f>
        <v>-36.24</v>
      </c>
      <c r="G38" s="41"/>
      <c r="H38" s="73">
        <v>0</v>
      </c>
      <c r="I38" s="41"/>
      <c r="J38" s="73">
        <f>H38-F38</f>
        <v>36.24</v>
      </c>
      <c r="K38" s="39"/>
      <c r="L38" s="75">
        <f t="shared" ref="L38:L40" si="1">IF(ISERROR(J38/F38),1,J38/F38)</f>
        <v>-1</v>
      </c>
    </row>
    <row r="39" spans="3:12" s="5" customFormat="1" ht="15.75" customHeight="1" x14ac:dyDescent="0.2">
      <c r="C39" s="97" t="s">
        <v>185</v>
      </c>
      <c r="D39" s="39"/>
      <c r="E39" s="109">
        <f>IF('F1.4 Proposed Forgone Rev Rider'!$E$12=0,12,12+'F1.4 Proposed Forgone Rev Rider'!$E$12)</f>
        <v>15</v>
      </c>
      <c r="F39" s="73">
        <v>0</v>
      </c>
      <c r="G39" s="41"/>
      <c r="H39" s="73">
        <f>H23*E39</f>
        <v>-45.3</v>
      </c>
      <c r="I39" s="41"/>
      <c r="J39" s="73">
        <f t="shared" ref="J39:J40" si="2">H39-F39</f>
        <v>-45.3</v>
      </c>
      <c r="K39" s="39"/>
      <c r="L39" s="75">
        <f t="shared" si="1"/>
        <v>1</v>
      </c>
    </row>
    <row r="40" spans="3:12" s="5" customFormat="1" ht="15.75" customHeight="1" x14ac:dyDescent="0.2">
      <c r="C40" s="97" t="s">
        <v>201</v>
      </c>
      <c r="D40" s="39"/>
      <c r="E40" s="63">
        <f>E27/12*'F1.4 Proposed Forgone Rev Rider'!E12</f>
        <v>47358.084999999999</v>
      </c>
      <c r="F40" s="73"/>
      <c r="G40" s="41"/>
      <c r="H40" s="73">
        <f>E40*H24/100</f>
        <v>45.22000383947875</v>
      </c>
      <c r="I40" s="41"/>
      <c r="J40" s="73">
        <f t="shared" si="2"/>
        <v>45.22000383947875</v>
      </c>
      <c r="K40" s="39"/>
      <c r="L40" s="75">
        <f t="shared" si="1"/>
        <v>1</v>
      </c>
    </row>
    <row r="41" spans="3:12" s="5" customFormat="1" ht="15.75" customHeight="1" x14ac:dyDescent="0.25">
      <c r="C41" s="29" t="s">
        <v>87</v>
      </c>
      <c r="D41" s="39"/>
      <c r="E41" s="39"/>
      <c r="F41" s="69">
        <f>SUM(F38:F40)</f>
        <v>-36.24</v>
      </c>
      <c r="G41" s="39"/>
      <c r="H41" s="69">
        <f>SUM(H38:H40)</f>
        <v>-7.9996160521247361E-2</v>
      </c>
      <c r="I41" s="39"/>
      <c r="J41" s="69">
        <f>SUM(J38:J40)</f>
        <v>36.160003839478755</v>
      </c>
      <c r="K41" s="39"/>
      <c r="L41" s="68">
        <f t="shared" ref="L41" si="3">IF(ISERROR(J41/F41),0,J41/F41)</f>
        <v>-0.99779260042711793</v>
      </c>
    </row>
    <row r="42" spans="3:12" s="5" customFormat="1" ht="15.75" customHeight="1" x14ac:dyDescent="0.2">
      <c r="C42" s="40"/>
      <c r="D42" s="39"/>
      <c r="E42" s="39"/>
      <c r="F42" s="39"/>
      <c r="G42" s="39"/>
      <c r="H42" s="39"/>
      <c r="I42" s="39"/>
      <c r="J42" s="39"/>
      <c r="K42" s="39"/>
      <c r="L42" s="39"/>
    </row>
    <row r="43" spans="3:12" s="5" customFormat="1" ht="15.75" customHeight="1" thickBot="1" x14ac:dyDescent="0.3">
      <c r="C43" s="29" t="s">
        <v>88</v>
      </c>
      <c r="D43" s="39"/>
      <c r="E43" s="39"/>
      <c r="F43" s="70">
        <f>SUM(F33,F41)</f>
        <v>15105.858570879998</v>
      </c>
      <c r="G43" s="39"/>
      <c r="H43" s="70">
        <f>SUM(H33,H41)</f>
        <v>15322.898590077393</v>
      </c>
      <c r="I43" s="39"/>
      <c r="J43" s="69">
        <f>SUM(J33,J41)</f>
        <v>217.04001919739466</v>
      </c>
      <c r="K43" s="39"/>
      <c r="L43" s="72">
        <f>IF(ISERROR(J43/F43),0,J43/F43)</f>
        <v>1.4367936663711984E-2</v>
      </c>
    </row>
    <row r="44" spans="3:12" s="5" customFormat="1" ht="15.75" customHeight="1" x14ac:dyDescent="0.25">
      <c r="D44" s="1"/>
    </row>
    <row r="45" spans="3:12" s="5" customFormat="1" ht="15.75" customHeight="1" x14ac:dyDescent="0.25">
      <c r="D45" s="1"/>
    </row>
    <row r="46" spans="3:12" s="5" customFormat="1" ht="15.75" customHeight="1" x14ac:dyDescent="0.25">
      <c r="D46" s="1"/>
    </row>
    <row r="47" spans="3:12" s="5" customFormat="1" ht="15.75" customHeight="1" x14ac:dyDescent="0.25">
      <c r="D47" s="1"/>
    </row>
    <row r="48" spans="3:12" s="5" customFormat="1" ht="15.75" customHeight="1" x14ac:dyDescent="0.25">
      <c r="D48" s="1"/>
    </row>
    <row r="49" spans="4:4" s="5" customFormat="1" ht="15.75" customHeight="1" x14ac:dyDescent="0.25">
      <c r="D49" s="1"/>
    </row>
    <row r="50" spans="4:4" s="5" customFormat="1" ht="15.75" customHeight="1" x14ac:dyDescent="0.25">
      <c r="D50" s="1"/>
    </row>
    <row r="51" spans="4:4" s="5" customFormat="1" ht="15.75" customHeight="1" x14ac:dyDescent="0.25">
      <c r="D51" s="1"/>
    </row>
    <row r="52" spans="4:4" s="5" customFormat="1" ht="15.75" customHeight="1" x14ac:dyDescent="0.25">
      <c r="D52" s="1"/>
    </row>
    <row r="53" spans="4:4" s="5" customFormat="1" ht="15.75" customHeight="1" x14ac:dyDescent="0.25">
      <c r="D53" s="1"/>
    </row>
    <row r="54" spans="4:4" s="5" customFormat="1" ht="15.75" customHeight="1" x14ac:dyDescent="0.25">
      <c r="D54" s="1"/>
    </row>
    <row r="55" spans="4:4" s="5" customFormat="1" ht="15.75" customHeight="1" x14ac:dyDescent="0.25">
      <c r="D55" s="1"/>
    </row>
    <row r="56" spans="4:4" s="5" customFormat="1" ht="15.75" customHeight="1" x14ac:dyDescent="0.25">
      <c r="D56" s="1"/>
    </row>
    <row r="57" spans="4:4" s="5" customFormat="1" ht="15.75" customHeight="1" x14ac:dyDescent="0.25">
      <c r="D57" s="1"/>
    </row>
    <row r="58" spans="4:4" s="5" customFormat="1" ht="15.75" customHeight="1" x14ac:dyDescent="0.25">
      <c r="D58" s="1"/>
    </row>
    <row r="59" spans="4:4" s="5" customFormat="1" ht="15.75" customHeight="1" x14ac:dyDescent="0.25">
      <c r="D59" s="1"/>
    </row>
    <row r="60" spans="4:4" s="5" customFormat="1" ht="15.75" customHeight="1" x14ac:dyDescent="0.25">
      <c r="D60" s="1"/>
    </row>
    <row r="61" spans="4:4" s="5" customFormat="1" ht="15.75" customHeight="1" x14ac:dyDescent="0.25">
      <c r="D61" s="1"/>
    </row>
    <row r="62" spans="4:4" s="5" customFormat="1" ht="15.75" customHeight="1" x14ac:dyDescent="0.25">
      <c r="D62" s="1"/>
    </row>
  </sheetData>
  <sheetProtection formatColumns="0" formatRows="0"/>
  <pageMargins left="0.70866141732283505" right="0.70866141732283505" top="0.74803149606299202" bottom="0.74803149606299202" header="0.31496062992126" footer="0.31496062992126"/>
  <pageSetup scale="77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P65"/>
  <sheetViews>
    <sheetView showGridLines="0" topLeftCell="A35" zoomScaleNormal="100" workbookViewId="0">
      <selection activeCell="E47" sqref="E47"/>
    </sheetView>
  </sheetViews>
  <sheetFormatPr defaultColWidth="0" defaultRowHeight="15.75" customHeight="1" zeroHeight="1" x14ac:dyDescent="0.25"/>
  <cols>
    <col min="1" max="1" width="15.7109375" style="18" customWidth="1"/>
    <col min="2" max="2" width="9.140625" style="18" hidden="1" customWidth="1"/>
    <col min="3" max="3" width="55.7109375" style="18" customWidth="1"/>
    <col min="4" max="4" width="2.7109375" style="2" customWidth="1"/>
    <col min="5" max="5" width="14.28515625" style="18" bestFit="1" customWidth="1"/>
    <col min="6" max="6" width="16.140625" style="18" bestFit="1" customWidth="1"/>
    <col min="7" max="7" width="2.7109375" style="18" customWidth="1"/>
    <col min="8" max="8" width="16.5703125" style="18" bestFit="1" customWidth="1"/>
    <col min="9" max="9" width="2.7109375" style="18" customWidth="1"/>
    <col min="10" max="10" width="12.85546875" style="18" bestFit="1" customWidth="1"/>
    <col min="11" max="11" width="2.7109375" style="18" customWidth="1"/>
    <col min="12" max="12" width="11.7109375" style="18" bestFit="1" customWidth="1"/>
    <col min="13" max="13" width="2.7109375" style="18" customWidth="1"/>
    <col min="14" max="15" width="12.7109375" style="18" hidden="1" customWidth="1"/>
    <col min="16" max="16" width="2.7109375" style="18" hidden="1" customWidth="1"/>
    <col min="17" max="16384" width="0" style="18" hidden="1"/>
  </cols>
  <sheetData>
    <row r="1" spans="1:12" ht="15" x14ac:dyDescent="0.2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</row>
    <row r="2" spans="1:12" s="5" customFormat="1" ht="18" x14ac:dyDescent="0.25">
      <c r="C2" s="8" t="str">
        <f>'A1.1 Distributor Information'!C3</f>
        <v>Name of LDC:       Natural Resource Gas Limited</v>
      </c>
    </row>
    <row r="3" spans="1:12" s="5" customFormat="1" ht="18" x14ac:dyDescent="0.25">
      <c r="C3" s="8" t="str">
        <f>'A1.1 Distributor Information'!C4</f>
        <v xml:space="preserve">OEB Application Number:          </v>
      </c>
    </row>
    <row r="4" spans="1:12" s="5" customFormat="1" ht="15" x14ac:dyDescent="0.2"/>
    <row r="5" spans="1:12" s="5" customFormat="1" ht="15" x14ac:dyDescent="0.2"/>
    <row r="6" spans="1:12" s="5" customFormat="1" ht="15" x14ac:dyDescent="0.2"/>
    <row r="7" spans="1:12" s="5" customFormat="1" ht="15" x14ac:dyDescent="0.2"/>
    <row r="8" spans="1:12" s="5" customFormat="1" ht="15" x14ac:dyDescent="0.2"/>
    <row r="9" spans="1:12" s="5" customFormat="1" ht="15" x14ac:dyDescent="0.2"/>
    <row r="10" spans="1:12" s="5" customFormat="1" ht="20.25" x14ac:dyDescent="0.3">
      <c r="C10" s="4" t="s">
        <v>132</v>
      </c>
    </row>
    <row r="11" spans="1:12" s="5" customFormat="1" ht="15" x14ac:dyDescent="0.2"/>
    <row r="12" spans="1:12" s="5" customFormat="1" ht="15" x14ac:dyDescent="0.2"/>
    <row r="13" spans="1:12" s="5" customFormat="1" ht="15" x14ac:dyDescent="0.2"/>
    <row r="14" spans="1:12" s="5" customFormat="1" ht="15" x14ac:dyDescent="0.2"/>
    <row r="15" spans="1:12" s="5" customFormat="1" ht="20.25" x14ac:dyDescent="0.3">
      <c r="C15" s="4" t="s">
        <v>73</v>
      </c>
      <c r="F15" s="19" t="s">
        <v>37</v>
      </c>
      <c r="G15" s="19"/>
      <c r="H15" s="19" t="s">
        <v>57</v>
      </c>
    </row>
    <row r="16" spans="1:12" s="5" customFormat="1" ht="15" x14ac:dyDescent="0.2"/>
    <row r="17" spans="3:14" s="5" customFormat="1" ht="15" x14ac:dyDescent="0.2">
      <c r="C17" s="5" t="s">
        <v>58</v>
      </c>
      <c r="F17" s="61">
        <f>'B1.1 Current Distribution Rates'!E25</f>
        <v>150</v>
      </c>
      <c r="H17" s="61">
        <f>'E1.1 Proposed Dist Rates '!E25</f>
        <v>150</v>
      </c>
    </row>
    <row r="18" spans="3:14" s="5" customFormat="1" ht="15" x14ac:dyDescent="0.2">
      <c r="C18" s="26" t="s">
        <v>6</v>
      </c>
      <c r="F18" s="62">
        <f>'B1.1 Current Distribution Rates'!J25</f>
        <v>3.7976000000000001</v>
      </c>
      <c r="H18" s="62">
        <f>'E1.1 Proposed Dist Rates '!J25</f>
        <v>3.8432358381151341</v>
      </c>
    </row>
    <row r="19" spans="3:14" s="5" customFormat="1" ht="15" x14ac:dyDescent="0.2">
      <c r="C19" s="26" t="s">
        <v>7</v>
      </c>
      <c r="F19" s="62">
        <f>'B1.1 Current Distribution Rates'!K25</f>
        <v>18.395099999999999</v>
      </c>
      <c r="H19" s="62">
        <f>'E1.1 Proposed Dist Rates '!K25</f>
        <v>18.615841199999998</v>
      </c>
    </row>
    <row r="20" spans="3:14" s="5" customFormat="1" ht="15" x14ac:dyDescent="0.2">
      <c r="C20" s="26"/>
      <c r="F20" s="24"/>
      <c r="H20" s="24"/>
    </row>
    <row r="21" spans="3:14" s="5" customFormat="1" ht="15" x14ac:dyDescent="0.2">
      <c r="C21" s="39" t="s">
        <v>85</v>
      </c>
      <c r="D21" s="39"/>
      <c r="E21" s="39"/>
      <c r="F21" s="39"/>
      <c r="G21" s="39"/>
      <c r="H21" s="39"/>
    </row>
    <row r="22" spans="3:14" s="5" customFormat="1" ht="15" x14ac:dyDescent="0.2">
      <c r="C22" s="97" t="s">
        <v>177</v>
      </c>
      <c r="D22" s="39"/>
      <c r="E22" s="39"/>
      <c r="F22" s="73">
        <f>'C1.1 Current Rate Riders'!$E$25</f>
        <v>-301.10000000000002</v>
      </c>
      <c r="G22" s="39"/>
      <c r="H22" s="39"/>
    </row>
    <row r="23" spans="3:14" s="5" customFormat="1" ht="15" x14ac:dyDescent="0.2">
      <c r="C23" s="97" t="s">
        <v>185</v>
      </c>
      <c r="D23" s="39"/>
      <c r="E23" s="39"/>
      <c r="F23" s="39"/>
      <c r="G23" s="39"/>
      <c r="H23" s="73">
        <f>ROUND('F1.3 Proposed Rate Riders'!$E$25,2)</f>
        <v>-301.13</v>
      </c>
    </row>
    <row r="24" spans="3:14" s="5" customFormat="1" ht="15" x14ac:dyDescent="0.2">
      <c r="C24" s="97" t="s">
        <v>201</v>
      </c>
      <c r="D24" s="39"/>
      <c r="E24" s="39"/>
      <c r="F24" s="39"/>
      <c r="G24" s="39"/>
      <c r="H24" s="179">
        <f>'F1.4 Proposed Forgone Rev Rider'!J25</f>
        <v>4.5635838115134053E-2</v>
      </c>
    </row>
    <row r="25" spans="3:14" s="5" customFormat="1" ht="15" x14ac:dyDescent="0.2">
      <c r="C25" s="97" t="s">
        <v>202</v>
      </c>
      <c r="D25" s="39"/>
      <c r="E25" s="39"/>
      <c r="F25" s="39"/>
      <c r="G25" s="39"/>
      <c r="H25" s="179">
        <f>'F1.4 Proposed Forgone Rev Rider'!K25</f>
        <v>0.22074119999999908</v>
      </c>
    </row>
    <row r="26" spans="3:14" s="5" customFormat="1" ht="15" x14ac:dyDescent="0.2"/>
    <row r="27" spans="3:14" s="5" customFormat="1" ht="15" x14ac:dyDescent="0.2">
      <c r="C27" s="5" t="s">
        <v>67</v>
      </c>
    </row>
    <row r="28" spans="3:14" s="5" customFormat="1" ht="15" x14ac:dyDescent="0.2">
      <c r="C28" s="26" t="s">
        <v>6</v>
      </c>
      <c r="E28" s="22">
        <v>33416816.000000004</v>
      </c>
    </row>
    <row r="29" spans="3:14" s="5" customFormat="1" x14ac:dyDescent="0.25">
      <c r="C29" s="26" t="s">
        <v>7</v>
      </c>
      <c r="E29" s="22">
        <v>1297416</v>
      </c>
      <c r="N29" s="21"/>
    </row>
    <row r="30" spans="3:14" s="5" customFormat="1" ht="15" x14ac:dyDescent="0.2"/>
    <row r="31" spans="3:14" s="5" customFormat="1" ht="15" x14ac:dyDescent="0.2">
      <c r="E31" s="19" t="s">
        <v>62</v>
      </c>
      <c r="F31" s="19" t="s">
        <v>37</v>
      </c>
      <c r="G31" s="19"/>
      <c r="H31" s="19" t="s">
        <v>57</v>
      </c>
      <c r="J31" s="5" t="s">
        <v>64</v>
      </c>
      <c r="L31" s="20" t="s">
        <v>65</v>
      </c>
    </row>
    <row r="32" spans="3:14" s="5" customFormat="1" ht="15" x14ac:dyDescent="0.2">
      <c r="C32" s="5" t="s">
        <v>58</v>
      </c>
      <c r="E32" s="63">
        <v>12</v>
      </c>
      <c r="F32" s="64">
        <f>F17*E32</f>
        <v>1800</v>
      </c>
      <c r="H32" s="61">
        <f>H17*E32</f>
        <v>1800</v>
      </c>
      <c r="J32" s="73">
        <f>H32-F32</f>
        <v>0</v>
      </c>
      <c r="L32" s="65">
        <f>IF(ISERROR(J32/F32),0,J32/F32)</f>
        <v>0</v>
      </c>
    </row>
    <row r="33" spans="3:12" s="5" customFormat="1" ht="15" x14ac:dyDescent="0.2">
      <c r="C33" s="26" t="s">
        <v>6</v>
      </c>
      <c r="E33" s="63">
        <f>E28</f>
        <v>33416816.000000004</v>
      </c>
      <c r="F33" s="64">
        <f>F18*E33/100</f>
        <v>1269037.0044160001</v>
      </c>
      <c r="H33" s="61">
        <f>H18*E33/100</f>
        <v>1284287.0484689923</v>
      </c>
      <c r="J33" s="73">
        <f t="shared" ref="J33:J35" si="0">H33-F33</f>
        <v>15250.044052992249</v>
      </c>
      <c r="L33" s="65">
        <f>IF(ISERROR(J33/F33),0,J33/F33)</f>
        <v>1.2017020780264944E-2</v>
      </c>
    </row>
    <row r="34" spans="3:12" s="5" customFormat="1" ht="15" x14ac:dyDescent="0.2">
      <c r="C34" s="26" t="s">
        <v>7</v>
      </c>
      <c r="E34" s="63">
        <f>E29</f>
        <v>1297416</v>
      </c>
      <c r="F34" s="64">
        <f>F19*E34/100</f>
        <v>238660.97061600001</v>
      </c>
      <c r="H34" s="61">
        <f>H19*E34/100</f>
        <v>241524.902263392</v>
      </c>
      <c r="J34" s="73">
        <f t="shared" si="0"/>
        <v>2863.9316473919898</v>
      </c>
      <c r="L34" s="65">
        <f>IF(ISERROR(J34/F34),0,J34/F34)</f>
        <v>1.1999999999999957E-2</v>
      </c>
    </row>
    <row r="35" spans="3:12" s="5" customFormat="1" x14ac:dyDescent="0.25">
      <c r="C35" s="23" t="s">
        <v>63</v>
      </c>
      <c r="F35" s="66">
        <f>SUM(F32:F34)</f>
        <v>1509497.9750320001</v>
      </c>
      <c r="H35" s="66">
        <f>SUM(H32:H34)</f>
        <v>1527611.9507323843</v>
      </c>
      <c r="J35" s="69">
        <f t="shared" si="0"/>
        <v>18113.975700384239</v>
      </c>
      <c r="L35" s="68">
        <f>IF(ISERROR(J35/F35),0,J35/F35)</f>
        <v>1.2000000000000158E-2</v>
      </c>
    </row>
    <row r="36" spans="3:12" s="5" customFormat="1" ht="15" x14ac:dyDescent="0.2"/>
    <row r="37" spans="3:12" s="5" customFormat="1" x14ac:dyDescent="0.25">
      <c r="C37" s="23" t="s">
        <v>85</v>
      </c>
      <c r="D37" s="39"/>
      <c r="E37" s="39"/>
      <c r="F37" s="39"/>
      <c r="G37" s="39"/>
      <c r="H37" s="39"/>
      <c r="I37" s="39"/>
      <c r="J37" s="39"/>
      <c r="K37" s="39"/>
      <c r="L37" s="39"/>
    </row>
    <row r="38" spans="3:12" s="5" customFormat="1" ht="15.75" customHeight="1" x14ac:dyDescent="0.2"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3:12" s="5" customFormat="1" ht="15.75" customHeight="1" x14ac:dyDescent="0.25">
      <c r="C39" s="23" t="s">
        <v>85</v>
      </c>
      <c r="D39" s="39"/>
      <c r="E39" s="42" t="s">
        <v>62</v>
      </c>
      <c r="F39" s="42" t="s">
        <v>37</v>
      </c>
      <c r="G39" s="42"/>
      <c r="H39" s="42" t="s">
        <v>57</v>
      </c>
      <c r="I39" s="39"/>
      <c r="J39" s="39" t="s">
        <v>64</v>
      </c>
      <c r="K39" s="39"/>
      <c r="L39" s="43" t="s">
        <v>65</v>
      </c>
    </row>
    <row r="40" spans="3:12" s="5" customFormat="1" ht="15.75" customHeight="1" x14ac:dyDescent="0.2">
      <c r="C40" s="97" t="s">
        <v>177</v>
      </c>
      <c r="D40" s="39"/>
      <c r="E40" s="74">
        <v>12</v>
      </c>
      <c r="F40" s="73">
        <f>F22*E40</f>
        <v>-3613.2000000000003</v>
      </c>
      <c r="G40" s="41"/>
      <c r="H40" s="73">
        <v>0</v>
      </c>
      <c r="I40" s="41"/>
      <c r="J40" s="73">
        <f>H40-F40</f>
        <v>3613.2000000000003</v>
      </c>
      <c r="K40" s="39"/>
      <c r="L40" s="75">
        <f t="shared" ref="L40:L43" si="1">IF(ISERROR(J40/F40),1,J40/F40)</f>
        <v>-1</v>
      </c>
    </row>
    <row r="41" spans="3:12" s="5" customFormat="1" ht="15.75" customHeight="1" x14ac:dyDescent="0.2">
      <c r="C41" s="97" t="s">
        <v>185</v>
      </c>
      <c r="D41" s="39"/>
      <c r="E41" s="109">
        <f>IF('F1.4 Proposed Forgone Rev Rider'!$E$12=0,12,12+'F1.4 Proposed Forgone Rev Rider'!$E$12)</f>
        <v>15</v>
      </c>
      <c r="F41" s="73">
        <v>0</v>
      </c>
      <c r="G41" s="41"/>
      <c r="H41" s="73">
        <f>H23*E41</f>
        <v>-4516.95</v>
      </c>
      <c r="I41" s="41"/>
      <c r="J41" s="73">
        <f t="shared" ref="J41:J43" si="2">H41-F41</f>
        <v>-4516.95</v>
      </c>
      <c r="K41" s="39"/>
      <c r="L41" s="75">
        <f t="shared" si="1"/>
        <v>1</v>
      </c>
    </row>
    <row r="42" spans="3:12" s="5" customFormat="1" ht="15.75" customHeight="1" x14ac:dyDescent="0.2">
      <c r="C42" s="97" t="s">
        <v>201</v>
      </c>
      <c r="D42" s="39"/>
      <c r="E42" s="175">
        <f>E28/12*'F1.4 Proposed Forgone Rev Rider'!$E$12</f>
        <v>8354204.0000000009</v>
      </c>
      <c r="F42" s="73">
        <v>0</v>
      </c>
      <c r="G42" s="41"/>
      <c r="H42" s="73">
        <f>E42*H24/100</f>
        <v>3812.511013248054</v>
      </c>
      <c r="I42" s="41"/>
      <c r="J42" s="73">
        <f t="shared" si="2"/>
        <v>3812.511013248054</v>
      </c>
      <c r="K42" s="39"/>
      <c r="L42" s="75">
        <f t="shared" si="1"/>
        <v>1</v>
      </c>
    </row>
    <row r="43" spans="3:12" s="5" customFormat="1" ht="15.75" customHeight="1" x14ac:dyDescent="0.2">
      <c r="C43" s="97" t="s">
        <v>202</v>
      </c>
      <c r="D43" s="39"/>
      <c r="E43" s="175">
        <f>E29/12*'F1.4 Proposed Forgone Rev Rider'!$E$12</f>
        <v>324354</v>
      </c>
      <c r="F43" s="73">
        <v>0</v>
      </c>
      <c r="G43" s="41"/>
      <c r="H43" s="73">
        <f>E43*H25/100</f>
        <v>715.982911847997</v>
      </c>
      <c r="I43" s="41"/>
      <c r="J43" s="73">
        <f t="shared" si="2"/>
        <v>715.982911847997</v>
      </c>
      <c r="K43" s="39"/>
      <c r="L43" s="75">
        <f t="shared" si="1"/>
        <v>1</v>
      </c>
    </row>
    <row r="44" spans="3:12" s="5" customFormat="1" ht="15.75" customHeight="1" x14ac:dyDescent="0.25">
      <c r="C44" s="29" t="s">
        <v>87</v>
      </c>
      <c r="D44" s="39"/>
      <c r="E44" s="39"/>
      <c r="F44" s="69">
        <f>SUM(F40:F43)</f>
        <v>-3613.2000000000003</v>
      </c>
      <c r="G44" s="39"/>
      <c r="H44" s="69">
        <f>SUM(H40:H43)</f>
        <v>11.543925096051225</v>
      </c>
      <c r="I44" s="39"/>
      <c r="J44" s="69">
        <f>SUM(J40:J43)</f>
        <v>3624.7439250960515</v>
      </c>
      <c r="K44" s="39"/>
      <c r="L44" s="68">
        <f t="shared" ref="L44" si="3">IF(ISERROR(J44/F44),0,J44/F44)</f>
        <v>-1.0031949311126014</v>
      </c>
    </row>
    <row r="45" spans="3:12" s="5" customFormat="1" ht="15.75" customHeight="1" x14ac:dyDescent="0.2">
      <c r="C45" s="40"/>
      <c r="D45" s="39"/>
      <c r="E45" s="39"/>
      <c r="F45" s="39"/>
      <c r="G45" s="39"/>
      <c r="H45" s="39"/>
      <c r="I45" s="39"/>
      <c r="J45" s="39"/>
      <c r="K45" s="39"/>
      <c r="L45" s="39"/>
    </row>
    <row r="46" spans="3:12" s="5" customFormat="1" ht="15.75" customHeight="1" thickBot="1" x14ac:dyDescent="0.3">
      <c r="C46" s="29" t="s">
        <v>88</v>
      </c>
      <c r="D46" s="39"/>
      <c r="E46" s="39"/>
      <c r="F46" s="70">
        <f>SUM(F35,F44)</f>
        <v>1505884.7750320002</v>
      </c>
      <c r="G46" s="39"/>
      <c r="H46" s="70">
        <f>SUM(H35,H44)</f>
        <v>1527623.4946574804</v>
      </c>
      <c r="I46" s="39"/>
      <c r="J46" s="70">
        <f>SUM(J35,J44)</f>
        <v>21738.719625480291</v>
      </c>
      <c r="K46" s="39"/>
      <c r="L46" s="72">
        <f>IF(ISERROR(J46/F46),0,J46/F46)</f>
        <v>1.4435845282397747E-2</v>
      </c>
    </row>
    <row r="47" spans="3:12" s="5" customFormat="1" ht="15.75" customHeight="1" x14ac:dyDescent="0.25">
      <c r="D47" s="1"/>
    </row>
    <row r="48" spans="3:12" s="5" customFormat="1" ht="15.75" customHeight="1" x14ac:dyDescent="0.25">
      <c r="D48" s="1"/>
    </row>
    <row r="49" spans="4:4" s="5" customFormat="1" ht="15.75" customHeight="1" x14ac:dyDescent="0.25">
      <c r="D49" s="1"/>
    </row>
    <row r="50" spans="4:4" s="5" customFormat="1" ht="15.75" customHeight="1" x14ac:dyDescent="0.25">
      <c r="D50" s="1"/>
    </row>
    <row r="51" spans="4:4" s="5" customFormat="1" ht="15.75" customHeight="1" x14ac:dyDescent="0.25">
      <c r="D51" s="1"/>
    </row>
    <row r="52" spans="4:4" s="5" customFormat="1" ht="15.75" customHeight="1" x14ac:dyDescent="0.25">
      <c r="D52" s="1"/>
    </row>
    <row r="53" spans="4:4" s="5" customFormat="1" ht="15.75" customHeight="1" x14ac:dyDescent="0.25">
      <c r="D53" s="1"/>
    </row>
    <row r="54" spans="4:4" s="5" customFormat="1" ht="15.75" customHeight="1" x14ac:dyDescent="0.25">
      <c r="D54" s="1"/>
    </row>
    <row r="55" spans="4:4" s="5" customFormat="1" ht="15.75" customHeight="1" x14ac:dyDescent="0.25">
      <c r="D55" s="1"/>
    </row>
    <row r="56" spans="4:4" s="5" customFormat="1" ht="15.75" customHeight="1" x14ac:dyDescent="0.25">
      <c r="D56" s="1"/>
    </row>
    <row r="57" spans="4:4" s="5" customFormat="1" ht="15.75" customHeight="1" x14ac:dyDescent="0.25">
      <c r="D57" s="1"/>
    </row>
    <row r="58" spans="4:4" s="5" customFormat="1" ht="15.75" customHeight="1" x14ac:dyDescent="0.25">
      <c r="D58" s="1"/>
    </row>
    <row r="59" spans="4:4" s="5" customFormat="1" ht="15.75" customHeight="1" x14ac:dyDescent="0.25">
      <c r="D59" s="1"/>
    </row>
    <row r="60" spans="4:4" s="5" customFormat="1" ht="15.75" customHeight="1" x14ac:dyDescent="0.25">
      <c r="D60" s="1"/>
    </row>
    <row r="61" spans="4:4" s="5" customFormat="1" ht="15.75" customHeight="1" x14ac:dyDescent="0.25">
      <c r="D61" s="1"/>
    </row>
    <row r="62" spans="4:4" s="5" customFormat="1" ht="15.75" customHeight="1" x14ac:dyDescent="0.25">
      <c r="D62" s="1"/>
    </row>
    <row r="63" spans="4:4" s="5" customFormat="1" ht="15.75" customHeight="1" x14ac:dyDescent="0.25">
      <c r="D63" s="1"/>
    </row>
    <row r="64" spans="4:4" s="5" customFormat="1" ht="15.75" customHeight="1" x14ac:dyDescent="0.25">
      <c r="D64" s="1"/>
    </row>
    <row r="65" spans="4:4" s="5" customFormat="1" ht="15.75" customHeight="1" x14ac:dyDescent="0.25">
      <c r="D65" s="1"/>
    </row>
  </sheetData>
  <sheetProtection formatColumns="0" formatRows="0"/>
  <pageMargins left="0.70866141732283505" right="0.70866141732283505" top="0.74803149606299202" bottom="0.74803149606299202" header="0.31496062992126" footer="0.31496062992126"/>
  <pageSetup scale="72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:H25"/>
  <sheetViews>
    <sheetView showGridLines="0" workbookViewId="0">
      <selection activeCell="J10" sqref="J10"/>
    </sheetView>
  </sheetViews>
  <sheetFormatPr defaultRowHeight="15" x14ac:dyDescent="0.25"/>
  <cols>
    <col min="1" max="1" width="15.42578125" customWidth="1"/>
    <col min="2" max="2" width="40.5703125" hidden="1" customWidth="1"/>
    <col min="3" max="3" width="44.5703125" style="182" customWidth="1"/>
    <col min="4" max="4" width="9.140625" style="182" bestFit="1" customWidth="1"/>
    <col min="5" max="5" width="12.7109375" style="182" bestFit="1" customWidth="1"/>
    <col min="6" max="6" width="11.5703125" style="182" bestFit="1" customWidth="1"/>
    <col min="7" max="7" width="12.7109375" style="183" bestFit="1" customWidth="1"/>
    <col min="8" max="8" width="11" style="182" customWidth="1"/>
  </cols>
  <sheetData>
    <row r="1" spans="3:8" ht="15.75" x14ac:dyDescent="0.25">
      <c r="C1" s="7"/>
    </row>
    <row r="2" spans="3:8" ht="18" x14ac:dyDescent="0.25">
      <c r="C2" s="8" t="str">
        <f>'A1.1 Distributor Information'!C3</f>
        <v>Name of LDC:       Natural Resource Gas Limited</v>
      </c>
    </row>
    <row r="3" spans="3:8" ht="18" x14ac:dyDescent="0.25">
      <c r="C3" s="8" t="str">
        <f>'A1.1 Distributor Information'!C4</f>
        <v xml:space="preserve">OEB Application Number:          </v>
      </c>
    </row>
    <row r="5" spans="3:8" ht="26.25" x14ac:dyDescent="0.4">
      <c r="C5" s="184" t="s">
        <v>160</v>
      </c>
    </row>
    <row r="7" spans="3:8" x14ac:dyDescent="0.25">
      <c r="C7" s="191" t="s">
        <v>161</v>
      </c>
      <c r="D7" s="192" t="s">
        <v>162</v>
      </c>
      <c r="E7" s="192" t="s">
        <v>163</v>
      </c>
      <c r="F7" s="192" t="s">
        <v>164</v>
      </c>
      <c r="G7" s="192" t="s">
        <v>64</v>
      </c>
      <c r="H7" s="192" t="s">
        <v>65</v>
      </c>
    </row>
    <row r="8" spans="3:8" x14ac:dyDescent="0.25">
      <c r="C8" s="185"/>
      <c r="D8" s="185"/>
      <c r="E8" s="185"/>
      <c r="F8" s="185"/>
      <c r="G8" s="185"/>
      <c r="H8" s="186"/>
    </row>
    <row r="9" spans="3:8" x14ac:dyDescent="0.25">
      <c r="C9" s="185" t="s">
        <v>123</v>
      </c>
      <c r="D9" s="187">
        <f>'G1.1 Rate 1 Bill Impact'!J28</f>
        <v>0</v>
      </c>
      <c r="E9" s="187">
        <f>SUM('G1.1 Rate 1 Bill Impact'!J29:J31)</f>
        <v>5.6768452664591109</v>
      </c>
      <c r="F9" s="187">
        <f>SUM('G1.1 Rate 1 Bill Impact'!J41)</f>
        <v>1.0892113166147823</v>
      </c>
      <c r="G9" s="187">
        <f>'G1.1 Rate 1 Bill Impact'!J43</f>
        <v>6.766056583073893</v>
      </c>
      <c r="H9" s="188">
        <f>'G1.1 Rate 1 Bill Impact'!L43</f>
        <v>1.4246573048936437E-2</v>
      </c>
    </row>
    <row r="10" spans="3:8" x14ac:dyDescent="0.25">
      <c r="C10" s="185" t="s">
        <v>124</v>
      </c>
      <c r="D10" s="187">
        <f>'G1.1 Rate 1 Bill Impact'!J63</f>
        <v>0</v>
      </c>
      <c r="E10" s="187">
        <f>SUM('G1.1 Rate 1 Bill Impact'!J64:J66)</f>
        <v>19.379155992371807</v>
      </c>
      <c r="F10" s="187">
        <f>'G1.1 Rate 1 Bill Impact'!J76</f>
        <v>4.5147889980929463</v>
      </c>
      <c r="G10" s="187">
        <f>'G1.1 Rate 1 Bill Impact'!J78</f>
        <v>23.893944990464753</v>
      </c>
      <c r="H10" s="188">
        <f>'G1.1 Rate 1 Bill Impact'!L78</f>
        <v>1.6588906439152607E-2</v>
      </c>
    </row>
    <row r="11" spans="3:8" x14ac:dyDescent="0.25">
      <c r="C11" s="185" t="s">
        <v>125</v>
      </c>
      <c r="D11" s="187">
        <f>'G1.1 Rate 1 Bill Impact'!J99</f>
        <v>0</v>
      </c>
      <c r="E11" s="187">
        <f>SUM('G1.1 Rate 1 Bill Impact'!J100:J102)</f>
        <v>23.063830666184685</v>
      </c>
      <c r="F11" s="187">
        <f>'G1.1 Rate 1 Bill Impact'!J112</f>
        <v>5.4359576665461526</v>
      </c>
      <c r="G11" s="187">
        <f>'G1.1 Rate 1 Bill Impact'!J114</f>
        <v>28.499788332730837</v>
      </c>
      <c r="H11" s="188">
        <f>'G1.1 Rate 1 Bill Impact'!L114</f>
        <v>1.5497288440363504E-2</v>
      </c>
    </row>
    <row r="12" spans="3:8" x14ac:dyDescent="0.25">
      <c r="C12" s="185"/>
      <c r="D12" s="185"/>
      <c r="E12" s="185"/>
      <c r="F12" s="185"/>
      <c r="G12" s="185"/>
      <c r="H12" s="186"/>
    </row>
    <row r="13" spans="3:8" x14ac:dyDescent="0.25">
      <c r="C13" s="185" t="str">
        <f>'G1.2 Rate 2 Bill Impact'!C9</f>
        <v>Rate 2 - April to October</v>
      </c>
      <c r="D13" s="189">
        <f>'G1.2 Rate 2 Bill Impact'!J28</f>
        <v>0</v>
      </c>
      <c r="E13" s="189">
        <f>'G1.2 Rate 2 Bill Impact'!J33-'G1.7 Summary of Bill Impacts'!D13</f>
        <v>18.235464899243084</v>
      </c>
      <c r="F13" s="189">
        <f>'G1.2 Rate 2 Bill Impact'!J41</f>
        <v>0</v>
      </c>
      <c r="G13" s="189">
        <f>SUM(D13:F13)</f>
        <v>18.235464899243084</v>
      </c>
      <c r="H13" s="190">
        <f>'G1.2 Rate 2 Bill Impact'!L43</f>
        <v>2.1770838530878283E-2</v>
      </c>
    </row>
    <row r="14" spans="3:8" x14ac:dyDescent="0.25">
      <c r="C14" s="185" t="str">
        <f>'G1.2 Rate 2 Bill Impact'!C46</f>
        <v>Rate 2 - November to March</v>
      </c>
      <c r="D14" s="189">
        <f>'G1.2 Rate 2 Bill Impact'!J65</f>
        <v>0</v>
      </c>
      <c r="E14" s="189">
        <f>'G1.2 Rate 2 Bill Impact'!J70-'G1.7 Summary of Bill Impacts'!D14</f>
        <v>5.5012052032881229</v>
      </c>
      <c r="F14" s="189">
        <f>'G1.2 Rate 2 Bill Impact'!J78</f>
        <v>2.5033523141300993</v>
      </c>
      <c r="G14" s="189">
        <f>SUM(D14:F14)</f>
        <v>8.0045575174182222</v>
      </c>
      <c r="H14" s="190">
        <f>'G1.2 Rate 2 Bill Impact'!L80</f>
        <v>4.0357177962249732E-2</v>
      </c>
    </row>
    <row r="15" spans="3:8" x14ac:dyDescent="0.25">
      <c r="C15" s="185" t="str">
        <f>'G1.2 Rate 2 Bill Impact'!C83</f>
        <v>Rate 2 - Annual</v>
      </c>
      <c r="D15" s="187">
        <f>'G1.2 Rate 2 Bill Impact'!J91</f>
        <v>0</v>
      </c>
      <c r="E15" s="187">
        <f>'G1.2 Rate 2 Bill Impact'!J96-'G1.7 Summary of Bill Impacts'!D15</f>
        <v>23.736670102531207</v>
      </c>
      <c r="F15" s="187">
        <f>'G1.2 Rate 2 Bill Impact'!J104</f>
        <v>2.5033523141300993</v>
      </c>
      <c r="G15" s="187">
        <f>SUM(D15:F15)</f>
        <v>26.240022416661304</v>
      </c>
      <c r="H15" s="188">
        <f>'G1.2 Rate 2 Bill Impact'!L106</f>
        <v>2.5329367896881175E-2</v>
      </c>
    </row>
    <row r="16" spans="3:8" x14ac:dyDescent="0.25">
      <c r="C16" s="185"/>
      <c r="D16" s="185"/>
      <c r="E16" s="185"/>
      <c r="F16" s="185"/>
      <c r="G16" s="185"/>
      <c r="H16" s="186"/>
    </row>
    <row r="17" spans="3:8" x14ac:dyDescent="0.25">
      <c r="C17" s="185" t="str">
        <f>"Rate 3 -  "&amp; 'G1.3 Rate 3 Bill Impact'!C15</f>
        <v>Rate 3 -  Special Large Volume Contract Rate</v>
      </c>
      <c r="D17" s="187">
        <f>'G1.3 Rate 3 Bill Impact'!J32</f>
        <v>0</v>
      </c>
      <c r="E17" s="187">
        <f>'G1.3 Rate 3 Bill Impact'!J36-'G1.7 Summary of Bill Impacts'!D17</f>
        <v>499.57694183915737</v>
      </c>
      <c r="F17" s="187">
        <f>'G1.3 Rate 3 Bill Impact'!J44</f>
        <v>99.874235459788906</v>
      </c>
      <c r="G17" s="187">
        <f>SUM(D17:F17)</f>
        <v>599.45117729894628</v>
      </c>
      <c r="H17" s="188">
        <f>'G1.3 Rate 3 Bill Impact'!L46</f>
        <v>1.4364802313519847E-2</v>
      </c>
    </row>
    <row r="18" spans="3:8" x14ac:dyDescent="0.25">
      <c r="C18" s="185"/>
      <c r="D18" s="185"/>
      <c r="E18" s="185"/>
      <c r="F18" s="185"/>
      <c r="G18" s="185"/>
      <c r="H18" s="186"/>
    </row>
    <row r="19" spans="3:8" x14ac:dyDescent="0.25">
      <c r="C19" s="185" t="str">
        <f>'G1.4 Rate 4 Bill Impact'!C11</f>
        <v>Rate 4 - April to December</v>
      </c>
      <c r="D19" s="189">
        <f>'G1.4 Rate 4 Bill Impact'!J28</f>
        <v>0</v>
      </c>
      <c r="E19" s="189">
        <f>'G1.4 Rate 4 Bill Impact'!J32-'G1.7 Summary of Bill Impacts'!D19</f>
        <v>19.086713992287969</v>
      </c>
      <c r="F19" s="189">
        <f>'G1.4 Rate 4 Bill Impact'!J40</f>
        <v>0</v>
      </c>
      <c r="G19" s="189">
        <f>SUM(D19:F19)</f>
        <v>19.086713992287969</v>
      </c>
      <c r="H19" s="190">
        <f>'G1.4 Rate 4 Bill Impact'!L42</f>
        <v>7.9772979739511484E-3</v>
      </c>
    </row>
    <row r="20" spans="3:8" x14ac:dyDescent="0.25">
      <c r="C20" s="185" t="str">
        <f>'G1.4 Rate 4 Bill Impact'!C45</f>
        <v>Rate 4 - January to March</v>
      </c>
      <c r="D20" s="189">
        <f>'G1.4 Rate 4 Bill Impact'!J62</f>
        <v>0</v>
      </c>
      <c r="E20" s="189">
        <f>'G1.4 Rate 4 Bill Impact'!J66-'G1.7 Summary of Bill Impacts'!D20</f>
        <v>3.2896956442496048</v>
      </c>
      <c r="F20" s="189">
        <f>'G1.4 Rate 4 Bill Impact'!J74</f>
        <v>0.9286782650677432</v>
      </c>
      <c r="G20" s="189">
        <f>SUM(D20:F20)</f>
        <v>4.2183739093173482</v>
      </c>
      <c r="H20" s="190">
        <f>'G1.4 Rate 4 Bill Impact'!L76</f>
        <v>2.2309184494240394E-2</v>
      </c>
    </row>
    <row r="21" spans="3:8" x14ac:dyDescent="0.25">
      <c r="C21" s="185" t="str">
        <f>'G1.4 Rate 4 Bill Impact'!C79</f>
        <v>Rate 4 - Annual</v>
      </c>
      <c r="D21" s="187">
        <f>'G1.4 Rate 4 Bill Impact'!J86</f>
        <v>0</v>
      </c>
      <c r="E21" s="187">
        <f>'G1.4 Rate 4 Bill Impact'!J90-'G1.7 Summary of Bill Impacts'!D21</f>
        <v>22.376409636537574</v>
      </c>
      <c r="F21" s="187">
        <f>'G1.4 Rate 4 Bill Impact'!J98</f>
        <v>0.92867826506774387</v>
      </c>
      <c r="G21" s="187">
        <f>SUM(D21:F21)</f>
        <v>23.305087901605319</v>
      </c>
      <c r="H21" s="188">
        <f>'G1.4 Rate 4 Bill Impact'!L100</f>
        <v>9.0269764775567883E-3</v>
      </c>
    </row>
    <row r="22" spans="3:8" x14ac:dyDescent="0.25">
      <c r="C22" s="185"/>
      <c r="D22" s="185"/>
      <c r="E22" s="185"/>
      <c r="F22" s="185"/>
      <c r="G22" s="185"/>
      <c r="H22" s="186"/>
    </row>
    <row r="23" spans="3:8" x14ac:dyDescent="0.25">
      <c r="C23" s="185" t="str">
        <f>"Rate 5 - " &amp;'G1.5 Rate 5 Bill Impact'!C15</f>
        <v>Rate 5 - Interruptible Peaking Contract Rate</v>
      </c>
      <c r="D23" s="187">
        <f>'G1.5 Rate 5 Bill Impact'!J30</f>
        <v>0</v>
      </c>
      <c r="E23" s="187">
        <f>'G1.5 Rate 5 Bill Impact'!J33-'G1.7 Summary of Bill Impacts'!D23</f>
        <v>180.88001535791591</v>
      </c>
      <c r="F23" s="187">
        <f>'G1.5 Rate 5 Bill Impact'!J41</f>
        <v>36.160003839478755</v>
      </c>
      <c r="G23" s="187">
        <f>SUM(D23:F23)</f>
        <v>217.04001919739466</v>
      </c>
      <c r="H23" s="188">
        <f>'G1.5 Rate 5 Bill Impact'!L43</f>
        <v>1.4367936663711984E-2</v>
      </c>
    </row>
    <row r="24" spans="3:8" x14ac:dyDescent="0.25">
      <c r="C24" s="185"/>
      <c r="D24" s="185"/>
      <c r="E24" s="185"/>
      <c r="F24" s="185"/>
      <c r="G24" s="185"/>
      <c r="H24" s="186"/>
    </row>
    <row r="25" spans="3:8" x14ac:dyDescent="0.25">
      <c r="C25" s="185" t="str">
        <f>"Rate 6 - " &amp;'G1.6 Rate 6 Bill Impact'!C15</f>
        <v>Rate 6 - Special Large Volume Contract Rate</v>
      </c>
      <c r="D25" s="187">
        <f>'G1.6 Rate 6 Bill Impact'!J32</f>
        <v>0</v>
      </c>
      <c r="E25" s="187">
        <f>'G1.6 Rate 6 Bill Impact'!J35-'G1.7 Summary of Bill Impacts'!D25</f>
        <v>18113.975700384239</v>
      </c>
      <c r="F25" s="187">
        <f>'G1.6 Rate 6 Bill Impact'!J44</f>
        <v>3624.7439250960515</v>
      </c>
      <c r="G25" s="187">
        <f>SUM(D25:F25)</f>
        <v>21738.719625480291</v>
      </c>
      <c r="H25" s="188">
        <f>'G1.6 Rate 6 Bill Impact'!L46</f>
        <v>1.4435845282397747E-2</v>
      </c>
    </row>
  </sheetData>
  <pageMargins left="0.7" right="0.7" top="0.75" bottom="0.75" header="0.3" footer="0.3"/>
  <pageSetup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45"/>
  <sheetViews>
    <sheetView showGridLines="0" topLeftCell="C12" workbookViewId="0">
      <selection activeCell="G16" sqref="G16"/>
    </sheetView>
  </sheetViews>
  <sheetFormatPr defaultColWidth="0" defaultRowHeight="15" zeroHeight="1" x14ac:dyDescent="0.25"/>
  <cols>
    <col min="1" max="1" width="15.7109375" style="2" customWidth="1"/>
    <col min="2" max="2" width="1.7109375" style="2" hidden="1" customWidth="1"/>
    <col min="3" max="3" width="55.7109375" style="2" customWidth="1"/>
    <col min="4" max="4" width="2.7109375" style="2" customWidth="1"/>
    <col min="5" max="5" width="11.5703125" style="2" bestFit="1" customWidth="1"/>
    <col min="6" max="6" width="12.7109375" style="2" customWidth="1"/>
    <col min="7" max="7" width="10.28515625" style="2" bestFit="1" customWidth="1"/>
    <col min="8" max="9" width="11.28515625" style="2" bestFit="1" customWidth="1"/>
    <col min="10" max="10" width="11.5703125" style="2" bestFit="1" customWidth="1"/>
    <col min="11" max="11" width="10" style="2" bestFit="1" customWidth="1"/>
    <col min="12" max="12" width="11.28515625" style="2" bestFit="1" customWidth="1"/>
    <col min="13" max="14" width="12.42578125" style="2" bestFit="1" customWidth="1"/>
    <col min="15" max="15" width="11.5703125" style="2" bestFit="1" customWidth="1"/>
    <col min="16" max="16" width="2.7109375" style="2" customWidth="1"/>
    <col min="17" max="16384" width="0" style="2" hidden="1"/>
  </cols>
  <sheetData>
    <row r="1" spans="1:15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1" customFormat="1" ht="18" x14ac:dyDescent="0.25">
      <c r="C2" s="8" t="str">
        <f>'A1.1 Distributor Information'!C3</f>
        <v>Name of LDC:       Natural Resource Gas Limited</v>
      </c>
    </row>
    <row r="3" spans="1:15" s="1" customFormat="1" ht="18" x14ac:dyDescent="0.25">
      <c r="C3" s="8" t="str">
        <f>'A1.1 Distributor Information'!C4</f>
        <v xml:space="preserve">OEB Application Number:          </v>
      </c>
    </row>
    <row r="4" spans="1:15" s="1" customFormat="1" x14ac:dyDescent="0.25"/>
    <row r="5" spans="1:15" s="1" customFormat="1" x14ac:dyDescent="0.25"/>
    <row r="6" spans="1:15" s="1" customFormat="1" x14ac:dyDescent="0.25"/>
    <row r="7" spans="1:15" s="1" customFormat="1" x14ac:dyDescent="0.25"/>
    <row r="8" spans="1:15" s="1" customFormat="1" x14ac:dyDescent="0.25"/>
    <row r="9" spans="1:15" s="1" customFormat="1" x14ac:dyDescent="0.25"/>
    <row r="10" spans="1:15" s="1" customFormat="1" ht="20.25" x14ac:dyDescent="0.3">
      <c r="C10" s="4" t="s">
        <v>29</v>
      </c>
    </row>
    <row r="11" spans="1:15" s="1" customFormat="1" x14ac:dyDescent="0.25"/>
    <row r="12" spans="1:15" s="1" customFormat="1" x14ac:dyDescent="0.25"/>
    <row r="13" spans="1:15" s="1" customFormat="1" x14ac:dyDescent="0.25"/>
    <row r="14" spans="1:15" s="1" customFormat="1" x14ac:dyDescent="0.25"/>
    <row r="15" spans="1:15" s="1" customFormat="1" ht="47.25" x14ac:dyDescent="0.25">
      <c r="C15" s="1" t="s">
        <v>0</v>
      </c>
      <c r="E15" s="13" t="s">
        <v>1</v>
      </c>
      <c r="F15" s="13" t="s">
        <v>2</v>
      </c>
      <c r="G15" s="13" t="s">
        <v>3</v>
      </c>
      <c r="H15" s="13" t="s">
        <v>4</v>
      </c>
      <c r="I15" s="13" t="s">
        <v>5</v>
      </c>
      <c r="J15" s="13" t="s">
        <v>7</v>
      </c>
      <c r="K15" s="13" t="s">
        <v>6</v>
      </c>
      <c r="L15" s="13" t="s">
        <v>8</v>
      </c>
      <c r="M15" s="13" t="s">
        <v>9</v>
      </c>
      <c r="N15" s="13" t="s">
        <v>10</v>
      </c>
      <c r="O15" s="13" t="s">
        <v>11</v>
      </c>
    </row>
    <row r="16" spans="1:15" s="1" customFormat="1" x14ac:dyDescent="0.25">
      <c r="C16" s="1" t="s">
        <v>12</v>
      </c>
      <c r="E16" s="45">
        <f>'B1.1 Current Distribution Rates'!E16*'B1.2 Billing Determinants'!E16*12</f>
        <v>1062706.5</v>
      </c>
      <c r="F16" s="45">
        <f>'B1.1 Current Distribution Rates'!F16*'B1.2 Billing Determinants'!F16/100</f>
        <v>1937120.0743810001</v>
      </c>
      <c r="G16" s="45">
        <f>'B1.1 Current Distribution Rates'!G16*'B1.2 Billing Determinants'!G16/100</f>
        <v>78169.491278028974</v>
      </c>
      <c r="H16" s="45">
        <f>'B1.1 Current Distribution Rates'!H16*'B1.2 Billing Determinants'!H16/100</f>
        <v>0</v>
      </c>
      <c r="I16" s="45">
        <f>'B1.1 Current Distribution Rates'!I16*'B1.2 Billing Determinants'!I16/100</f>
        <v>0</v>
      </c>
      <c r="J16" s="45">
        <f>'B1.1 Current Distribution Rates'!J16*'B1.2 Billing Determinants'!J16/100</f>
        <v>0</v>
      </c>
      <c r="K16" s="45">
        <f>'B1.1 Current Distribution Rates'!K16*'B1.2 Billing Determinants'!K16/100</f>
        <v>0</v>
      </c>
      <c r="L16" s="45">
        <f>'B1.1 Current Distribution Rates'!L16*'B1.2 Billing Determinants'!L16/100</f>
        <v>4756.5998303435326</v>
      </c>
      <c r="M16" s="45">
        <f>'B1.1 Current Distribution Rates'!M16*'B1.2 Billing Determinants'!M16/100</f>
        <v>0</v>
      </c>
      <c r="N16" s="45">
        <f>'B1.1 Current Distribution Rates'!N16*'B1.2 Billing Determinants'!N16/100</f>
        <v>0</v>
      </c>
      <c r="O16" s="45">
        <f>SUM(E16:N16)</f>
        <v>3082752.6654893728</v>
      </c>
    </row>
    <row r="17" spans="3:15" s="1" customFormat="1" x14ac:dyDescent="0.25">
      <c r="C17" s="1" t="s">
        <v>13</v>
      </c>
      <c r="E17" s="45">
        <f>'B1.1 Current Distribution Rates'!E17*'B1.2 Billing Determinants'!E17*12</f>
        <v>67068</v>
      </c>
      <c r="F17" s="45">
        <f>'B1.1 Current Distribution Rates'!F17*'B1.2 Billing Determinants'!F17/100</f>
        <v>275649.08019999997</v>
      </c>
      <c r="G17" s="45">
        <f>'B1.1 Current Distribution Rates'!G17*'B1.2 Billing Determinants'!G17/100</f>
        <v>252634.10768996002</v>
      </c>
      <c r="H17" s="45">
        <f>'B1.1 Current Distribution Rates'!H17*'B1.2 Billing Determinants'!H17/100</f>
        <v>0</v>
      </c>
      <c r="I17" s="45">
        <f>'B1.1 Current Distribution Rates'!I17*'B1.2 Billing Determinants'!I17/100</f>
        <v>0</v>
      </c>
      <c r="J17" s="45">
        <f>'B1.1 Current Distribution Rates'!J17*'B1.2 Billing Determinants'!J17/100</f>
        <v>0</v>
      </c>
      <c r="K17" s="45">
        <f>'B1.1 Current Distribution Rates'!K17*'B1.2 Billing Determinants'!K17/100</f>
        <v>0</v>
      </c>
      <c r="L17" s="45">
        <f>'B1.1 Current Distribution Rates'!L17*'B1.2 Billing Determinants'!L17/100</f>
        <v>1499.8252528622365</v>
      </c>
      <c r="M17" s="45">
        <f>'B1.1 Current Distribution Rates'!M17*'B1.2 Billing Determinants'!M17/100</f>
        <v>0</v>
      </c>
      <c r="N17" s="45">
        <f>'B1.1 Current Distribution Rates'!N17*'B1.2 Billing Determinants'!N17/100</f>
        <v>0</v>
      </c>
      <c r="O17" s="45">
        <f t="shared" ref="O17:O25" si="0">SUM(E17:N17)</f>
        <v>596851.01314282219</v>
      </c>
    </row>
    <row r="18" spans="3:15" s="1" customFormat="1" x14ac:dyDescent="0.25">
      <c r="C18" s="1" t="s">
        <v>14</v>
      </c>
      <c r="E18" s="45">
        <f>'B1.1 Current Distribution Rates'!E18*'B1.2 Billing Determinants'!E18*12</f>
        <v>6804</v>
      </c>
      <c r="F18" s="45">
        <f>'B1.1 Current Distribution Rates'!F18*'B1.2 Billing Determinants'!F18/100</f>
        <v>20530.391099999997</v>
      </c>
      <c r="G18" s="45">
        <f>'B1.1 Current Distribution Rates'!G18*'B1.2 Billing Determinants'!G18/100</f>
        <v>49740.403482806149</v>
      </c>
      <c r="H18" s="45">
        <f>'B1.1 Current Distribution Rates'!H18*'B1.2 Billing Determinants'!H18/100</f>
        <v>0</v>
      </c>
      <c r="I18" s="45">
        <f>'B1.1 Current Distribution Rates'!I18*'B1.2 Billing Determinants'!I18/100</f>
        <v>0</v>
      </c>
      <c r="J18" s="45">
        <f>'B1.1 Current Distribution Rates'!J18*'B1.2 Billing Determinants'!J18/100</f>
        <v>0</v>
      </c>
      <c r="K18" s="45">
        <f>'B1.1 Current Distribution Rates'!K18*'B1.2 Billing Determinants'!K18/100</f>
        <v>0</v>
      </c>
      <c r="L18" s="45">
        <f>'B1.1 Current Distribution Rates'!L18*'B1.2 Billing Determinants'!L18/100</f>
        <v>217.08404278125388</v>
      </c>
      <c r="M18" s="45">
        <f>'B1.1 Current Distribution Rates'!M18*'B1.2 Billing Determinants'!M18/100</f>
        <v>0</v>
      </c>
      <c r="N18" s="45">
        <f>'B1.1 Current Distribution Rates'!N18*'B1.2 Billing Determinants'!N18/100</f>
        <v>0</v>
      </c>
      <c r="O18" s="45">
        <f t="shared" si="0"/>
        <v>77291.8786255874</v>
      </c>
    </row>
    <row r="19" spans="3:15" s="1" customFormat="1" x14ac:dyDescent="0.25">
      <c r="C19" s="1" t="s">
        <v>15</v>
      </c>
      <c r="E19" s="45">
        <f>'B1.1 Current Distribution Rates'!E19*'B1.2 Billing Determinants'!E19*7</f>
        <v>7665</v>
      </c>
      <c r="F19" s="45">
        <f>'B1.1 Current Distribution Rates'!F19*'B1.2 Billing Determinants'!F19/100</f>
        <v>17977.166843999999</v>
      </c>
      <c r="G19" s="45">
        <f>'B1.1 Current Distribution Rates'!G19*'B1.2 Billing Determinants'!G19/100</f>
        <v>0</v>
      </c>
      <c r="H19" s="45">
        <f>'B1.1 Current Distribution Rates'!H19*'B1.2 Billing Determinants'!H19/100</f>
        <v>31256.640946000003</v>
      </c>
      <c r="I19" s="45">
        <f>'B1.1 Current Distribution Rates'!I19*'B1.2 Billing Determinants'!I19/100</f>
        <v>0</v>
      </c>
      <c r="J19" s="45">
        <f>'B1.1 Current Distribution Rates'!J19*'B1.2 Billing Determinants'!J19/100</f>
        <v>0</v>
      </c>
      <c r="K19" s="45">
        <f>'B1.1 Current Distribution Rates'!K19*'B1.2 Billing Determinants'!K19/100</f>
        <v>0</v>
      </c>
      <c r="L19" s="45">
        <f>'B1.1 Current Distribution Rates'!L19*'B1.2 Billing Determinants'!L19/100</f>
        <v>164.58420000000001</v>
      </c>
      <c r="M19" s="45">
        <f>'B1.1 Current Distribution Rates'!M19*'B1.2 Billing Determinants'!M19/100</f>
        <v>0</v>
      </c>
      <c r="N19" s="45">
        <f>'B1.1 Current Distribution Rates'!N19*'B1.2 Billing Determinants'!N19/100</f>
        <v>0</v>
      </c>
      <c r="O19" s="45">
        <f t="shared" si="0"/>
        <v>57063.391990000004</v>
      </c>
    </row>
    <row r="20" spans="3:15" s="1" customFormat="1" x14ac:dyDescent="0.25">
      <c r="C20" s="1" t="s">
        <v>16</v>
      </c>
      <c r="E20" s="45">
        <f>'B1.1 Current Distribution Rates'!E20*'B1.2 Billing Determinants'!E20*5</f>
        <v>5475</v>
      </c>
      <c r="F20" s="45">
        <f>'B1.1 Current Distribution Rates'!F20*'B1.2 Billing Determinants'!F20/100</f>
        <v>1041.290784</v>
      </c>
      <c r="G20" s="45">
        <f>'B1.1 Current Distribution Rates'!G20*'B1.2 Billing Determinants'!G20/100</f>
        <v>0</v>
      </c>
      <c r="H20" s="45">
        <f>'B1.1 Current Distribution Rates'!H20*'B1.2 Billing Determinants'!H20/100</f>
        <v>6870.4531200000019</v>
      </c>
      <c r="I20" s="45">
        <f>'B1.1 Current Distribution Rates'!I20*'B1.2 Billing Determinants'!I20/100</f>
        <v>0</v>
      </c>
      <c r="J20" s="45">
        <f>'B1.1 Current Distribution Rates'!J20*'B1.2 Billing Determinants'!J20/100</f>
        <v>0</v>
      </c>
      <c r="K20" s="45">
        <f>'B1.1 Current Distribution Rates'!K20*'B1.2 Billing Determinants'!K20/100</f>
        <v>0</v>
      </c>
      <c r="L20" s="45">
        <f>'B1.1 Current Distribution Rates'!L20*'B1.2 Billing Determinants'!L20/100</f>
        <v>17.953980000000001</v>
      </c>
      <c r="M20" s="45">
        <f>'B1.1 Current Distribution Rates'!M20*'B1.2 Billing Determinants'!M20/100</f>
        <v>0</v>
      </c>
      <c r="N20" s="45">
        <f>'B1.1 Current Distribution Rates'!N20*'B1.2 Billing Determinants'!N20/100</f>
        <v>0</v>
      </c>
      <c r="O20" s="45">
        <f t="shared" si="0"/>
        <v>13404.697884000003</v>
      </c>
    </row>
    <row r="21" spans="3:15" s="1" customFormat="1" x14ac:dyDescent="0.25">
      <c r="C21" s="1" t="s">
        <v>17</v>
      </c>
      <c r="E21" s="45">
        <f>'B1.1 Current Distribution Rates'!E21*'B1.2 Billing Determinants'!E21*12</f>
        <v>7200</v>
      </c>
      <c r="F21" s="45">
        <f>'B1.1 Current Distribution Rates'!F21*'B1.2 Billing Determinants'!F21/100</f>
        <v>0</v>
      </c>
      <c r="G21" s="45">
        <f>'B1.1 Current Distribution Rates'!G21*'B1.2 Billing Determinants'!G21/100</f>
        <v>0</v>
      </c>
      <c r="H21" s="45">
        <f>'B1.1 Current Distribution Rates'!H21*'B1.2 Billing Determinants'!H21/100</f>
        <v>0</v>
      </c>
      <c r="I21" s="45">
        <f>'B1.1 Current Distribution Rates'!I21*'B1.2 Billing Determinants'!I21/100</f>
        <v>0</v>
      </c>
      <c r="J21" s="45">
        <f>'B1.1 Current Distribution Rates'!J21*'B1.2 Billing Determinants'!J21/100</f>
        <v>84565.116220730182</v>
      </c>
      <c r="K21" s="45">
        <f>'B1.1 Current Distribution Rates'!K21*'B1.2 Billing Determinants'!K21/100</f>
        <v>74760.531768000001</v>
      </c>
      <c r="L21" s="45">
        <f>'B1.1 Current Distribution Rates'!L21*'B1.2 Billing Determinants'!L21/100</f>
        <v>796.89356943290807</v>
      </c>
      <c r="M21" s="45">
        <f>'B1.1 Current Distribution Rates'!M21*'B1.2 Billing Determinants'!M21/100</f>
        <v>0</v>
      </c>
      <c r="N21" s="45">
        <f>'B1.1 Current Distribution Rates'!N21*'B1.2 Billing Determinants'!N21/100</f>
        <v>0</v>
      </c>
      <c r="O21" s="45">
        <f t="shared" si="0"/>
        <v>167322.54155816307</v>
      </c>
    </row>
    <row r="22" spans="3:15" s="1" customFormat="1" x14ac:dyDescent="0.25">
      <c r="C22" s="1" t="s">
        <v>18</v>
      </c>
      <c r="E22" s="45">
        <f>'B1.1 Current Distribution Rates'!E22*'B1.2 Billing Determinants'!E22*9</f>
        <v>3105</v>
      </c>
      <c r="F22" s="45">
        <f>'B1.1 Current Distribution Rates'!F22*'B1.2 Billing Determinants'!F22/100</f>
        <v>32627.64747</v>
      </c>
      <c r="G22" s="45">
        <f>'B1.1 Current Distribution Rates'!G22*'B1.2 Billing Determinants'!G22/100</f>
        <v>23275.741462454116</v>
      </c>
      <c r="H22" s="45">
        <f>'B1.1 Current Distribution Rates'!H22*'B1.2 Billing Determinants'!H22/100</f>
        <v>0</v>
      </c>
      <c r="I22" s="45">
        <f>'B1.1 Current Distribution Rates'!I22*'B1.2 Billing Determinants'!I22/100</f>
        <v>0</v>
      </c>
      <c r="J22" s="45">
        <f>'B1.1 Current Distribution Rates'!J22*'B1.2 Billing Determinants'!J22/100</f>
        <v>0</v>
      </c>
      <c r="K22" s="45">
        <f>'B1.1 Current Distribution Rates'!K22*'B1.2 Billing Determinants'!K22/100</f>
        <v>0</v>
      </c>
      <c r="L22" s="45">
        <f>'B1.1 Current Distribution Rates'!L22*'B1.2 Billing Determinants'!L22/100</f>
        <v>158.60357349513242</v>
      </c>
      <c r="M22" s="45">
        <f>'B1.1 Current Distribution Rates'!M22*'B1.2 Billing Determinants'!M22/100</f>
        <v>0</v>
      </c>
      <c r="N22" s="45">
        <f>'B1.1 Current Distribution Rates'!N22*'B1.2 Billing Determinants'!N22/100</f>
        <v>0</v>
      </c>
      <c r="O22" s="45">
        <f t="shared" si="0"/>
        <v>59166.992505949238</v>
      </c>
    </row>
    <row r="23" spans="3:15" s="1" customFormat="1" x14ac:dyDescent="0.25">
      <c r="C23" s="1" t="s">
        <v>19</v>
      </c>
      <c r="E23" s="45">
        <f>'B1.1 Current Distribution Rates'!E23*'B1.2 Billing Determinants'!E23*3</f>
        <v>1035</v>
      </c>
      <c r="F23" s="45">
        <f>'B1.1 Current Distribution Rates'!F23*'B1.2 Billing Determinants'!F23/100</f>
        <v>842.89941730303053</v>
      </c>
      <c r="G23" s="45">
        <f>'B1.1 Current Distribution Rates'!G23*'B1.2 Billing Determinants'!G23/100</f>
        <v>2192.6044400000001</v>
      </c>
      <c r="H23" s="45">
        <f>'B1.1 Current Distribution Rates'!H23*'B1.2 Billing Determinants'!H23/100</f>
        <v>0</v>
      </c>
      <c r="I23" s="45">
        <f>'B1.1 Current Distribution Rates'!I23*'B1.2 Billing Determinants'!I23/100</f>
        <v>0</v>
      </c>
      <c r="J23" s="45">
        <f>'B1.1 Current Distribution Rates'!J23*'B1.2 Billing Determinants'!J23/100</f>
        <v>0</v>
      </c>
      <c r="K23" s="45">
        <f>'B1.1 Current Distribution Rates'!K23*'B1.2 Billing Determinants'!K23/100</f>
        <v>0</v>
      </c>
      <c r="L23" s="45">
        <f>'B1.1 Current Distribution Rates'!L23*'B1.2 Billing Determinants'!L23/100</f>
        <v>6.293763666666667</v>
      </c>
      <c r="M23" s="45">
        <f>'B1.1 Current Distribution Rates'!M23*'B1.2 Billing Determinants'!M23/100</f>
        <v>0</v>
      </c>
      <c r="N23" s="45">
        <f>'B1.1 Current Distribution Rates'!N23*'B1.2 Billing Determinants'!N23/100</f>
        <v>0</v>
      </c>
      <c r="O23" s="45">
        <f t="shared" si="0"/>
        <v>4076.7976209696972</v>
      </c>
    </row>
    <row r="24" spans="3:15" s="1" customFormat="1" x14ac:dyDescent="0.25">
      <c r="C24" s="1" t="s">
        <v>20</v>
      </c>
      <c r="E24" s="45">
        <f>'B1.1 Current Distribution Rates'!E24*'B1.2 Billing Determinants'!E24*12</f>
        <v>9000</v>
      </c>
      <c r="F24" s="45">
        <f>'B1.1 Current Distribution Rates'!F24*'B1.2 Billing Determinants'!F24/100</f>
        <v>0</v>
      </c>
      <c r="G24" s="45">
        <f>'B1.1 Current Distribution Rates'!G24*'B1.2 Billing Determinants'!G24/100</f>
        <v>0</v>
      </c>
      <c r="H24" s="45">
        <f>'B1.1 Current Distribution Rates'!H24*'B1.2 Billing Determinants'!H24/100</f>
        <v>0</v>
      </c>
      <c r="I24" s="45">
        <f>'B1.1 Current Distribution Rates'!I24*'B1.2 Billing Determinants'!I24/100</f>
        <v>0</v>
      </c>
      <c r="J24" s="45">
        <f>'B1.1 Current Distribution Rates'!J24*'B1.2 Billing Determinants'!J24/100</f>
        <v>66366.673832038519</v>
      </c>
      <c r="K24" s="45">
        <f>'B1.1 Current Distribution Rates'!K24*'B1.2 Billing Determinants'!K24/100</f>
        <v>0</v>
      </c>
      <c r="L24" s="45">
        <f>'B1.1 Current Distribution Rates'!L24*'B1.2 Billing Determinants'!L24/100</f>
        <v>343.81970059555556</v>
      </c>
      <c r="M24" s="45">
        <f>'B1.1 Current Distribution Rates'!M24*'B1.2 Billing Determinants'!M24/100</f>
        <v>0</v>
      </c>
      <c r="N24" s="45">
        <f>'B1.1 Current Distribution Rates'!N24*'B1.2 Billing Determinants'!N24/100</f>
        <v>0</v>
      </c>
      <c r="O24" s="45">
        <f t="shared" si="0"/>
        <v>75710.493532634078</v>
      </c>
    </row>
    <row r="25" spans="3:15" s="1" customFormat="1" ht="30" x14ac:dyDescent="0.25">
      <c r="C25" s="12" t="s">
        <v>21</v>
      </c>
      <c r="E25" s="45">
        <f>'B1.1 Current Distribution Rates'!E25*'B1.2 Billing Determinants'!E25*12</f>
        <v>1800</v>
      </c>
      <c r="F25" s="45">
        <f>'B1.1 Current Distribution Rates'!F25*'B1.2 Billing Determinants'!F25/100</f>
        <v>0</v>
      </c>
      <c r="G25" s="45">
        <f>'B1.1 Current Distribution Rates'!G25*'B1.2 Billing Determinants'!G25/100</f>
        <v>0</v>
      </c>
      <c r="H25" s="45">
        <f>'B1.1 Current Distribution Rates'!H25*'B1.2 Billing Determinants'!H25/100</f>
        <v>0</v>
      </c>
      <c r="I25" s="45">
        <f>'B1.1 Current Distribution Rates'!I25*'B1.2 Billing Determinants'!I25/100</f>
        <v>0</v>
      </c>
      <c r="J25" s="45">
        <f>'B1.1 Current Distribution Rates'!J25*'B1.2 Billing Determinants'!J25/100</f>
        <v>1269037.0044160001</v>
      </c>
      <c r="K25" s="45">
        <f>'B1.1 Current Distribution Rates'!K25*'B1.2 Billing Determinants'!K25/100</f>
        <v>238815.48945599998</v>
      </c>
      <c r="L25" s="45">
        <f>'B1.1 Current Distribution Rates'!L25*'B1.2 Billing Determinants'!L25/100</f>
        <v>0</v>
      </c>
      <c r="M25" s="45">
        <f>'B1.1 Current Distribution Rates'!M25*'B1.2 Billing Determinants'!M25/100</f>
        <v>0</v>
      </c>
      <c r="N25" s="45">
        <f>'B1.1 Current Distribution Rates'!N25*'B1.2 Billing Determinants'!N25/100</f>
        <v>0</v>
      </c>
      <c r="O25" s="45">
        <f t="shared" si="0"/>
        <v>1509652.4938720001</v>
      </c>
    </row>
    <row r="26" spans="3:15" s="1" customFormat="1" ht="15.75" thickBot="1" x14ac:dyDescent="0.3">
      <c r="E26" s="46">
        <f>SUM(E16:E25)</f>
        <v>1171858.5</v>
      </c>
      <c r="F26" s="46">
        <f t="shared" ref="F26:O26" si="1">SUM(F16:F25)</f>
        <v>2285788.5501963035</v>
      </c>
      <c r="G26" s="46">
        <f t="shared" si="1"/>
        <v>406012.34835324931</v>
      </c>
      <c r="H26" s="46">
        <f t="shared" si="1"/>
        <v>38127.094066000005</v>
      </c>
      <c r="I26" s="46">
        <f t="shared" si="1"/>
        <v>0</v>
      </c>
      <c r="J26" s="46">
        <f t="shared" si="1"/>
        <v>1419968.7944687689</v>
      </c>
      <c r="K26" s="46">
        <f t="shared" si="1"/>
        <v>313576.02122399997</v>
      </c>
      <c r="L26" s="46">
        <f t="shared" si="1"/>
        <v>7961.6579131772869</v>
      </c>
      <c r="M26" s="46">
        <f t="shared" si="1"/>
        <v>0</v>
      </c>
      <c r="N26" s="46">
        <f t="shared" si="1"/>
        <v>0</v>
      </c>
      <c r="O26" s="46">
        <f t="shared" si="1"/>
        <v>5643292.9662214993</v>
      </c>
    </row>
    <row r="27" spans="3:15" s="1" customFormat="1" x14ac:dyDescent="0.25"/>
    <row r="28" spans="3:15" s="1" customFormat="1" x14ac:dyDescent="0.25"/>
    <row r="29" spans="3:15" s="1" customFormat="1" x14ac:dyDescent="0.25"/>
    <row r="30" spans="3:15" s="1" customFormat="1" x14ac:dyDescent="0.25"/>
    <row r="31" spans="3:15" s="1" customFormat="1" x14ac:dyDescent="0.25"/>
    <row r="32" spans="3:1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</sheetData>
  <sheetProtection password="B400" sheet="1" objects="1" scenarios="1" formatColumns="0" formatRows="0"/>
  <pageMargins left="0.70866141732283505" right="0.70866141732283505" top="0.74803149606299202" bottom="0.74803149606299202" header="0.31496062992126" footer="0.31496062992126"/>
  <pageSetup scale="60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44"/>
  <sheetViews>
    <sheetView showGridLines="0" zoomScale="80" zoomScaleNormal="80" workbookViewId="0">
      <selection sqref="A1:XFD1048576"/>
    </sheetView>
  </sheetViews>
  <sheetFormatPr defaultColWidth="0" defaultRowHeight="15" customHeight="1" zeroHeight="1" x14ac:dyDescent="0.25"/>
  <cols>
    <col min="1" max="1" width="15.7109375" style="2" customWidth="1"/>
    <col min="2" max="2" width="1.7109375" style="2" hidden="1" customWidth="1"/>
    <col min="3" max="3" width="55.7109375" style="2" customWidth="1"/>
    <col min="4" max="4" width="2.7109375" style="2" customWidth="1"/>
    <col min="5" max="5" width="20.140625" style="2" bestFit="1" customWidth="1"/>
    <col min="6" max="7" width="15.7109375" style="2" hidden="1" customWidth="1"/>
    <col min="8" max="8" width="2.7109375" style="2" customWidth="1"/>
    <col min="9" max="10" width="15.7109375" style="2" hidden="1" customWidth="1"/>
    <col min="11" max="12" width="2.7109375" style="2" hidden="1" customWidth="1"/>
    <col min="13" max="13" width="15.7109375" style="2" hidden="1" customWidth="1"/>
    <col min="14" max="15" width="2.7109375" style="2" hidden="1" customWidth="1"/>
    <col min="16" max="16384" width="0" style="2" hidden="1"/>
  </cols>
  <sheetData>
    <row r="1" spans="1:5" ht="15.75" x14ac:dyDescent="0.25">
      <c r="A1" s="1"/>
      <c r="B1" s="1"/>
      <c r="C1" s="7"/>
      <c r="D1" s="1"/>
      <c r="E1" s="1"/>
    </row>
    <row r="2" spans="1:5" s="1" customFormat="1" ht="18" x14ac:dyDescent="0.25">
      <c r="C2" s="8" t="str">
        <f>'A1.1 Distributor Information'!C3</f>
        <v>Name of LDC:       Natural Resource Gas Limited</v>
      </c>
    </row>
    <row r="3" spans="1:5" s="1" customFormat="1" ht="18" x14ac:dyDescent="0.25">
      <c r="C3" s="8" t="str">
        <f>'A1.1 Distributor Information'!C4</f>
        <v xml:space="preserve">OEB Application Number:          </v>
      </c>
    </row>
    <row r="4" spans="1:5" s="1" customFormat="1" ht="15" customHeight="1" x14ac:dyDescent="0.25"/>
    <row r="5" spans="1:5" s="1" customFormat="1" ht="15" customHeight="1" x14ac:dyDescent="0.25"/>
    <row r="6" spans="1:5" s="1" customFormat="1" ht="15" customHeight="1" x14ac:dyDescent="0.25"/>
    <row r="7" spans="1:5" s="1" customFormat="1" ht="15" customHeight="1" x14ac:dyDescent="0.25"/>
    <row r="8" spans="1:5" s="1" customFormat="1" ht="15" customHeight="1" x14ac:dyDescent="0.25"/>
    <row r="9" spans="1:5" s="1" customFormat="1" ht="15" customHeight="1" x14ac:dyDescent="0.25"/>
    <row r="10" spans="1:5" s="1" customFormat="1" ht="20.25" x14ac:dyDescent="0.3">
      <c r="C10" s="4" t="s">
        <v>81</v>
      </c>
    </row>
    <row r="11" spans="1:5" s="1" customFormat="1" ht="15" customHeight="1" x14ac:dyDescent="0.25"/>
    <row r="12" spans="1:5" s="1" customFormat="1" ht="30.75" x14ac:dyDescent="0.25">
      <c r="C12" s="1" t="s">
        <v>79</v>
      </c>
      <c r="E12" s="89" t="s">
        <v>83</v>
      </c>
    </row>
    <row r="13" spans="1:5" s="1" customFormat="1" x14ac:dyDescent="0.25">
      <c r="C13" s="1" t="s">
        <v>80</v>
      </c>
      <c r="E13" s="27" t="s">
        <v>176</v>
      </c>
    </row>
    <row r="14" spans="1:5" s="1" customFormat="1" ht="30.75" x14ac:dyDescent="0.25">
      <c r="E14" s="28" t="s">
        <v>82</v>
      </c>
    </row>
    <row r="15" spans="1:5" s="5" customFormat="1" ht="15.75" x14ac:dyDescent="0.25">
      <c r="C15" s="23" t="s">
        <v>0</v>
      </c>
    </row>
    <row r="16" spans="1:5" s="1" customFormat="1" x14ac:dyDescent="0.25">
      <c r="C16" s="1" t="s">
        <v>12</v>
      </c>
      <c r="E16" s="47">
        <v>-0.11</v>
      </c>
    </row>
    <row r="17" spans="3:5" s="1" customFormat="1" x14ac:dyDescent="0.25">
      <c r="C17" s="1" t="s">
        <v>13</v>
      </c>
      <c r="E17" s="47">
        <v>-0.11</v>
      </c>
    </row>
    <row r="18" spans="3:5" s="1" customFormat="1" x14ac:dyDescent="0.25">
      <c r="C18" s="1" t="s">
        <v>14</v>
      </c>
      <c r="E18" s="47">
        <v>-0.11</v>
      </c>
    </row>
    <row r="19" spans="3:5" s="1" customFormat="1" x14ac:dyDescent="0.25">
      <c r="C19" s="1" t="s">
        <v>15</v>
      </c>
      <c r="E19" s="47">
        <v>-0.19</v>
      </c>
    </row>
    <row r="20" spans="3:5" s="1" customFormat="1" x14ac:dyDescent="0.25">
      <c r="C20" s="1" t="s">
        <v>16</v>
      </c>
      <c r="E20" s="47">
        <v>-0.19</v>
      </c>
    </row>
    <row r="21" spans="3:5" s="1" customFormat="1" x14ac:dyDescent="0.25">
      <c r="C21" s="1" t="s">
        <v>17</v>
      </c>
      <c r="E21" s="47">
        <v>-8.34</v>
      </c>
    </row>
    <row r="22" spans="3:5" s="1" customFormat="1" x14ac:dyDescent="0.25">
      <c r="C22" s="1" t="s">
        <v>18</v>
      </c>
      <c r="E22" s="47">
        <v>-0.55000000000000004</v>
      </c>
    </row>
    <row r="23" spans="3:5" s="1" customFormat="1" x14ac:dyDescent="0.25">
      <c r="C23" s="1" t="s">
        <v>19</v>
      </c>
      <c r="E23" s="47">
        <v>-0.55000000000000004</v>
      </c>
    </row>
    <row r="24" spans="3:5" s="1" customFormat="1" x14ac:dyDescent="0.25">
      <c r="C24" s="1" t="s">
        <v>20</v>
      </c>
      <c r="E24" s="47">
        <v>-3.02</v>
      </c>
    </row>
    <row r="25" spans="3:5" s="1" customFormat="1" ht="30" x14ac:dyDescent="0.25">
      <c r="C25" s="12" t="s">
        <v>21</v>
      </c>
      <c r="E25" s="47">
        <v>-301.10000000000002</v>
      </c>
    </row>
    <row r="26" spans="3:5" s="1" customFormat="1" ht="15" customHeight="1" x14ac:dyDescent="0.25"/>
    <row r="27" spans="3:5" s="1" customFormat="1" ht="15" customHeight="1" x14ac:dyDescent="0.25"/>
    <row r="28" spans="3:5" s="1" customFormat="1" ht="15" customHeight="1" x14ac:dyDescent="0.25"/>
    <row r="29" spans="3:5" s="1" customFormat="1" ht="15" customHeight="1" x14ac:dyDescent="0.25"/>
    <row r="30" spans="3:5" s="1" customFormat="1" ht="15" customHeight="1" x14ac:dyDescent="0.25"/>
    <row r="31" spans="3:5" s="1" customFormat="1" ht="15" customHeight="1" x14ac:dyDescent="0.25"/>
    <row r="32" spans="3:5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  <row r="39" s="1" customFormat="1" ht="15" customHeight="1" x14ac:dyDescent="0.25"/>
    <row r="40" s="1" customFormat="1" ht="15" customHeight="1" x14ac:dyDescent="0.25"/>
    <row r="41" s="1" customFormat="1" ht="15" customHeight="1" x14ac:dyDescent="0.25"/>
    <row r="42" s="1" customFormat="1" ht="15" customHeight="1" x14ac:dyDescent="0.25"/>
    <row r="43" s="1" customFormat="1" ht="15" customHeight="1" x14ac:dyDescent="0.25"/>
    <row r="44" s="1" customFormat="1" ht="15" customHeight="1" x14ac:dyDescent="0.25"/>
  </sheetData>
  <sheetProtection formatColumns="0" formatRows="0"/>
  <pageMargins left="0.70866141732283505" right="0.70866141732283505" top="0.74803149606299202" bottom="0.74803149606299202" header="0.31496062992126" footer="0.31496062992126"/>
  <pageSetup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C1:F23"/>
  <sheetViews>
    <sheetView showGridLines="0" zoomScaleNormal="100" workbookViewId="0">
      <selection activeCell="F11" sqref="F11"/>
    </sheetView>
  </sheetViews>
  <sheetFormatPr defaultRowHeight="15" x14ac:dyDescent="0.25"/>
  <cols>
    <col min="1" max="1" width="17.28515625" customWidth="1"/>
    <col min="2" max="2" width="0" hidden="1" customWidth="1"/>
    <col min="3" max="3" width="11.5703125" bestFit="1" customWidth="1"/>
    <col min="4" max="4" width="35.28515625" style="83" bestFit="1" customWidth="1"/>
    <col min="5" max="5" width="11.5703125" bestFit="1" customWidth="1"/>
    <col min="6" max="6" width="23.42578125" customWidth="1"/>
  </cols>
  <sheetData>
    <row r="1" spans="3:6" ht="15.75" x14ac:dyDescent="0.25">
      <c r="C1" s="7" t="e">
        <f>'A1.1 Distributor Information'!#REF!</f>
        <v>#REF!</v>
      </c>
    </row>
    <row r="2" spans="3:6" ht="18" x14ac:dyDescent="0.25">
      <c r="C2" s="8" t="str">
        <f>'A1.1 Distributor Information'!C3</f>
        <v>Name of LDC:       Natural Resource Gas Limited</v>
      </c>
    </row>
    <row r="3" spans="3:6" ht="18" x14ac:dyDescent="0.25">
      <c r="C3" s="8" t="str">
        <f>'A1.1 Distributor Information'!C4</f>
        <v xml:space="preserve">OEB Application Number:          </v>
      </c>
    </row>
    <row r="8" spans="3:6" ht="21" x14ac:dyDescent="0.35">
      <c r="C8" s="82" t="s">
        <v>151</v>
      </c>
    </row>
    <row r="9" spans="3:6" ht="45" x14ac:dyDescent="0.25">
      <c r="C9" s="84" t="s">
        <v>134</v>
      </c>
    </row>
    <row r="10" spans="3:6" x14ac:dyDescent="0.25">
      <c r="C10" s="85">
        <v>22800</v>
      </c>
      <c r="D10" s="83" t="s">
        <v>135</v>
      </c>
      <c r="E10" s="86">
        <f>C10*3</f>
        <v>68400</v>
      </c>
      <c r="F10" t="s">
        <v>136</v>
      </c>
    </row>
    <row r="11" spans="3:6" x14ac:dyDescent="0.25">
      <c r="C11" s="87" t="s">
        <v>137</v>
      </c>
      <c r="D11" s="87"/>
      <c r="E11" s="87" t="s">
        <v>138</v>
      </c>
    </row>
    <row r="13" spans="3:6" x14ac:dyDescent="0.25">
      <c r="C13" s="86">
        <f>E10</f>
        <v>68400</v>
      </c>
      <c r="D13" s="83" t="s">
        <v>152</v>
      </c>
      <c r="E13" s="86">
        <f>C13/33</f>
        <v>2072.7272727272725</v>
      </c>
      <c r="F13" t="s">
        <v>139</v>
      </c>
    </row>
    <row r="14" spans="3:6" x14ac:dyDescent="0.25">
      <c r="C14" s="87" t="s">
        <v>140</v>
      </c>
      <c r="D14" s="87"/>
      <c r="E14" s="87" t="s">
        <v>153</v>
      </c>
    </row>
    <row r="16" spans="3:6" ht="30" x14ac:dyDescent="0.25">
      <c r="C16" s="86">
        <f>E13</f>
        <v>2072.7272727272725</v>
      </c>
      <c r="D16" s="83" t="s">
        <v>141</v>
      </c>
      <c r="E16" s="88">
        <f>C16*12</f>
        <v>24872.727272727272</v>
      </c>
      <c r="F16" s="84" t="s">
        <v>142</v>
      </c>
    </row>
    <row r="17" spans="3:6" x14ac:dyDescent="0.25">
      <c r="C17" s="87" t="s">
        <v>143</v>
      </c>
      <c r="D17" s="87"/>
      <c r="E17" s="87" t="s">
        <v>144</v>
      </c>
    </row>
    <row r="19" spans="3:6" x14ac:dyDescent="0.25">
      <c r="C19" s="93" t="s">
        <v>154</v>
      </c>
    </row>
    <row r="20" spans="3:6" x14ac:dyDescent="0.25">
      <c r="C20" s="86">
        <f>E16</f>
        <v>24872.727272727272</v>
      </c>
      <c r="D20" s="83" t="s">
        <v>155</v>
      </c>
      <c r="E20" s="94">
        <f>C20/12*9</f>
        <v>18654.545454545452</v>
      </c>
      <c r="F20" t="s">
        <v>156</v>
      </c>
    </row>
    <row r="21" spans="3:6" x14ac:dyDescent="0.25">
      <c r="C21" s="86">
        <f>C20</f>
        <v>24872.727272727272</v>
      </c>
      <c r="D21" s="83" t="s">
        <v>157</v>
      </c>
      <c r="E21" s="86">
        <f>C21</f>
        <v>24872.727272727272</v>
      </c>
      <c r="F21" t="s">
        <v>158</v>
      </c>
    </row>
    <row r="22" spans="3:6" x14ac:dyDescent="0.25">
      <c r="C22" s="86">
        <f>C21</f>
        <v>24872.727272727272</v>
      </c>
      <c r="D22" s="83" t="s">
        <v>157</v>
      </c>
      <c r="E22" s="86">
        <f>C22</f>
        <v>24872.727272727272</v>
      </c>
      <c r="F22" t="s">
        <v>159</v>
      </c>
    </row>
    <row r="23" spans="3:6" ht="15.75" thickBot="1" x14ac:dyDescent="0.3">
      <c r="E23" s="95">
        <f>SUM(E20:E22)</f>
        <v>68400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&amp;RNatural Resource Gas Limited
EB-2013-0183
2013 IRM Application
Application
Page &amp;P &amp;  of  &amp;N
Filed: April 19, 2013</oddHeader>
    <oddFooter>&amp;R&amp;A
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O41"/>
  <sheetViews>
    <sheetView showGridLines="0" topLeftCell="A5" workbookViewId="0">
      <selection sqref="A1:XFD1048576"/>
    </sheetView>
  </sheetViews>
  <sheetFormatPr defaultColWidth="0" defaultRowHeight="15" customHeight="1" zeroHeight="1" x14ac:dyDescent="0.25"/>
  <cols>
    <col min="1" max="1" width="15.7109375" style="2" customWidth="1"/>
    <col min="2" max="2" width="9.140625" style="2" hidden="1" customWidth="1"/>
    <col min="3" max="3" width="55.7109375" style="2" customWidth="1"/>
    <col min="4" max="4" width="2.7109375" style="2" customWidth="1"/>
    <col min="5" max="5" width="11.42578125" style="2" bestFit="1" customWidth="1"/>
    <col min="6" max="6" width="2.7109375" style="2" customWidth="1"/>
    <col min="7" max="7" width="13.5703125" style="2" bestFit="1" customWidth="1"/>
    <col min="8" max="8" width="2.7109375" style="2" customWidth="1"/>
    <col min="9" max="9" width="15" style="2" bestFit="1" customWidth="1"/>
    <col min="10" max="10" width="2.7109375" style="2" customWidth="1"/>
    <col min="11" max="11" width="10.5703125" style="2" bestFit="1" customWidth="1"/>
    <col min="12" max="12" width="2.7109375" style="2" customWidth="1"/>
    <col min="13" max="13" width="10.5703125" style="2" bestFit="1" customWidth="1"/>
    <col min="14" max="14" width="2.7109375" style="2" customWidth="1"/>
    <col min="15" max="15" width="11.42578125" style="2" bestFit="1" customWidth="1"/>
    <col min="16" max="16" width="2.7109375" style="2" customWidth="1"/>
    <col min="17" max="16384" width="0" style="2" hidden="1"/>
  </cols>
  <sheetData>
    <row r="1" spans="1:15" ht="15.75" x14ac:dyDescent="0.25">
      <c r="A1" s="1"/>
      <c r="B1" s="1"/>
      <c r="C1" s="7" t="e">
        <f>'A1.1 Distributor Information'!#REF!</f>
        <v>#REF!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1" customFormat="1" ht="18" x14ac:dyDescent="0.25">
      <c r="C2" s="8" t="str">
        <f>'A1.1 Distributor Information'!C3</f>
        <v>Name of LDC:       Natural Resource Gas Limited</v>
      </c>
    </row>
    <row r="3" spans="1:15" s="1" customFormat="1" ht="18" x14ac:dyDescent="0.25">
      <c r="C3" s="8" t="str">
        <f>'A1.1 Distributor Information'!C4</f>
        <v xml:space="preserve">OEB Application Number:          </v>
      </c>
    </row>
    <row r="4" spans="1:15" s="1" customFormat="1" ht="15" customHeight="1" x14ac:dyDescent="0.25"/>
    <row r="5" spans="1:15" s="1" customFormat="1" ht="15" customHeight="1" x14ac:dyDescent="0.25"/>
    <row r="6" spans="1:15" s="1" customFormat="1" ht="15" customHeight="1" x14ac:dyDescent="0.25"/>
    <row r="7" spans="1:15" s="1" customFormat="1" ht="15" customHeight="1" x14ac:dyDescent="0.25"/>
    <row r="8" spans="1:15" s="1" customFormat="1" ht="15" customHeight="1" x14ac:dyDescent="0.25"/>
    <row r="9" spans="1:15" s="1" customFormat="1" ht="15" customHeight="1" x14ac:dyDescent="0.25"/>
    <row r="10" spans="1:15" s="1" customFormat="1" ht="15.75" x14ac:dyDescent="0.25">
      <c r="C10" s="23" t="s">
        <v>150</v>
      </c>
    </row>
    <row r="11" spans="1:15" s="1" customFormat="1" ht="15" customHeight="1" x14ac:dyDescent="0.25"/>
    <row r="12" spans="1:15" s="1" customFormat="1" ht="15" customHeight="1" x14ac:dyDescent="0.25"/>
    <row r="13" spans="1:15" s="1" customFormat="1" ht="15" customHeight="1" x14ac:dyDescent="0.25"/>
    <row r="14" spans="1:15" s="1" customFormat="1" ht="15" customHeight="1" x14ac:dyDescent="0.25"/>
    <row r="15" spans="1:15" s="1" customFormat="1" ht="30" x14ac:dyDescent="0.25">
      <c r="C15" s="1" t="s">
        <v>0</v>
      </c>
      <c r="E15" s="17" t="s">
        <v>104</v>
      </c>
      <c r="G15" s="17" t="s">
        <v>105</v>
      </c>
      <c r="I15" s="17" t="s">
        <v>151</v>
      </c>
      <c r="K15" s="17" t="s">
        <v>107</v>
      </c>
      <c r="M15" s="17" t="s">
        <v>108</v>
      </c>
      <c r="O15" s="17" t="s">
        <v>145</v>
      </c>
    </row>
    <row r="16" spans="1:15" s="1" customFormat="1" x14ac:dyDescent="0.25">
      <c r="C16" s="1" t="s">
        <v>113</v>
      </c>
      <c r="E16" s="33">
        <f>SUM('B1.3 Current Rev Req From Rates'!O16:O18)</f>
        <v>3756895.5572577827</v>
      </c>
      <c r="G16" s="56">
        <f t="shared" ref="G16:G21" si="0">E16/$E$22</f>
        <v>0.6657275423666752</v>
      </c>
      <c r="I16" s="60">
        <f t="shared" ref="I16:I21" si="1">$I$22*G16</f>
        <v>16558.459599229303</v>
      </c>
      <c r="K16" s="60">
        <f>SUM('B1.2 Billing Determinants'!E16:E18)</f>
        <v>7015.916666666667</v>
      </c>
      <c r="M16" s="33">
        <v>12</v>
      </c>
      <c r="O16" s="35">
        <f>I16/K16/M16</f>
        <v>0.19667731229263583</v>
      </c>
    </row>
    <row r="17" spans="3:15" s="1" customFormat="1" x14ac:dyDescent="0.25">
      <c r="C17" s="1" t="s">
        <v>111</v>
      </c>
      <c r="E17" s="33">
        <f>SUM('B1.3 Current Rev Req From Rates'!O19:O20)</f>
        <v>70468.089874000012</v>
      </c>
      <c r="G17" s="56">
        <f t="shared" si="0"/>
        <v>1.2487051495606184E-2</v>
      </c>
      <c r="I17" s="60">
        <f t="shared" si="1"/>
        <v>310.58702629071377</v>
      </c>
      <c r="K17" s="60">
        <f>'B1.2 Billing Determinants'!E19</f>
        <v>73</v>
      </c>
      <c r="M17" s="33">
        <v>12</v>
      </c>
      <c r="O17" s="35">
        <f t="shared" ref="O17:O21" si="2">I17/K17/M17</f>
        <v>0.35455139987524403</v>
      </c>
    </row>
    <row r="18" spans="3:15" s="1" customFormat="1" x14ac:dyDescent="0.25">
      <c r="C18" s="1" t="s">
        <v>17</v>
      </c>
      <c r="E18" s="33">
        <f>'B1.3 Current Rev Req From Rates'!O21</f>
        <v>167322.54155816307</v>
      </c>
      <c r="G18" s="56">
        <f t="shared" si="0"/>
        <v>2.964980598379157E-2</v>
      </c>
      <c r="I18" s="60">
        <f t="shared" si="1"/>
        <v>737.47153792412485</v>
      </c>
      <c r="K18" s="60">
        <f>'B1.2 Billing Determinants'!E21</f>
        <v>4</v>
      </c>
      <c r="M18" s="33">
        <v>12</v>
      </c>
      <c r="O18" s="35">
        <f t="shared" si="2"/>
        <v>15.363990373419268</v>
      </c>
    </row>
    <row r="19" spans="3:15" s="1" customFormat="1" x14ac:dyDescent="0.25">
      <c r="C19" s="1" t="s">
        <v>110</v>
      </c>
      <c r="E19" s="33">
        <f>SUM('B1.3 Current Rev Req From Rates'!O22:O23)</f>
        <v>63243.790126918931</v>
      </c>
      <c r="G19" s="56">
        <f t="shared" si="0"/>
        <v>1.1206894716519422E-2</v>
      </c>
      <c r="I19" s="60">
        <f t="shared" si="1"/>
        <v>278.74603585815578</v>
      </c>
      <c r="K19" s="60">
        <f>'B1.2 Billing Determinants'!E22</f>
        <v>23</v>
      </c>
      <c r="M19" s="33">
        <v>12</v>
      </c>
      <c r="O19" s="35">
        <f t="shared" si="2"/>
        <v>1.0099494052831732</v>
      </c>
    </row>
    <row r="20" spans="3:15" s="1" customFormat="1" x14ac:dyDescent="0.25">
      <c r="C20" s="1" t="s">
        <v>20</v>
      </c>
      <c r="E20" s="33">
        <f>'B1.3 Current Rev Req From Rates'!O24</f>
        <v>75710.493532634078</v>
      </c>
      <c r="G20" s="56">
        <f t="shared" si="0"/>
        <v>1.3416013307444236E-2</v>
      </c>
      <c r="I20" s="60">
        <f t="shared" si="1"/>
        <v>333.69284008334029</v>
      </c>
      <c r="K20" s="60">
        <f>'B1.2 Billing Determinants'!E24</f>
        <v>5</v>
      </c>
      <c r="M20" s="33">
        <v>12</v>
      </c>
      <c r="O20" s="35">
        <f t="shared" si="2"/>
        <v>5.5615473347223379</v>
      </c>
    </row>
    <row r="21" spans="3:15" s="1" customFormat="1" ht="30" x14ac:dyDescent="0.25">
      <c r="C21" s="12" t="s">
        <v>21</v>
      </c>
      <c r="E21" s="33">
        <f>'B1.3 Current Rev Req From Rates'!O25</f>
        <v>1509652.4938720001</v>
      </c>
      <c r="G21" s="56">
        <f t="shared" si="0"/>
        <v>0.26751269212996348</v>
      </c>
      <c r="I21" s="60">
        <f t="shared" si="1"/>
        <v>6653.7702333416373</v>
      </c>
      <c r="K21" s="60">
        <f>'B1.2 Billing Determinants'!E25</f>
        <v>1</v>
      </c>
      <c r="M21" s="33">
        <v>12</v>
      </c>
      <c r="O21" s="35">
        <f t="shared" si="2"/>
        <v>554.48085277846974</v>
      </c>
    </row>
    <row r="22" spans="3:15" s="1" customFormat="1" ht="15.75" thickBot="1" x14ac:dyDescent="0.3">
      <c r="E22" s="57">
        <f>SUM(E16:E21)</f>
        <v>5643292.9662214983</v>
      </c>
      <c r="G22" s="58">
        <f>SUM(G16:G21)</f>
        <v>1</v>
      </c>
      <c r="I22" s="59">
        <f>'C2.1 Regulatory Cost Adjustment'!E16</f>
        <v>24872.727272727272</v>
      </c>
      <c r="K22" s="57">
        <f>SUM(K16:K21)</f>
        <v>7121.916666666667</v>
      </c>
    </row>
    <row r="23" spans="3:15" s="1" customFormat="1" ht="15" customHeight="1" x14ac:dyDescent="0.25"/>
    <row r="24" spans="3:15" s="1" customFormat="1" ht="15" customHeight="1" x14ac:dyDescent="0.25"/>
    <row r="25" spans="3:15" s="1" customFormat="1" ht="15" customHeight="1" x14ac:dyDescent="0.25"/>
    <row r="26" spans="3:15" s="1" customFormat="1" ht="15" customHeight="1" x14ac:dyDescent="0.25"/>
    <row r="27" spans="3:15" s="1" customFormat="1" ht="15" customHeight="1" x14ac:dyDescent="0.25"/>
    <row r="28" spans="3:15" s="1" customFormat="1" ht="15" customHeight="1" x14ac:dyDescent="0.25"/>
    <row r="29" spans="3:15" s="1" customFormat="1" ht="15" customHeight="1" x14ac:dyDescent="0.25"/>
    <row r="30" spans="3:15" s="1" customFormat="1" ht="15" customHeight="1" x14ac:dyDescent="0.25"/>
    <row r="31" spans="3:15" s="1" customFormat="1" ht="15" customHeight="1" x14ac:dyDescent="0.25"/>
    <row r="32" spans="3:15" s="1" customFormat="1" ht="15" customHeight="1" x14ac:dyDescent="0.25"/>
    <row r="33" s="1" customFormat="1" ht="15" customHeight="1" x14ac:dyDescent="0.25"/>
    <row r="34" s="1" customFormat="1" ht="15" customHeight="1" x14ac:dyDescent="0.25"/>
    <row r="35" s="1" customFormat="1" ht="15" customHeight="1" x14ac:dyDescent="0.25"/>
    <row r="36" s="1" customFormat="1" ht="15" customHeight="1" x14ac:dyDescent="0.25"/>
    <row r="37" s="1" customFormat="1" ht="15" customHeight="1" x14ac:dyDescent="0.25"/>
    <row r="38" s="1" customFormat="1" ht="15" customHeight="1" x14ac:dyDescent="0.25"/>
    <row r="39" s="1" customFormat="1" ht="15" customHeight="1" x14ac:dyDescent="0.25"/>
    <row r="40" s="1" customFormat="1" ht="15" customHeight="1" x14ac:dyDescent="0.25"/>
    <row r="41" s="1" customFormat="1" ht="15" customHeight="1" x14ac:dyDescent="0.25"/>
  </sheetData>
  <sheetProtection password="B400" sheet="1" objects="1" scenarios="1" formatColumns="0" formatRows="0"/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&amp;RNatural Resource Gas Limited
EB-2013-0183
2013 IRM Application
Application
Page &amp;P &amp;  of  &amp;N
Filed: April 19, 2013</oddHeader>
    <oddFooter>&amp;R&amp;A
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"/>
  <sheetViews>
    <sheetView showGridLines="0" topLeftCell="A4" zoomScale="80" zoomScaleNormal="80" workbookViewId="0">
      <selection sqref="A1:XFD1048576"/>
    </sheetView>
  </sheetViews>
  <sheetFormatPr defaultColWidth="0" defaultRowHeight="15" customHeight="1" zeroHeight="1" x14ac:dyDescent="0.25"/>
  <cols>
    <col min="1" max="1" width="15.7109375" style="2" customWidth="1"/>
    <col min="2" max="2" width="1.7109375" style="2" hidden="1" customWidth="1"/>
    <col min="3" max="3" width="55.7109375" style="2" customWidth="1"/>
    <col min="4" max="4" width="2.7109375" style="2" customWidth="1"/>
    <col min="5" max="5" width="17.85546875" style="92" bestFit="1" customWidth="1"/>
    <col min="6" max="6" width="15.7109375" style="2" customWidth="1"/>
    <col min="7" max="7" width="16.7109375" style="2" bestFit="1" customWidth="1"/>
    <col min="8" max="8" width="15.7109375" style="2" customWidth="1"/>
    <col min="9" max="9" width="19.5703125" style="2" bestFit="1" customWidth="1"/>
    <col min="10" max="14" width="15.7109375" style="2" customWidth="1"/>
    <col min="15" max="15" width="2.7109375" style="2" customWidth="1"/>
    <col min="16" max="16384" width="0" style="2" hidden="1"/>
  </cols>
  <sheetData>
    <row r="1" spans="1:14" ht="15.75" x14ac:dyDescent="0.25">
      <c r="A1" s="1"/>
      <c r="B1" s="1"/>
      <c r="C1" s="7" t="e">
        <f>'A1.1 Distributor Information'!#REF!</f>
        <v>#REF!</v>
      </c>
      <c r="D1" s="1"/>
      <c r="E1" s="90"/>
      <c r="F1" s="1"/>
      <c r="G1" s="1"/>
      <c r="H1" s="1"/>
      <c r="I1" s="1"/>
    </row>
    <row r="2" spans="1:14" s="1" customFormat="1" ht="18" x14ac:dyDescent="0.25">
      <c r="C2" s="8" t="str">
        <f>'A1.1 Distributor Information'!C3</f>
        <v>Name of LDC:       Natural Resource Gas Limited</v>
      </c>
      <c r="E2" s="90"/>
    </row>
    <row r="3" spans="1:14" s="1" customFormat="1" ht="18" x14ac:dyDescent="0.25">
      <c r="C3" s="8" t="str">
        <f>'A1.1 Distributor Information'!C4</f>
        <v xml:space="preserve">OEB Application Number:          </v>
      </c>
      <c r="E3" s="90"/>
    </row>
    <row r="4" spans="1:14" s="1" customFormat="1" ht="15" customHeight="1" x14ac:dyDescent="0.25">
      <c r="E4" s="90"/>
    </row>
    <row r="5" spans="1:14" s="1" customFormat="1" ht="15" customHeight="1" x14ac:dyDescent="0.25">
      <c r="E5" s="90"/>
    </row>
    <row r="6" spans="1:14" s="1" customFormat="1" ht="15" customHeight="1" x14ac:dyDescent="0.25">
      <c r="E6" s="90"/>
    </row>
    <row r="7" spans="1:14" s="1" customFormat="1" ht="15" customHeight="1" x14ac:dyDescent="0.25">
      <c r="E7" s="90"/>
    </row>
    <row r="8" spans="1:14" s="1" customFormat="1" ht="15" customHeight="1" x14ac:dyDescent="0.25">
      <c r="E8" s="90"/>
    </row>
    <row r="9" spans="1:14" s="1" customFormat="1" ht="15" customHeight="1" x14ac:dyDescent="0.25">
      <c r="E9" s="90"/>
    </row>
    <row r="10" spans="1:14" s="1" customFormat="1" ht="20.25" x14ac:dyDescent="0.3">
      <c r="C10" s="9" t="s">
        <v>147</v>
      </c>
      <c r="E10" s="90"/>
    </row>
    <row r="11" spans="1:14" s="1" customFormat="1" ht="15" customHeight="1" x14ac:dyDescent="0.25">
      <c r="E11" s="90"/>
    </row>
    <row r="12" spans="1:14" s="1" customFormat="1" ht="15" customHeight="1" x14ac:dyDescent="0.25">
      <c r="E12" s="90"/>
    </row>
    <row r="13" spans="1:14" s="1" customFormat="1" ht="15" customHeight="1" x14ac:dyDescent="0.25">
      <c r="E13" s="90"/>
    </row>
    <row r="14" spans="1:14" s="1" customFormat="1" ht="15" customHeight="1" x14ac:dyDescent="0.25">
      <c r="E14" s="90"/>
    </row>
    <row r="15" spans="1:14" s="5" customFormat="1" ht="45.75" x14ac:dyDescent="0.25">
      <c r="C15" s="5" t="s">
        <v>0</v>
      </c>
      <c r="E15" s="89" t="s">
        <v>146</v>
      </c>
      <c r="F15" s="1"/>
      <c r="G15" s="89" t="s">
        <v>148</v>
      </c>
      <c r="H15" s="1"/>
      <c r="I15" s="89" t="s">
        <v>149</v>
      </c>
      <c r="J15" s="1"/>
      <c r="K15" s="1"/>
      <c r="L15" s="1"/>
      <c r="M15" s="1"/>
      <c r="N15" s="1"/>
    </row>
    <row r="16" spans="1:14" s="1" customFormat="1" x14ac:dyDescent="0.25">
      <c r="C16" s="1" t="s">
        <v>12</v>
      </c>
      <c r="E16" s="91">
        <v>13.5</v>
      </c>
      <c r="G16" s="91">
        <v>0</v>
      </c>
      <c r="I16" s="91">
        <f>E16+G16</f>
        <v>13.5</v>
      </c>
    </row>
    <row r="17" spans="3:9" s="1" customFormat="1" x14ac:dyDescent="0.25">
      <c r="C17" s="1" t="s">
        <v>13</v>
      </c>
      <c r="E17" s="91">
        <v>13.5</v>
      </c>
      <c r="G17" s="91">
        <v>0</v>
      </c>
      <c r="I17" s="91">
        <f t="shared" ref="I17:I25" si="0">E17+G17</f>
        <v>13.5</v>
      </c>
    </row>
    <row r="18" spans="3:9" s="1" customFormat="1" x14ac:dyDescent="0.25">
      <c r="C18" s="1" t="s">
        <v>14</v>
      </c>
      <c r="E18" s="91">
        <v>13.5</v>
      </c>
      <c r="G18" s="91">
        <v>0</v>
      </c>
      <c r="I18" s="91">
        <f t="shared" si="0"/>
        <v>13.5</v>
      </c>
    </row>
    <row r="19" spans="3:9" s="1" customFormat="1" x14ac:dyDescent="0.25">
      <c r="C19" s="1" t="s">
        <v>15</v>
      </c>
      <c r="E19" s="91">
        <v>15</v>
      </c>
      <c r="G19" s="91">
        <v>0</v>
      </c>
      <c r="I19" s="91">
        <f t="shared" si="0"/>
        <v>15</v>
      </c>
    </row>
    <row r="20" spans="3:9" s="1" customFormat="1" x14ac:dyDescent="0.25">
      <c r="C20" s="1" t="s">
        <v>16</v>
      </c>
      <c r="E20" s="91">
        <v>15</v>
      </c>
      <c r="G20" s="91">
        <v>0</v>
      </c>
      <c r="I20" s="91">
        <f t="shared" si="0"/>
        <v>15</v>
      </c>
    </row>
    <row r="21" spans="3:9" s="1" customFormat="1" x14ac:dyDescent="0.25">
      <c r="C21" s="1" t="s">
        <v>17</v>
      </c>
      <c r="E21" s="91">
        <v>150</v>
      </c>
      <c r="G21" s="91">
        <v>0</v>
      </c>
      <c r="I21" s="91">
        <f t="shared" si="0"/>
        <v>150</v>
      </c>
    </row>
    <row r="22" spans="3:9" s="1" customFormat="1" x14ac:dyDescent="0.25">
      <c r="C22" s="1" t="s">
        <v>18</v>
      </c>
      <c r="E22" s="91">
        <v>15</v>
      </c>
      <c r="G22" s="91">
        <v>0</v>
      </c>
      <c r="I22" s="91">
        <f t="shared" si="0"/>
        <v>15</v>
      </c>
    </row>
    <row r="23" spans="3:9" s="1" customFormat="1" x14ac:dyDescent="0.25">
      <c r="C23" s="1" t="s">
        <v>19</v>
      </c>
      <c r="D23" s="79"/>
      <c r="E23" s="91">
        <v>15</v>
      </c>
      <c r="G23" s="91">
        <v>0</v>
      </c>
      <c r="I23" s="91">
        <f t="shared" si="0"/>
        <v>15</v>
      </c>
    </row>
    <row r="24" spans="3:9" s="1" customFormat="1" x14ac:dyDescent="0.25">
      <c r="C24" s="1" t="s">
        <v>20</v>
      </c>
      <c r="D24" s="79"/>
      <c r="E24" s="91">
        <v>150</v>
      </c>
      <c r="G24" s="91">
        <v>0</v>
      </c>
      <c r="I24" s="91">
        <f t="shared" si="0"/>
        <v>150</v>
      </c>
    </row>
    <row r="25" spans="3:9" s="1" customFormat="1" ht="30" x14ac:dyDescent="0.25">
      <c r="C25" s="12" t="s">
        <v>21</v>
      </c>
      <c r="E25" s="91">
        <v>150</v>
      </c>
      <c r="G25" s="91">
        <v>0</v>
      </c>
      <c r="I25" s="91">
        <f t="shared" si="0"/>
        <v>150</v>
      </c>
    </row>
    <row r="26" spans="3:9" s="1" customFormat="1" ht="15" customHeight="1" x14ac:dyDescent="0.25">
      <c r="E26" s="90"/>
    </row>
    <row r="27" spans="3:9" s="1" customFormat="1" ht="15" customHeight="1" x14ac:dyDescent="0.25">
      <c r="E27" s="90"/>
    </row>
    <row r="28" spans="3:9" s="1" customFormat="1" ht="18" x14ac:dyDescent="0.25">
      <c r="C28" s="80" t="s">
        <v>133</v>
      </c>
      <c r="E28" s="90"/>
    </row>
    <row r="29" spans="3:9" s="1" customFormat="1" ht="15" customHeight="1" x14ac:dyDescent="0.25">
      <c r="E29" s="90"/>
    </row>
    <row r="30" spans="3:9" s="1" customFormat="1" ht="15" customHeight="1" x14ac:dyDescent="0.25">
      <c r="E30" s="90"/>
    </row>
    <row r="31" spans="3:9" s="1" customFormat="1" ht="15" customHeight="1" x14ac:dyDescent="0.25">
      <c r="E31" s="90"/>
    </row>
    <row r="32" spans="3:9" s="1" customFormat="1" ht="15" customHeight="1" x14ac:dyDescent="0.25">
      <c r="E32" s="90"/>
    </row>
    <row r="33" spans="5:5" s="1" customFormat="1" ht="15" customHeight="1" x14ac:dyDescent="0.25">
      <c r="E33" s="90"/>
    </row>
    <row r="34" spans="5:5" s="1" customFormat="1" ht="15" customHeight="1" x14ac:dyDescent="0.25">
      <c r="E34" s="90"/>
    </row>
    <row r="35" spans="5:5" s="1" customFormat="1" ht="15" customHeight="1" x14ac:dyDescent="0.25">
      <c r="E35" s="90"/>
    </row>
    <row r="36" spans="5:5" s="1" customFormat="1" ht="15" customHeight="1" x14ac:dyDescent="0.25">
      <c r="E36" s="90"/>
    </row>
    <row r="37" spans="5:5" s="1" customFormat="1" ht="15" customHeight="1" x14ac:dyDescent="0.25">
      <c r="E37" s="90"/>
    </row>
    <row r="38" spans="5:5" s="1" customFormat="1" ht="15" customHeight="1" x14ac:dyDescent="0.25">
      <c r="E38" s="90"/>
    </row>
    <row r="39" spans="5:5" s="1" customFormat="1" ht="15" customHeight="1" x14ac:dyDescent="0.25">
      <c r="E39" s="90"/>
    </row>
    <row r="40" spans="5:5" s="1" customFormat="1" ht="15" customHeight="1" x14ac:dyDescent="0.25">
      <c r="E40" s="90"/>
    </row>
    <row r="41" spans="5:5" s="1" customFormat="1" ht="15" customHeight="1" x14ac:dyDescent="0.25">
      <c r="E41" s="90"/>
    </row>
    <row r="42" spans="5:5" s="1" customFormat="1" ht="15" customHeight="1" x14ac:dyDescent="0.25">
      <c r="E42" s="90"/>
    </row>
    <row r="43" spans="5:5" s="1" customFormat="1" ht="15" customHeight="1" x14ac:dyDescent="0.25">
      <c r="E43" s="90"/>
    </row>
    <row r="44" spans="5:5" s="1" customFormat="1" ht="15" customHeight="1" x14ac:dyDescent="0.25">
      <c r="E44" s="90"/>
    </row>
    <row r="45" spans="5:5" s="1" customFormat="1" ht="15" customHeight="1" x14ac:dyDescent="0.25">
      <c r="E45" s="90"/>
    </row>
    <row r="46" spans="5:5" s="1" customFormat="1" ht="15" customHeight="1" x14ac:dyDescent="0.25">
      <c r="E46" s="90"/>
    </row>
    <row r="47" spans="5:5" s="1" customFormat="1" ht="15" customHeight="1" x14ac:dyDescent="0.25">
      <c r="E47" s="90"/>
    </row>
  </sheetData>
  <sheetProtection password="B400" sheet="1" objects="1" scenarios="1" formatColumns="0" formatRows="0"/>
  <pageMargins left="0.70866141732283472" right="0.70866141732283472" top="0.74803149606299213" bottom="0.74803149606299213" header="0.31496062992125984" footer="0.31496062992125984"/>
  <pageSetup scale="76" orientation="landscape" r:id="rId1"/>
  <headerFooter>
    <oddHeader>&amp;RNatural Resource Gas Limited
EB-2013-0183
2013 IRM Application
Application
Page &amp;P &amp;  of  &amp;N
Filed: April 19, 2013</oddHeader>
    <oddFooter>&amp;R&amp;A
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46"/>
  <sheetViews>
    <sheetView showGridLines="0" topLeftCell="A9" workbookViewId="0">
      <selection activeCell="L17" sqref="L17"/>
    </sheetView>
  </sheetViews>
  <sheetFormatPr defaultColWidth="0" defaultRowHeight="15" zeroHeight="1" x14ac:dyDescent="0.25"/>
  <cols>
    <col min="1" max="1" width="15.7109375" style="2" customWidth="1"/>
    <col min="2" max="2" width="0" style="2" hidden="1" customWidth="1"/>
    <col min="3" max="3" width="35.7109375" style="2" customWidth="1"/>
    <col min="4" max="4" width="2.7109375" style="2" customWidth="1"/>
    <col min="5" max="5" width="12.140625" style="2" bestFit="1" customWidth="1"/>
    <col min="6" max="6" width="33" style="2" bestFit="1" customWidth="1"/>
    <col min="7" max="7" width="14.42578125" style="2" bestFit="1" customWidth="1"/>
    <col min="8" max="8" width="13.28515625" style="2" bestFit="1" customWidth="1"/>
    <col min="9" max="9" width="12.7109375" style="2" bestFit="1" customWidth="1"/>
    <col min="10" max="10" width="12.28515625" style="2" bestFit="1" customWidth="1"/>
    <col min="11" max="11" width="14.42578125" style="2" bestFit="1" customWidth="1"/>
    <col min="12" max="12" width="12.7109375" style="2" bestFit="1" customWidth="1"/>
    <col min="13" max="14" width="15.7109375" style="2" customWidth="1"/>
    <col min="15" max="15" width="15.7109375" style="2" hidden="1" customWidth="1"/>
    <col min="16" max="16384" width="0" style="2" hidden="1"/>
  </cols>
  <sheetData>
    <row r="1" spans="1:14" ht="15.75" x14ac:dyDescent="0.25">
      <c r="A1" s="1"/>
      <c r="B1" s="1"/>
      <c r="C1" s="7"/>
      <c r="D1" s="1"/>
      <c r="E1" s="1"/>
      <c r="F1" s="1"/>
      <c r="G1" s="1"/>
      <c r="H1" s="1"/>
      <c r="I1" s="1"/>
      <c r="J1" s="1"/>
      <c r="K1" s="1"/>
      <c r="L1" s="1"/>
    </row>
    <row r="2" spans="1:14" s="1" customFormat="1" ht="18" x14ac:dyDescent="0.25">
      <c r="C2" s="8" t="str">
        <f>'A1.1 Distributor Information'!C3</f>
        <v>Name of LDC:       Natural Resource Gas Limited</v>
      </c>
    </row>
    <row r="3" spans="1:14" s="1" customFormat="1" ht="18" x14ac:dyDescent="0.25">
      <c r="C3" s="8" t="str">
        <f>'A1.1 Distributor Information'!C4</f>
        <v xml:space="preserve">OEB Application Number:          </v>
      </c>
    </row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x14ac:dyDescent="0.25"/>
    <row r="8" spans="1:14" s="1" customFormat="1" ht="20.25" x14ac:dyDescent="0.3">
      <c r="C8" s="4" t="s">
        <v>117</v>
      </c>
    </row>
    <row r="9" spans="1:14" s="1" customFormat="1" x14ac:dyDescent="0.25"/>
    <row r="10" spans="1:14" s="1" customFormat="1" x14ac:dyDescent="0.25"/>
    <row r="11" spans="1:14" s="1" customFormat="1" x14ac:dyDescent="0.25">
      <c r="C11" s="1" t="s">
        <v>33</v>
      </c>
      <c r="E11" s="51">
        <f>E24</f>
        <v>1.6E-2</v>
      </c>
    </row>
    <row r="12" spans="1:14" s="1" customFormat="1" x14ac:dyDescent="0.25">
      <c r="C12" s="1" t="s">
        <v>34</v>
      </c>
      <c r="E12" s="48">
        <v>0</v>
      </c>
    </row>
    <row r="13" spans="1:14" s="1" customFormat="1" x14ac:dyDescent="0.25">
      <c r="C13" s="1" t="s">
        <v>35</v>
      </c>
      <c r="E13" s="51">
        <f>I27</f>
        <v>4.0000000000000001E-3</v>
      </c>
      <c r="H13" s="15"/>
      <c r="I13" s="15"/>
      <c r="J13" s="15"/>
      <c r="K13" s="15"/>
      <c r="L13" s="15"/>
      <c r="N13" s="15"/>
    </row>
    <row r="14" spans="1:14" s="1" customFormat="1" x14ac:dyDescent="0.25">
      <c r="C14" s="1" t="s">
        <v>36</v>
      </c>
      <c r="E14" s="52">
        <f>E11-E12-E13</f>
        <v>1.2E-2</v>
      </c>
    </row>
    <row r="15" spans="1:14" s="1" customFormat="1" x14ac:dyDescent="0.25"/>
    <row r="16" spans="1:14" s="1" customFormat="1" ht="30" x14ac:dyDescent="0.25">
      <c r="E16" s="17" t="s">
        <v>37</v>
      </c>
      <c r="F16" s="17" t="s">
        <v>38</v>
      </c>
      <c r="G16" s="17" t="s">
        <v>39</v>
      </c>
      <c r="H16" s="17" t="s">
        <v>40</v>
      </c>
      <c r="I16" s="17" t="s">
        <v>41</v>
      </c>
      <c r="J16" s="17"/>
      <c r="K16" s="17" t="s">
        <v>42</v>
      </c>
      <c r="L16" s="17" t="s">
        <v>41</v>
      </c>
    </row>
    <row r="17" spans="3:12" s="1" customFormat="1" x14ac:dyDescent="0.25">
      <c r="C17" s="1" t="s">
        <v>30</v>
      </c>
      <c r="E17" s="121">
        <f>'C2.3 Adj Monthly Service Chg'!I16</f>
        <v>13.5</v>
      </c>
      <c r="F17" s="48">
        <f>E14</f>
        <v>1.2E-2</v>
      </c>
      <c r="G17" s="49">
        <f>E17*(1+F17)</f>
        <v>13.662000000000001</v>
      </c>
      <c r="H17" s="33">
        <f>SUM('B1.2 Billing Determinants'!E16:E18)</f>
        <v>7015.916666666667</v>
      </c>
      <c r="I17" s="33">
        <f>G17*H17*12</f>
        <v>1150217.442</v>
      </c>
      <c r="J17" s="77" t="s">
        <v>114</v>
      </c>
      <c r="K17" s="49">
        <f>E17+H11</f>
        <v>13.5</v>
      </c>
      <c r="L17" s="33">
        <f>H17*K17*12</f>
        <v>1136578.5</v>
      </c>
    </row>
    <row r="18" spans="3:12" s="1" customFormat="1" x14ac:dyDescent="0.25">
      <c r="C18" s="1" t="s">
        <v>31</v>
      </c>
      <c r="E18" s="53">
        <f>'B1.1 Current Distribution Rates'!F16</f>
        <v>15.6601</v>
      </c>
      <c r="F18" s="48">
        <f>E14</f>
        <v>1.2E-2</v>
      </c>
      <c r="G18" s="50">
        <f t="shared" ref="G18:G20" si="0">E18*(1+F18)</f>
        <v>15.8480212</v>
      </c>
      <c r="H18" s="33">
        <f>SUM('B1.2 Billing Determinants'!F16:F18)</f>
        <v>14261081</v>
      </c>
      <c r="I18" s="33">
        <f>G18*H18/100</f>
        <v>2260099.1402291721</v>
      </c>
      <c r="J18" s="77" t="s">
        <v>115</v>
      </c>
      <c r="K18" s="50">
        <f>L18/H18*100</f>
        <v>15.943658704618338</v>
      </c>
      <c r="L18" s="33">
        <f>($I$21-SUM($L$17,$L$20,$L$19))</f>
        <v>2273738.0822291719</v>
      </c>
    </row>
    <row r="19" spans="3:12" s="1" customFormat="1" x14ac:dyDescent="0.25">
      <c r="C19" s="1" t="s">
        <v>32</v>
      </c>
      <c r="E19" s="53">
        <f>'B1.1 Current Distribution Rates'!G16</f>
        <v>10.652699999999999</v>
      </c>
      <c r="F19" s="48">
        <f>E14</f>
        <v>1.2E-2</v>
      </c>
      <c r="G19" s="50">
        <f t="shared" si="0"/>
        <v>10.7805324</v>
      </c>
      <c r="H19" s="33">
        <f>SUM('B1.2 Billing Determinants'!G16:G18)</f>
        <v>3572277.4737934526</v>
      </c>
      <c r="I19" s="33">
        <f t="shared" ref="I19:I20" si="1">G19*H19/100</f>
        <v>385110.53048020467</v>
      </c>
      <c r="J19" s="77" t="s">
        <v>116</v>
      </c>
      <c r="K19" s="50">
        <f>G19</f>
        <v>10.7805324</v>
      </c>
      <c r="L19" s="33">
        <f>H19*K19/100</f>
        <v>385110.53048020467</v>
      </c>
    </row>
    <row r="20" spans="3:12" s="1" customFormat="1" x14ac:dyDescent="0.25">
      <c r="C20" s="1" t="s">
        <v>8</v>
      </c>
      <c r="E20" s="53">
        <f>'B1.1 Current Distribution Rates'!L16</f>
        <v>3.6299999999999999E-2</v>
      </c>
      <c r="F20" s="48">
        <v>0</v>
      </c>
      <c r="G20" s="50">
        <f t="shared" si="0"/>
        <v>3.6299999999999999E-2</v>
      </c>
      <c r="H20" s="33">
        <f>SUM('B1.2 Billing Determinants'!L16:L18)</f>
        <v>17833358.473793454</v>
      </c>
      <c r="I20" s="33">
        <f t="shared" si="1"/>
        <v>6473.5091259870233</v>
      </c>
      <c r="J20" s="77" t="s">
        <v>114</v>
      </c>
      <c r="K20" s="50">
        <f>E20</f>
        <v>3.6299999999999999E-2</v>
      </c>
      <c r="L20" s="33">
        <f>H20*K20/100</f>
        <v>6473.5091259870233</v>
      </c>
    </row>
    <row r="21" spans="3:12" s="1" customFormat="1" x14ac:dyDescent="0.25">
      <c r="I21" s="44">
        <f>SUM(I17:I20)</f>
        <v>3801900.6218353636</v>
      </c>
      <c r="L21" s="44">
        <f>SUM(L17:L20)</f>
        <v>3801900.6218353636</v>
      </c>
    </row>
    <row r="22" spans="3:12" s="1" customFormat="1" x14ac:dyDescent="0.25">
      <c r="I22" s="123"/>
      <c r="L22" s="123"/>
    </row>
    <row r="23" spans="3:12" s="1" customFormat="1" x14ac:dyDescent="0.25">
      <c r="C23" s="1" t="s">
        <v>186</v>
      </c>
      <c r="L23" s="11">
        <f>I21-L21</f>
        <v>0</v>
      </c>
    </row>
    <row r="24" spans="3:12" s="1" customFormat="1" x14ac:dyDescent="0.25">
      <c r="C24" s="1" t="s">
        <v>178</v>
      </c>
      <c r="E24" s="124">
        <v>1.6E-2</v>
      </c>
      <c r="F24" s="1" t="s">
        <v>179</v>
      </c>
      <c r="I24" s="122" t="s">
        <v>180</v>
      </c>
      <c r="J24" s="1" t="s">
        <v>184</v>
      </c>
    </row>
    <row r="25" spans="3:12" s="1" customFormat="1" x14ac:dyDescent="0.25">
      <c r="C25" s="1" t="s">
        <v>181</v>
      </c>
      <c r="E25" s="124">
        <v>0</v>
      </c>
      <c r="F25" s="1" t="s">
        <v>182</v>
      </c>
      <c r="I25" s="125">
        <v>3.0000000000000001E-3</v>
      </c>
    </row>
    <row r="26" spans="3:12" s="1" customFormat="1" x14ac:dyDescent="0.25">
      <c r="C26" s="1" t="s">
        <v>183</v>
      </c>
      <c r="E26" s="124">
        <f>E24-E25-I27</f>
        <v>1.2E-2</v>
      </c>
      <c r="F26" s="1" t="s">
        <v>187</v>
      </c>
      <c r="I26" s="125">
        <v>1E-3</v>
      </c>
    </row>
    <row r="27" spans="3:12" s="1" customFormat="1" x14ac:dyDescent="0.25">
      <c r="F27" s="1" t="s">
        <v>188</v>
      </c>
      <c r="I27" s="125">
        <f>SUM(I25:I26)</f>
        <v>4.0000000000000001E-3</v>
      </c>
    </row>
    <row r="28" spans="3:12" s="1" customFormat="1" x14ac:dyDescent="0.25"/>
    <row r="29" spans="3:12" s="1" customFormat="1" x14ac:dyDescent="0.25"/>
    <row r="30" spans="3:12" s="1" customFormat="1" x14ac:dyDescent="0.25"/>
    <row r="31" spans="3:12" s="1" customFormat="1" x14ac:dyDescent="0.25"/>
    <row r="32" spans="3:1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</sheetData>
  <sheetProtection password="B400" sheet="1" objects="1" scenarios="1" formatColumns="0" formatRows="0"/>
  <dataValidations count="1">
    <dataValidation type="list" allowBlank="1" showInputMessage="1" showErrorMessage="1" sqref="J17:J20">
      <formula1>"Change,No Change,Re-Balance"</formula1>
    </dataValidation>
  </dataValidations>
  <pageMargins left="0.70866141732283505" right="0.70866141732283505" top="0.74803149606299202" bottom="0.74803149606299202" header="0.31496062992126" footer="0.31496062992126"/>
  <pageSetup scale="68" orientation="landscape" r:id="rId1"/>
  <headerFooter>
    <oddHeader>&amp;RNatural Resource Gas Limited
EB-2014-0274
2014 IRM Application
Application
Page &amp;P &amp;  of  &amp;N
Filed: November 24, 2014</oddHeader>
    <oddFooter>&amp;R&amp;9&amp;A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3</vt:i4>
      </vt:variant>
    </vt:vector>
  </HeadingPairs>
  <TitlesOfParts>
    <vt:vector size="37" baseType="lpstr">
      <vt:lpstr>A1.1 Distributor Information</vt:lpstr>
      <vt:lpstr>B1.1 Current Distribution Rates</vt:lpstr>
      <vt:lpstr>B1.2 Billing Determinants</vt:lpstr>
      <vt:lpstr>B1.3 Current Rev Req From Rates</vt:lpstr>
      <vt:lpstr>C1.1 Current Rate Riders</vt:lpstr>
      <vt:lpstr>C2.1 Regulatory Cost Adjustment</vt:lpstr>
      <vt:lpstr>C2.2 Alloc Reg Cost Adj</vt:lpstr>
      <vt:lpstr>C2.3 Adj Monthly Service Chg</vt:lpstr>
      <vt:lpstr>D1.1 Rate 1 Adjustment</vt:lpstr>
      <vt:lpstr>D1.2 Rate 2 Adjustment</vt:lpstr>
      <vt:lpstr>D1.3 Rate 3 Adjustment</vt:lpstr>
      <vt:lpstr>D1.4 Rate 4 Adjustment</vt:lpstr>
      <vt:lpstr>D1.5 Rate 5 Adjustment</vt:lpstr>
      <vt:lpstr>D1.6 Rate 6 Adjustment</vt:lpstr>
      <vt:lpstr>E1.1 Proposed Dist Rates </vt:lpstr>
      <vt:lpstr>E1.2 Billing Determinants</vt:lpstr>
      <vt:lpstr>E1.3 Proposed Rev Req From Rate</vt:lpstr>
      <vt:lpstr>F1.1 Calc Shared Tax Savings</vt:lpstr>
      <vt:lpstr>F1.2 Alloc Shared Tax Savings</vt:lpstr>
      <vt:lpstr>F2.1 Deferred Revenue Recovery</vt:lpstr>
      <vt:lpstr>F1.3 Proposed Rate Riders</vt:lpstr>
      <vt:lpstr>F1.4 Proposed Forgone Rev Rider</vt:lpstr>
      <vt:lpstr>G1.1 Rate 1 Bill Impact</vt:lpstr>
      <vt:lpstr>Sheet1</vt:lpstr>
      <vt:lpstr>G1.2 Rate 2 Bill Impact</vt:lpstr>
      <vt:lpstr>G1.3 Rate 3 Bill Impact</vt:lpstr>
      <vt:lpstr>Sheet2</vt:lpstr>
      <vt:lpstr>G1.4 Rate 4 Bill Impact</vt:lpstr>
      <vt:lpstr>Sheet3</vt:lpstr>
      <vt:lpstr>G1.5 Rate 5 Bill Impact</vt:lpstr>
      <vt:lpstr>Sheet4</vt:lpstr>
      <vt:lpstr>G1.6 Rate 6 Bill Impact</vt:lpstr>
      <vt:lpstr>G1.7 Summary of Bill Impacts</vt:lpstr>
      <vt:lpstr>Sheet5</vt:lpstr>
      <vt:lpstr>'G1.1 Rate 1 Bill Impact'!Print_Titles</vt:lpstr>
      <vt:lpstr>'G1.2 Rate 2 Bill Impact'!Print_Titles</vt:lpstr>
      <vt:lpstr>'G1.4 Rate 4 Bill Impact'!Print_Titles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hireland</cp:lastModifiedBy>
  <cp:lastPrinted>2014-11-24T15:30:01Z</cp:lastPrinted>
  <dcterms:created xsi:type="dcterms:W3CDTF">2011-04-04T21:13:53Z</dcterms:created>
  <dcterms:modified xsi:type="dcterms:W3CDTF">2014-11-25T19:20:18Z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</vt:lpwstr>
  </property>
</Properties>
</file>