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40" windowWidth="19020" windowHeight="9735" firstSheet="7" activeTab="10"/>
  </bookViews>
  <sheets>
    <sheet name="Res (100kWh)" sheetId="1" r:id="rId1"/>
    <sheet name="Res (250kWh)" sheetId="26" r:id="rId2"/>
    <sheet name="Res (500kWh)" sheetId="27" r:id="rId3"/>
    <sheet name="Res (800kWh)" sheetId="28" r:id="rId4"/>
    <sheet name="Res (1000kWh)" sheetId="29" r:id="rId5"/>
    <sheet name="Res (1500kWh)" sheetId="30" r:id="rId6"/>
    <sheet name="Res (2000kWh)" sheetId="31" r:id="rId7"/>
    <sheet name="GS&lt;50 (1,000kWh)" sheetId="8" r:id="rId8"/>
    <sheet name="GS&lt;50 (2,000kWh)" sheetId="32" r:id="rId9"/>
    <sheet name="GS&lt;50 (5,000kWh)" sheetId="33" r:id="rId10"/>
    <sheet name="GS&lt;50 (10,000kWh)" sheetId="34" r:id="rId11"/>
    <sheet name="GS&lt;50 (15,000kWh)" sheetId="35" r:id="rId12"/>
    <sheet name="GS 50-2999 (60kW)" sheetId="13" r:id="rId13"/>
    <sheet name="GS 50-2999 (100kW)" sheetId="36" r:id="rId14"/>
    <sheet name="GS 50-2999 (455 kW)" sheetId="38" r:id="rId15"/>
    <sheet name="GS 3000-4999 (3,000kW)" sheetId="14" r:id="rId16"/>
    <sheet name="GS 3000-4999 (3,290kW)" sheetId="39" r:id="rId17"/>
    <sheet name="GS 3000-4999 (5,000kW)" sheetId="37" r:id="rId18"/>
    <sheet name="ST (1kW)" sheetId="16" r:id="rId19"/>
    <sheet name="ST (470kW)" sheetId="40" r:id="rId20"/>
    <sheet name="SL (1kW)" sheetId="25" r:id="rId21"/>
    <sheet name="USL (150kWh)" sheetId="17" r:id="rId22"/>
    <sheet name="Summary" sheetId="24" r:id="rId23"/>
  </sheets>
  <externalReferences>
    <externalReference r:id="rId24"/>
  </externalReferences>
  <definedNames>
    <definedName name="EBNUMBER">'[1]LDC Info'!$E$16</definedName>
    <definedName name="_xlnm.Print_Area" localSheetId="15">'GS 3000-4999 (3,000kW)'!$A$1:$O$88</definedName>
    <definedName name="_xlnm.Print_Area" localSheetId="16">'GS 3000-4999 (3,290kW)'!$A$1:$O$88</definedName>
    <definedName name="_xlnm.Print_Area" localSheetId="17">'GS 3000-4999 (5,000kW)'!$A$1:$O$88</definedName>
    <definedName name="_xlnm.Print_Area" localSheetId="13">'GS 50-2999 (100kW)'!$A$1:$O$89</definedName>
    <definedName name="_xlnm.Print_Area" localSheetId="14">'GS 50-2999 (455 kW)'!$A$1:$O$89</definedName>
    <definedName name="_xlnm.Print_Area" localSheetId="12">'GS 50-2999 (60kW)'!$A$1:$O$89</definedName>
    <definedName name="_xlnm.Print_Area" localSheetId="7">'GS&lt;50 (1,000kWh)'!$A$1:$O$90</definedName>
    <definedName name="_xlnm.Print_Area" localSheetId="10">'GS&lt;50 (10,000kWh)'!$A$1:$O$90</definedName>
    <definedName name="_xlnm.Print_Area" localSheetId="11">'GS&lt;50 (15,000kWh)'!$A$1:$O$90</definedName>
    <definedName name="_xlnm.Print_Area" localSheetId="8">'GS&lt;50 (2,000kWh)'!$A$1:$O$90</definedName>
    <definedName name="_xlnm.Print_Area" localSheetId="9">'GS&lt;50 (5,000kWh)'!$A$1:$O$90</definedName>
    <definedName name="_xlnm.Print_Area" localSheetId="4">'Res (1000kWh)'!$A$1:$O$90</definedName>
    <definedName name="_xlnm.Print_Area" localSheetId="0">'Res (100kWh)'!$A$1:$O$90</definedName>
    <definedName name="_xlnm.Print_Area" localSheetId="5">'Res (1500kWh)'!$A$1:$O$90</definedName>
    <definedName name="_xlnm.Print_Area" localSheetId="6">'Res (2000kWh)'!$A$1:$O$90</definedName>
    <definedName name="_xlnm.Print_Area" localSheetId="1">'Res (250kWh)'!$A$1:$O$90</definedName>
    <definedName name="_xlnm.Print_Area" localSheetId="2">'Res (500kWh)'!$A$1:$O$90</definedName>
    <definedName name="_xlnm.Print_Area" localSheetId="3">'Res (800kWh)'!$A$1:$O$90</definedName>
    <definedName name="_xlnm.Print_Area" localSheetId="20">'SL (1kW)'!$A$1:$O$88</definedName>
    <definedName name="_xlnm.Print_Area" localSheetId="18">'ST (1kW)'!$A$1:$O$89</definedName>
    <definedName name="_xlnm.Print_Area" localSheetId="19">'ST (470kW)'!$A$1:$O$89</definedName>
    <definedName name="_xlnm.Print_Area" localSheetId="21">'USL (150kWh)'!$A$1:$O$88</definedName>
  </definedNames>
  <calcPr calcId="145621"/>
</workbook>
</file>

<file path=xl/calcChain.xml><?xml version="1.0" encoding="utf-8"?>
<calcChain xmlns="http://schemas.openxmlformats.org/spreadsheetml/2006/main">
  <c r="N5" i="24" l="1"/>
  <c r="N3" i="24"/>
  <c r="N2" i="24"/>
  <c r="N1" i="24"/>
  <c r="N5" i="17" l="1"/>
  <c r="N3" i="17"/>
  <c r="N2" i="17"/>
  <c r="N1" i="17"/>
  <c r="N5" i="25"/>
  <c r="N3" i="25"/>
  <c r="N2" i="25"/>
  <c r="N1" i="25"/>
  <c r="N5" i="40"/>
  <c r="N3" i="40"/>
  <c r="N2" i="40"/>
  <c r="N1" i="40"/>
  <c r="N5" i="16"/>
  <c r="N3" i="16"/>
  <c r="N2" i="16"/>
  <c r="N1" i="16"/>
  <c r="N5" i="37"/>
  <c r="N3" i="37"/>
  <c r="N2" i="37"/>
  <c r="N1" i="37"/>
  <c r="N5" i="39"/>
  <c r="N3" i="39"/>
  <c r="N2" i="39"/>
  <c r="N1" i="39"/>
  <c r="N5" i="14"/>
  <c r="N3" i="14"/>
  <c r="N2" i="14"/>
  <c r="N1" i="14"/>
  <c r="N5" i="38"/>
  <c r="N3" i="38"/>
  <c r="N2" i="38"/>
  <c r="N1" i="38"/>
  <c r="N5" i="36"/>
  <c r="N3" i="36"/>
  <c r="N2" i="36"/>
  <c r="N1" i="36"/>
  <c r="N5" i="13"/>
  <c r="N3" i="13"/>
  <c r="N2" i="13"/>
  <c r="N1" i="13"/>
  <c r="N5" i="35"/>
  <c r="N3" i="35"/>
  <c r="N2" i="35"/>
  <c r="N1" i="35"/>
  <c r="N5" i="34"/>
  <c r="N3" i="34"/>
  <c r="N2" i="34"/>
  <c r="N1" i="34"/>
  <c r="N5" i="33"/>
  <c r="N3" i="33"/>
  <c r="N2" i="33"/>
  <c r="N1" i="33"/>
  <c r="N5" i="32"/>
  <c r="N3" i="32"/>
  <c r="N2" i="32"/>
  <c r="N1" i="32"/>
  <c r="N5" i="8"/>
  <c r="N3" i="8"/>
  <c r="N2" i="8"/>
  <c r="N1" i="8"/>
  <c r="N5" i="31"/>
  <c r="N3" i="31"/>
  <c r="N2" i="31"/>
  <c r="N1" i="31"/>
  <c r="N5" i="30"/>
  <c r="N3" i="30"/>
  <c r="N2" i="30"/>
  <c r="N1" i="30"/>
  <c r="N5" i="29"/>
  <c r="N3" i="29"/>
  <c r="N2" i="29"/>
  <c r="N1" i="29"/>
  <c r="N5" i="28"/>
  <c r="N3" i="28"/>
  <c r="N2" i="28"/>
  <c r="N1" i="28"/>
  <c r="N5" i="27"/>
  <c r="N3" i="27"/>
  <c r="N2" i="27"/>
  <c r="N1" i="27"/>
  <c r="N5" i="26"/>
  <c r="N3" i="26"/>
  <c r="N2" i="26"/>
  <c r="N1" i="26"/>
  <c r="K25" i="16" l="1"/>
  <c r="G25" i="16"/>
  <c r="H25" i="16" s="1"/>
  <c r="O25" i="16" s="1"/>
  <c r="K25" i="36"/>
  <c r="L25" i="36"/>
  <c r="G25" i="36"/>
  <c r="H25" i="36" s="1"/>
  <c r="O25" i="36" s="1"/>
  <c r="K25" i="13"/>
  <c r="L25" i="13"/>
  <c r="G25" i="13"/>
  <c r="H25" i="13" s="1"/>
  <c r="O25" i="13" s="1"/>
  <c r="K25" i="35"/>
  <c r="L25" i="35" s="1"/>
  <c r="N25" i="35" s="1"/>
  <c r="G25" i="35"/>
  <c r="H25" i="35" s="1"/>
  <c r="O25" i="35" s="1"/>
  <c r="K25" i="34"/>
  <c r="G25" i="34"/>
  <c r="H25" i="34" s="1"/>
  <c r="O25" i="34" s="1"/>
  <c r="K25" i="33"/>
  <c r="L25" i="33"/>
  <c r="G25" i="33"/>
  <c r="H25" i="33" s="1"/>
  <c r="O25" i="33" s="1"/>
  <c r="K25" i="8"/>
  <c r="G25" i="8"/>
  <c r="H25" i="8" s="1"/>
  <c r="O25" i="8" s="1"/>
  <c r="L25" i="34" l="1"/>
  <c r="N25" i="34" s="1"/>
  <c r="L25" i="16"/>
  <c r="N25" i="16" s="1"/>
  <c r="N25" i="36"/>
  <c r="N25" i="13"/>
  <c r="N25" i="33"/>
  <c r="L25" i="8"/>
  <c r="N25" i="8" s="1"/>
  <c r="K25" i="31" l="1"/>
  <c r="L25" i="31" s="1"/>
  <c r="G25" i="31"/>
  <c r="H25" i="31" s="1"/>
  <c r="O25" i="31" s="1"/>
  <c r="K25" i="30"/>
  <c r="L25" i="30" s="1"/>
  <c r="G25" i="30"/>
  <c r="H25" i="30" s="1"/>
  <c r="O25" i="30" s="1"/>
  <c r="K25" i="29"/>
  <c r="L25" i="29" s="1"/>
  <c r="N25" i="29" s="1"/>
  <c r="G25" i="29"/>
  <c r="H25" i="29" s="1"/>
  <c r="O25" i="29" s="1"/>
  <c r="K25" i="1"/>
  <c r="L25" i="1"/>
  <c r="G25" i="1"/>
  <c r="H25" i="1" s="1"/>
  <c r="O25" i="1" s="1"/>
  <c r="N25" i="31" l="1"/>
  <c r="N25" i="30"/>
  <c r="N25" i="1"/>
  <c r="J72" i="17"/>
  <c r="J72" i="25"/>
  <c r="J73" i="40"/>
  <c r="J73" i="38"/>
  <c r="J74" i="32"/>
  <c r="J74" i="28"/>
  <c r="J73" i="16"/>
  <c r="J72" i="37"/>
  <c r="J72" i="14"/>
  <c r="J73" i="36"/>
  <c r="J73" i="13"/>
  <c r="J74" i="35"/>
  <c r="J74" i="34"/>
  <c r="J74" i="33"/>
  <c r="J74" i="8"/>
  <c r="J74" i="31"/>
  <c r="J74" i="30"/>
  <c r="J74" i="29"/>
  <c r="J74" i="27"/>
  <c r="J74" i="26"/>
  <c r="K52" i="40" l="1"/>
  <c r="G52" i="40"/>
  <c r="K25" i="40" l="1"/>
  <c r="H25" i="40"/>
  <c r="O25" i="40" s="1"/>
  <c r="G25" i="40"/>
  <c r="O25" i="38"/>
  <c r="K25" i="38"/>
  <c r="H25" i="38"/>
  <c r="G25" i="38"/>
  <c r="O25" i="32"/>
  <c r="K25" i="32"/>
  <c r="H25" i="32"/>
  <c r="G25" i="32"/>
  <c r="O25" i="28"/>
  <c r="K25" i="28"/>
  <c r="H25" i="28"/>
  <c r="G25" i="28"/>
  <c r="K46" i="25" l="1"/>
  <c r="G46" i="25"/>
  <c r="K47" i="40"/>
  <c r="G47" i="40"/>
  <c r="G58" i="40"/>
  <c r="H58" i="40" s="1"/>
  <c r="G57" i="40"/>
  <c r="H57" i="40" s="1"/>
  <c r="N56" i="40"/>
  <c r="L56" i="40"/>
  <c r="H56" i="40"/>
  <c r="O56" i="40" s="1"/>
  <c r="N55" i="40"/>
  <c r="L55" i="40"/>
  <c r="H55" i="40"/>
  <c r="O55" i="40" s="1"/>
  <c r="K54" i="40"/>
  <c r="L54" i="40" s="1"/>
  <c r="G54" i="40"/>
  <c r="H54" i="40" s="1"/>
  <c r="K53" i="40"/>
  <c r="L53" i="40" s="1"/>
  <c r="G53" i="40"/>
  <c r="H53" i="40" s="1"/>
  <c r="L52" i="40"/>
  <c r="H52" i="40"/>
  <c r="K50" i="40"/>
  <c r="L50" i="40" s="1"/>
  <c r="G50" i="40"/>
  <c r="H50" i="40" s="1"/>
  <c r="K48" i="40"/>
  <c r="H47" i="40"/>
  <c r="L45" i="40"/>
  <c r="N45" i="40" s="1"/>
  <c r="H45" i="40"/>
  <c r="K44" i="40"/>
  <c r="G44" i="40"/>
  <c r="K43" i="40"/>
  <c r="G43" i="40"/>
  <c r="H43" i="40" s="1"/>
  <c r="K42" i="40"/>
  <c r="H42" i="40"/>
  <c r="G42" i="40"/>
  <c r="L41" i="40"/>
  <c r="K41" i="40"/>
  <c r="H41" i="40"/>
  <c r="O41" i="40" s="1"/>
  <c r="G41" i="40"/>
  <c r="L40" i="40"/>
  <c r="K40" i="40"/>
  <c r="H40" i="40"/>
  <c r="O40" i="40" s="1"/>
  <c r="G40" i="40"/>
  <c r="K39" i="40"/>
  <c r="G39" i="40"/>
  <c r="H39" i="40" s="1"/>
  <c r="K37" i="40"/>
  <c r="L37" i="40" s="1"/>
  <c r="G37" i="40"/>
  <c r="H37" i="40" s="1"/>
  <c r="O37" i="40" s="1"/>
  <c r="K36" i="40"/>
  <c r="L36" i="40" s="1"/>
  <c r="G36" i="40"/>
  <c r="H36" i="40" s="1"/>
  <c r="O36" i="40" s="1"/>
  <c r="K35" i="40"/>
  <c r="L35" i="40" s="1"/>
  <c r="G35" i="40"/>
  <c r="H35" i="40" s="1"/>
  <c r="O35" i="40" s="1"/>
  <c r="K34" i="40"/>
  <c r="L34" i="40" s="1"/>
  <c r="G34" i="40"/>
  <c r="H34" i="40" s="1"/>
  <c r="O34" i="40" s="1"/>
  <c r="K33" i="40"/>
  <c r="L33" i="40" s="1"/>
  <c r="G33" i="40"/>
  <c r="H33" i="40" s="1"/>
  <c r="O33" i="40" s="1"/>
  <c r="K32" i="40"/>
  <c r="L32" i="40" s="1"/>
  <c r="G32" i="40"/>
  <c r="H32" i="40" s="1"/>
  <c r="O32" i="40" s="1"/>
  <c r="K31" i="40"/>
  <c r="L31" i="40" s="1"/>
  <c r="G31" i="40"/>
  <c r="H31" i="40" s="1"/>
  <c r="O31" i="40" s="1"/>
  <c r="K30" i="40"/>
  <c r="L30" i="40" s="1"/>
  <c r="G30" i="40"/>
  <c r="H30" i="40" s="1"/>
  <c r="O30" i="40" s="1"/>
  <c r="K29" i="40"/>
  <c r="L29" i="40" s="1"/>
  <c r="G29" i="40"/>
  <c r="H29" i="40" s="1"/>
  <c r="O29" i="40" s="1"/>
  <c r="K28" i="40"/>
  <c r="G28" i="40"/>
  <c r="H28" i="40"/>
  <c r="K27" i="40"/>
  <c r="G27" i="40"/>
  <c r="H27" i="40" s="1"/>
  <c r="O27" i="40" s="1"/>
  <c r="K26" i="40"/>
  <c r="L26" i="40" s="1"/>
  <c r="G26" i="40"/>
  <c r="H26" i="40" s="1"/>
  <c r="O24" i="40"/>
  <c r="L24" i="40"/>
  <c r="N24" i="40" s="1"/>
  <c r="H24" i="40"/>
  <c r="O23" i="40"/>
  <c r="L23" i="40"/>
  <c r="N23" i="40" s="1"/>
  <c r="H23" i="40"/>
  <c r="O22" i="40"/>
  <c r="L22" i="40"/>
  <c r="N22" i="40" s="1"/>
  <c r="H22" i="40"/>
  <c r="H21" i="40"/>
  <c r="G43" i="39"/>
  <c r="K46" i="39"/>
  <c r="G46" i="39"/>
  <c r="H46" i="39" s="1"/>
  <c r="G57" i="39"/>
  <c r="H57" i="39" s="1"/>
  <c r="G56" i="39"/>
  <c r="H56" i="39" s="1"/>
  <c r="N55" i="39"/>
  <c r="L55" i="39"/>
  <c r="H55" i="39"/>
  <c r="O55" i="39" s="1"/>
  <c r="N54" i="39"/>
  <c r="L54" i="39"/>
  <c r="H54" i="39"/>
  <c r="O54" i="39" s="1"/>
  <c r="G53" i="39"/>
  <c r="H53" i="39" s="1"/>
  <c r="K52" i="39"/>
  <c r="L52" i="39" s="1"/>
  <c r="G52" i="39"/>
  <c r="H52" i="39" s="1"/>
  <c r="N51" i="39"/>
  <c r="L51" i="39"/>
  <c r="H51" i="39"/>
  <c r="O51" i="39" s="1"/>
  <c r="K49" i="39"/>
  <c r="L49" i="39" s="1"/>
  <c r="G49" i="39"/>
  <c r="H49" i="39" s="1"/>
  <c r="K47" i="39"/>
  <c r="L46" i="39"/>
  <c r="L44" i="39"/>
  <c r="N44" i="39" s="1"/>
  <c r="H44" i="39"/>
  <c r="K43" i="39"/>
  <c r="K42" i="39"/>
  <c r="G42" i="39"/>
  <c r="H42" i="39" s="1"/>
  <c r="K41" i="39"/>
  <c r="H41" i="39"/>
  <c r="G41" i="39"/>
  <c r="K40" i="39"/>
  <c r="L40" i="39" s="1"/>
  <c r="N40" i="39" s="1"/>
  <c r="H40" i="39"/>
  <c r="O40" i="39" s="1"/>
  <c r="G40" i="39"/>
  <c r="K39" i="39"/>
  <c r="L39" i="39" s="1"/>
  <c r="N39" i="39" s="1"/>
  <c r="H39" i="39"/>
  <c r="O39" i="39" s="1"/>
  <c r="G39" i="39"/>
  <c r="K38" i="39"/>
  <c r="K36" i="39"/>
  <c r="L36" i="39" s="1"/>
  <c r="N36" i="39" s="1"/>
  <c r="G36" i="39"/>
  <c r="H36" i="39" s="1"/>
  <c r="O36" i="39" s="1"/>
  <c r="K35" i="39"/>
  <c r="L35" i="39" s="1"/>
  <c r="G35" i="39"/>
  <c r="H35" i="39" s="1"/>
  <c r="O35" i="39" s="1"/>
  <c r="K34" i="39"/>
  <c r="L34" i="39" s="1"/>
  <c r="N34" i="39" s="1"/>
  <c r="G34" i="39"/>
  <c r="H34" i="39" s="1"/>
  <c r="O34" i="39" s="1"/>
  <c r="K33" i="39"/>
  <c r="L33" i="39" s="1"/>
  <c r="G33" i="39"/>
  <c r="H33" i="39" s="1"/>
  <c r="O33" i="39" s="1"/>
  <c r="K32" i="39"/>
  <c r="L32" i="39" s="1"/>
  <c r="N32" i="39" s="1"/>
  <c r="G32" i="39"/>
  <c r="H32" i="39" s="1"/>
  <c r="O32" i="39" s="1"/>
  <c r="K31" i="39"/>
  <c r="L31" i="39" s="1"/>
  <c r="G31" i="39"/>
  <c r="H31" i="39" s="1"/>
  <c r="O31" i="39" s="1"/>
  <c r="K30" i="39"/>
  <c r="L30" i="39" s="1"/>
  <c r="N30" i="39" s="1"/>
  <c r="G30" i="39"/>
  <c r="H30" i="39" s="1"/>
  <c r="O30" i="39" s="1"/>
  <c r="K29" i="39"/>
  <c r="L29" i="39" s="1"/>
  <c r="G29" i="39"/>
  <c r="H29" i="39" s="1"/>
  <c r="O29" i="39" s="1"/>
  <c r="K28" i="39"/>
  <c r="L28" i="39" s="1"/>
  <c r="N28" i="39" s="1"/>
  <c r="G28" i="39"/>
  <c r="H28" i="39" s="1"/>
  <c r="O28" i="39" s="1"/>
  <c r="K27" i="39"/>
  <c r="G27" i="39"/>
  <c r="K26" i="39"/>
  <c r="H26" i="39"/>
  <c r="O26" i="39" s="1"/>
  <c r="G26" i="39"/>
  <c r="K25" i="39"/>
  <c r="L25" i="39" s="1"/>
  <c r="N25" i="39" s="1"/>
  <c r="H25" i="39"/>
  <c r="G25" i="39"/>
  <c r="O24" i="39"/>
  <c r="L24" i="39"/>
  <c r="N24" i="39" s="1"/>
  <c r="H24" i="39"/>
  <c r="O23" i="39"/>
  <c r="L23" i="39"/>
  <c r="N23" i="39" s="1"/>
  <c r="H23" i="39"/>
  <c r="O22" i="39"/>
  <c r="L22" i="39"/>
  <c r="N22" i="39" s="1"/>
  <c r="H22" i="39"/>
  <c r="H21" i="39"/>
  <c r="K47" i="38"/>
  <c r="K48" i="38" s="1"/>
  <c r="G47" i="38"/>
  <c r="G48" i="38" s="1"/>
  <c r="H48" i="38" s="1"/>
  <c r="K47" i="36"/>
  <c r="G47" i="36"/>
  <c r="K47" i="13"/>
  <c r="G47" i="13"/>
  <c r="K58" i="38"/>
  <c r="L58" i="38" s="1"/>
  <c r="N58" i="38" s="1"/>
  <c r="H58" i="38"/>
  <c r="O58" i="38" s="1"/>
  <c r="L57" i="38"/>
  <c r="N57" i="38" s="1"/>
  <c r="K57" i="38"/>
  <c r="H57" i="38"/>
  <c r="O57" i="38" s="1"/>
  <c r="O56" i="38"/>
  <c r="N56" i="38"/>
  <c r="L56" i="38"/>
  <c r="H56" i="38"/>
  <c r="O55" i="38"/>
  <c r="N55" i="38"/>
  <c r="L55" i="38"/>
  <c r="H55" i="38"/>
  <c r="G54" i="38"/>
  <c r="K54" i="38" s="1"/>
  <c r="L54" i="38" s="1"/>
  <c r="K53" i="38"/>
  <c r="L53" i="38" s="1"/>
  <c r="G53" i="38"/>
  <c r="H53" i="38" s="1"/>
  <c r="N52" i="38"/>
  <c r="O52" i="38" s="1"/>
  <c r="L52" i="38"/>
  <c r="H52" i="38"/>
  <c r="K50" i="38"/>
  <c r="L50" i="38" s="1"/>
  <c r="G50" i="38"/>
  <c r="H50" i="38" s="1"/>
  <c r="L45" i="38"/>
  <c r="N45" i="38" s="1"/>
  <c r="H45" i="38"/>
  <c r="K44" i="38"/>
  <c r="L44" i="38" s="1"/>
  <c r="J44" i="38"/>
  <c r="G44" i="38"/>
  <c r="H44" i="38" s="1"/>
  <c r="F44" i="38"/>
  <c r="K43" i="38"/>
  <c r="G43" i="38"/>
  <c r="H43" i="38" s="1"/>
  <c r="K42" i="38"/>
  <c r="G42" i="38"/>
  <c r="H42" i="38" s="1"/>
  <c r="L41" i="38"/>
  <c r="K41" i="38"/>
  <c r="G41" i="38"/>
  <c r="H41" i="38" s="1"/>
  <c r="O41" i="38" s="1"/>
  <c r="K40" i="38"/>
  <c r="L40" i="38" s="1"/>
  <c r="H40" i="38"/>
  <c r="O40" i="38" s="1"/>
  <c r="G40" i="38"/>
  <c r="K39" i="38"/>
  <c r="K37" i="38"/>
  <c r="L37" i="38" s="1"/>
  <c r="N37" i="38" s="1"/>
  <c r="G37" i="38"/>
  <c r="H37" i="38" s="1"/>
  <c r="O37" i="38" s="1"/>
  <c r="K36" i="38"/>
  <c r="L36" i="38" s="1"/>
  <c r="G36" i="38"/>
  <c r="H36" i="38" s="1"/>
  <c r="O36" i="38" s="1"/>
  <c r="K35" i="38"/>
  <c r="L35" i="38" s="1"/>
  <c r="G35" i="38"/>
  <c r="H35" i="38" s="1"/>
  <c r="O35" i="38" s="1"/>
  <c r="K34" i="38"/>
  <c r="L34" i="38" s="1"/>
  <c r="G34" i="38"/>
  <c r="H34" i="38" s="1"/>
  <c r="O34" i="38" s="1"/>
  <c r="K33" i="38"/>
  <c r="L33" i="38" s="1"/>
  <c r="G33" i="38"/>
  <c r="H33" i="38" s="1"/>
  <c r="O33" i="38" s="1"/>
  <c r="K32" i="38"/>
  <c r="L32" i="38" s="1"/>
  <c r="G32" i="38"/>
  <c r="H32" i="38" s="1"/>
  <c r="O32" i="38" s="1"/>
  <c r="K31" i="38"/>
  <c r="L31" i="38" s="1"/>
  <c r="G31" i="38"/>
  <c r="H31" i="38" s="1"/>
  <c r="O31" i="38" s="1"/>
  <c r="K30" i="38"/>
  <c r="L30" i="38" s="1"/>
  <c r="G30" i="38"/>
  <c r="H30" i="38" s="1"/>
  <c r="O30" i="38" s="1"/>
  <c r="K29" i="38"/>
  <c r="L29" i="38" s="1"/>
  <c r="G29" i="38"/>
  <c r="H29" i="38" s="1"/>
  <c r="O29" i="38" s="1"/>
  <c r="K28" i="38"/>
  <c r="G28" i="38"/>
  <c r="G39" i="38" s="1"/>
  <c r="H39" i="38" s="1"/>
  <c r="H28" i="38"/>
  <c r="K27" i="38"/>
  <c r="G27" i="38"/>
  <c r="H27" i="38" s="1"/>
  <c r="O27" i="38" s="1"/>
  <c r="K26" i="38"/>
  <c r="L26" i="38" s="1"/>
  <c r="G26" i="38"/>
  <c r="H26" i="38" s="1"/>
  <c r="O24" i="38"/>
  <c r="L24" i="38"/>
  <c r="N24" i="38" s="1"/>
  <c r="H24" i="38"/>
  <c r="O23" i="38"/>
  <c r="L23" i="38"/>
  <c r="N23" i="38" s="1"/>
  <c r="H23" i="38"/>
  <c r="O22" i="38"/>
  <c r="L22" i="38"/>
  <c r="N22" i="38" s="1"/>
  <c r="H22" i="38"/>
  <c r="H21" i="38"/>
  <c r="O27" i="28"/>
  <c r="L47" i="39" l="1"/>
  <c r="L48" i="38"/>
  <c r="N48" i="38" s="1"/>
  <c r="O48" i="38" s="1"/>
  <c r="O52" i="40"/>
  <c r="N52" i="40"/>
  <c r="N30" i="38"/>
  <c r="N34" i="38"/>
  <c r="N29" i="38"/>
  <c r="N31" i="38"/>
  <c r="N33" i="38"/>
  <c r="N35" i="38"/>
  <c r="N32" i="38"/>
  <c r="N36" i="38"/>
  <c r="G51" i="38"/>
  <c r="H51" i="38" s="1"/>
  <c r="L48" i="40"/>
  <c r="H27" i="39"/>
  <c r="N26" i="40"/>
  <c r="N40" i="40"/>
  <c r="N41" i="40"/>
  <c r="L47" i="40"/>
  <c r="N47" i="40" s="1"/>
  <c r="O47" i="40" s="1"/>
  <c r="N53" i="40"/>
  <c r="N29" i="40"/>
  <c r="N31" i="40"/>
  <c r="N33" i="40"/>
  <c r="N35" i="40"/>
  <c r="N37" i="40"/>
  <c r="K57" i="40"/>
  <c r="L57" i="40" s="1"/>
  <c r="N57" i="40" s="1"/>
  <c r="O57" i="40" s="1"/>
  <c r="G51" i="40"/>
  <c r="H51" i="40" s="1"/>
  <c r="H38" i="40"/>
  <c r="N30" i="40"/>
  <c r="N32" i="40"/>
  <c r="N34" i="40"/>
  <c r="N36" i="40"/>
  <c r="N50" i="40"/>
  <c r="O50" i="40" s="1"/>
  <c r="N54" i="40"/>
  <c r="O54" i="40" s="1"/>
  <c r="O26" i="40"/>
  <c r="O53" i="40"/>
  <c r="K51" i="40"/>
  <c r="L51" i="40" s="1"/>
  <c r="K58" i="40"/>
  <c r="G48" i="40"/>
  <c r="H48" i="40" s="1"/>
  <c r="F44" i="40"/>
  <c r="H44" i="40" s="1"/>
  <c r="G50" i="39"/>
  <c r="H50" i="39" s="1"/>
  <c r="G38" i="39"/>
  <c r="H38" i="39" s="1"/>
  <c r="K56" i="39"/>
  <c r="L56" i="39" s="1"/>
  <c r="N56" i="39" s="1"/>
  <c r="O56" i="39" s="1"/>
  <c r="N52" i="39"/>
  <c r="O52" i="39" s="1"/>
  <c r="N29" i="39"/>
  <c r="N31" i="39"/>
  <c r="N33" i="39"/>
  <c r="N35" i="39"/>
  <c r="O25" i="39"/>
  <c r="N46" i="39"/>
  <c r="O46" i="39" s="1"/>
  <c r="N49" i="39"/>
  <c r="O49" i="39" s="1"/>
  <c r="K50" i="39"/>
  <c r="L50" i="39" s="1"/>
  <c r="K53" i="39"/>
  <c r="L53" i="39" s="1"/>
  <c r="K57" i="39"/>
  <c r="G47" i="39"/>
  <c r="H47" i="39" s="1"/>
  <c r="F43" i="39"/>
  <c r="H43" i="39" s="1"/>
  <c r="H38" i="38"/>
  <c r="H46" i="38" s="1"/>
  <c r="N41" i="38"/>
  <c r="N40" i="38"/>
  <c r="L47" i="38"/>
  <c r="N53" i="38"/>
  <c r="O53" i="38" s="1"/>
  <c r="N26" i="38"/>
  <c r="O26" i="38" s="1"/>
  <c r="N44" i="38"/>
  <c r="O44" i="38" s="1"/>
  <c r="N50" i="38"/>
  <c r="O50" i="38" s="1"/>
  <c r="H47" i="38"/>
  <c r="H54" i="38"/>
  <c r="N54" i="38" s="1"/>
  <c r="K51" i="38"/>
  <c r="L51" i="38" s="1"/>
  <c r="N51" i="38" s="1"/>
  <c r="O51" i="38" s="1"/>
  <c r="H21" i="37"/>
  <c r="H27" i="37"/>
  <c r="H21" i="14"/>
  <c r="H21" i="35"/>
  <c r="H28" i="35"/>
  <c r="H21" i="34"/>
  <c r="H28" i="34"/>
  <c r="H21" i="33"/>
  <c r="H28" i="33"/>
  <c r="H21" i="32"/>
  <c r="H28" i="32"/>
  <c r="H21" i="8"/>
  <c r="H28" i="8"/>
  <c r="H21" i="31"/>
  <c r="H28" i="31"/>
  <c r="H21" i="30"/>
  <c r="H28" i="30"/>
  <c r="H21" i="29"/>
  <c r="H28" i="29"/>
  <c r="H21" i="28"/>
  <c r="H28" i="28"/>
  <c r="H21" i="27"/>
  <c r="H28" i="27"/>
  <c r="H21" i="26"/>
  <c r="H28" i="26"/>
  <c r="H21" i="1"/>
  <c r="H28" i="1"/>
  <c r="H21" i="17"/>
  <c r="H27" i="17"/>
  <c r="L41" i="17"/>
  <c r="N41" i="17" s="1"/>
  <c r="H21" i="25"/>
  <c r="H27" i="25"/>
  <c r="H21" i="16"/>
  <c r="H28" i="16"/>
  <c r="G53" i="37"/>
  <c r="H53" i="37" s="1"/>
  <c r="G27" i="37"/>
  <c r="G38" i="37"/>
  <c r="H38" i="37"/>
  <c r="G39" i="37"/>
  <c r="H39" i="37" s="1"/>
  <c r="O39" i="37" s="1"/>
  <c r="G40" i="37"/>
  <c r="H40" i="37"/>
  <c r="O40" i="37" s="1"/>
  <c r="G41" i="37"/>
  <c r="H41" i="37" s="1"/>
  <c r="G42" i="37"/>
  <c r="H42" i="37"/>
  <c r="G43" i="37"/>
  <c r="G57" i="37"/>
  <c r="F43" i="37"/>
  <c r="H43" i="37"/>
  <c r="H44" i="37"/>
  <c r="H22" i="37"/>
  <c r="H23" i="37"/>
  <c r="H24" i="37"/>
  <c r="N24" i="37" s="1"/>
  <c r="G25" i="37"/>
  <c r="H25" i="37"/>
  <c r="G26" i="37"/>
  <c r="H26" i="37"/>
  <c r="O26" i="37" s="1"/>
  <c r="G28" i="37"/>
  <c r="H28" i="37"/>
  <c r="G29" i="37"/>
  <c r="H29" i="37"/>
  <c r="O29" i="37" s="1"/>
  <c r="G30" i="37"/>
  <c r="H30" i="37"/>
  <c r="G31" i="37"/>
  <c r="H31" i="37"/>
  <c r="O31" i="37" s="1"/>
  <c r="G32" i="37"/>
  <c r="H32" i="37"/>
  <c r="G33" i="37"/>
  <c r="H33" i="37"/>
  <c r="O33" i="37" s="1"/>
  <c r="G34" i="37"/>
  <c r="H34" i="37"/>
  <c r="G35" i="37"/>
  <c r="H35" i="37"/>
  <c r="O35" i="37" s="1"/>
  <c r="G36" i="37"/>
  <c r="H36" i="37"/>
  <c r="G46" i="37"/>
  <c r="G47" i="37" s="1"/>
  <c r="H47" i="37" s="1"/>
  <c r="H46" i="37"/>
  <c r="G49" i="37"/>
  <c r="G50" i="37" s="1"/>
  <c r="H50" i="37" s="1"/>
  <c r="H49" i="37"/>
  <c r="H51" i="37"/>
  <c r="G52" i="37"/>
  <c r="H52" i="37" s="1"/>
  <c r="K38" i="37"/>
  <c r="K39" i="37"/>
  <c r="L39" i="37"/>
  <c r="K40" i="37"/>
  <c r="L40" i="37"/>
  <c r="N40" i="37" s="1"/>
  <c r="K41" i="37"/>
  <c r="K42" i="37"/>
  <c r="K43" i="37"/>
  <c r="K57" i="37"/>
  <c r="J43" i="37" s="1"/>
  <c r="L44" i="37"/>
  <c r="L22" i="37"/>
  <c r="L23" i="37"/>
  <c r="N23" i="37" s="1"/>
  <c r="L24" i="37"/>
  <c r="K25" i="37"/>
  <c r="L25" i="37"/>
  <c r="K26" i="37"/>
  <c r="K27" i="37"/>
  <c r="K28" i="37"/>
  <c r="L28" i="37"/>
  <c r="N28" i="37" s="1"/>
  <c r="K29" i="37"/>
  <c r="L29" i="37" s="1"/>
  <c r="N29" i="37" s="1"/>
  <c r="K30" i="37"/>
  <c r="L30" i="37"/>
  <c r="N30" i="37" s="1"/>
  <c r="K31" i="37"/>
  <c r="L31" i="37" s="1"/>
  <c r="N31" i="37" s="1"/>
  <c r="K32" i="37"/>
  <c r="L32" i="37"/>
  <c r="N32" i="37" s="1"/>
  <c r="K33" i="37"/>
  <c r="L33" i="37" s="1"/>
  <c r="N33" i="37" s="1"/>
  <c r="K34" i="37"/>
  <c r="L34" i="37"/>
  <c r="N34" i="37" s="1"/>
  <c r="K35" i="37"/>
  <c r="L35" i="37" s="1"/>
  <c r="N35" i="37" s="1"/>
  <c r="K36" i="37"/>
  <c r="L36" i="37"/>
  <c r="N36" i="37" s="1"/>
  <c r="K46" i="37"/>
  <c r="L46" i="37" s="1"/>
  <c r="N46" i="37" s="1"/>
  <c r="O46" i="37" s="1"/>
  <c r="K49" i="37"/>
  <c r="L49" i="37" s="1"/>
  <c r="L51" i="37"/>
  <c r="K52" i="37"/>
  <c r="L52" i="37"/>
  <c r="N52" i="37" s="1"/>
  <c r="H54" i="37"/>
  <c r="H55" i="37"/>
  <c r="L54" i="37"/>
  <c r="N54" i="37" s="1"/>
  <c r="L55" i="37"/>
  <c r="H57" i="37"/>
  <c r="G56" i="37"/>
  <c r="H56" i="37" s="1"/>
  <c r="K56" i="37"/>
  <c r="L56" i="37"/>
  <c r="N56" i="37" s="1"/>
  <c r="O55" i="37"/>
  <c r="N55" i="37"/>
  <c r="O54" i="37"/>
  <c r="N51" i="37"/>
  <c r="O51" i="37"/>
  <c r="N44" i="37"/>
  <c r="O36" i="37"/>
  <c r="O34" i="37"/>
  <c r="O32" i="37"/>
  <c r="O30" i="37"/>
  <c r="O28" i="37"/>
  <c r="N25" i="37"/>
  <c r="O25" i="37" s="1"/>
  <c r="O23" i="37"/>
  <c r="O22" i="37"/>
  <c r="N22" i="37"/>
  <c r="H21" i="36"/>
  <c r="H28" i="36"/>
  <c r="H21" i="13"/>
  <c r="H28" i="13"/>
  <c r="G54" i="36"/>
  <c r="H54" i="36"/>
  <c r="G28" i="36"/>
  <c r="G39" i="36"/>
  <c r="H39" i="36"/>
  <c r="G40" i="36"/>
  <c r="H40" i="36"/>
  <c r="G41" i="36"/>
  <c r="H41" i="36"/>
  <c r="G42" i="36"/>
  <c r="H42" i="36"/>
  <c r="G43" i="36"/>
  <c r="H43" i="36"/>
  <c r="G44" i="36"/>
  <c r="F44" i="36"/>
  <c r="H44" i="36"/>
  <c r="H45" i="36"/>
  <c r="H22" i="36"/>
  <c r="H23" i="36"/>
  <c r="H24" i="36"/>
  <c r="G26" i="36"/>
  <c r="H26" i="36"/>
  <c r="G27" i="36"/>
  <c r="H27" i="36"/>
  <c r="G29" i="36"/>
  <c r="H29" i="36"/>
  <c r="G30" i="36"/>
  <c r="H30" i="36"/>
  <c r="G31" i="36"/>
  <c r="H31" i="36"/>
  <c r="G32" i="36"/>
  <c r="H32" i="36"/>
  <c r="G33" i="36"/>
  <c r="H33" i="36"/>
  <c r="G34" i="36"/>
  <c r="H34" i="36"/>
  <c r="G35" i="36"/>
  <c r="H35" i="36"/>
  <c r="G36" i="36"/>
  <c r="H36" i="36"/>
  <c r="G37" i="36"/>
  <c r="H37" i="36"/>
  <c r="H47" i="36"/>
  <c r="G48" i="36"/>
  <c r="H48" i="36" s="1"/>
  <c r="G50" i="36"/>
  <c r="H50" i="36"/>
  <c r="G51" i="36"/>
  <c r="H51" i="36"/>
  <c r="H52" i="36"/>
  <c r="G53" i="36"/>
  <c r="H53" i="36"/>
  <c r="K54" i="36"/>
  <c r="L54" i="36"/>
  <c r="K39" i="36"/>
  <c r="K40" i="36"/>
  <c r="L40" i="36"/>
  <c r="K41" i="36"/>
  <c r="L41" i="36"/>
  <c r="N41" i="36" s="1"/>
  <c r="K42" i="36"/>
  <c r="K43" i="36"/>
  <c r="K44" i="36"/>
  <c r="L44" i="36" s="1"/>
  <c r="N44" i="36" s="1"/>
  <c r="O44" i="36" s="1"/>
  <c r="K58" i="36"/>
  <c r="J44" i="36"/>
  <c r="L45" i="36"/>
  <c r="L22" i="36"/>
  <c r="L23" i="36"/>
  <c r="L24" i="36"/>
  <c r="K26" i="36"/>
  <c r="L26" i="36"/>
  <c r="K27" i="36"/>
  <c r="K28" i="36"/>
  <c r="K29" i="36"/>
  <c r="L29" i="36"/>
  <c r="K30" i="36"/>
  <c r="L30" i="36"/>
  <c r="K31" i="36"/>
  <c r="L31" i="36"/>
  <c r="K32" i="36"/>
  <c r="L32" i="36"/>
  <c r="K33" i="36"/>
  <c r="L33" i="36"/>
  <c r="K34" i="36"/>
  <c r="L34" i="36"/>
  <c r="K35" i="36"/>
  <c r="L35" i="36"/>
  <c r="K36" i="36"/>
  <c r="L36" i="36"/>
  <c r="K37" i="36"/>
  <c r="L37" i="36"/>
  <c r="L47" i="36"/>
  <c r="K48" i="36"/>
  <c r="K50" i="36"/>
  <c r="K51" i="36" s="1"/>
  <c r="L51" i="36" s="1"/>
  <c r="N51" i="36" s="1"/>
  <c r="O51" i="36" s="1"/>
  <c r="L52" i="36"/>
  <c r="K53" i="36"/>
  <c r="L53" i="36"/>
  <c r="H55" i="36"/>
  <c r="H56" i="36"/>
  <c r="L55" i="36"/>
  <c r="L56" i="36"/>
  <c r="H58" i="36"/>
  <c r="O58" i="36"/>
  <c r="L58" i="36"/>
  <c r="N58" i="36"/>
  <c r="H57" i="36"/>
  <c r="O57" i="36"/>
  <c r="K57" i="36"/>
  <c r="L57" i="36"/>
  <c r="N57" i="36"/>
  <c r="O56" i="36"/>
  <c r="N56" i="36"/>
  <c r="O55" i="36"/>
  <c r="N55" i="36"/>
  <c r="N54" i="36"/>
  <c r="O54" i="36"/>
  <c r="N53" i="36"/>
  <c r="O53" i="36"/>
  <c r="N52" i="36"/>
  <c r="O52" i="36"/>
  <c r="N45" i="36"/>
  <c r="O41" i="36"/>
  <c r="O40" i="36"/>
  <c r="N40" i="36"/>
  <c r="O37" i="36"/>
  <c r="N37" i="36"/>
  <c r="O36" i="36"/>
  <c r="N36" i="36"/>
  <c r="O35" i="36"/>
  <c r="N35" i="36"/>
  <c r="O34" i="36"/>
  <c r="N34" i="36"/>
  <c r="O33" i="36"/>
  <c r="N33" i="36"/>
  <c r="O32" i="36"/>
  <c r="N32" i="36"/>
  <c r="O31" i="36"/>
  <c r="N31" i="36"/>
  <c r="O30" i="36"/>
  <c r="N30" i="36"/>
  <c r="O29" i="36"/>
  <c r="N29" i="36"/>
  <c r="O27" i="36"/>
  <c r="N26" i="36"/>
  <c r="O26" i="36"/>
  <c r="O24" i="36"/>
  <c r="N24" i="36"/>
  <c r="O23" i="36"/>
  <c r="N23" i="36"/>
  <c r="O22" i="36"/>
  <c r="N22" i="36"/>
  <c r="G58" i="35"/>
  <c r="H58" i="35"/>
  <c r="G59" i="35"/>
  <c r="H59" i="35"/>
  <c r="H39" i="35"/>
  <c r="G40" i="35"/>
  <c r="H40" i="35"/>
  <c r="G41" i="35"/>
  <c r="H41" i="35"/>
  <c r="G42" i="35"/>
  <c r="H42" i="35"/>
  <c r="G43" i="35"/>
  <c r="H43" i="35"/>
  <c r="G44" i="35"/>
  <c r="H44" i="35"/>
  <c r="G45" i="35"/>
  <c r="F45" i="35"/>
  <c r="H45" i="35"/>
  <c r="H46" i="35"/>
  <c r="H22" i="35"/>
  <c r="H23" i="35"/>
  <c r="H24" i="35"/>
  <c r="G26" i="35"/>
  <c r="H26" i="35"/>
  <c r="G27" i="35"/>
  <c r="H27" i="35"/>
  <c r="G28" i="35"/>
  <c r="G29" i="35"/>
  <c r="H29" i="35"/>
  <c r="G30" i="35"/>
  <c r="H30" i="35"/>
  <c r="G31" i="35"/>
  <c r="H31" i="35"/>
  <c r="G32" i="35"/>
  <c r="H32" i="35"/>
  <c r="G33" i="35"/>
  <c r="H33" i="35"/>
  <c r="G34" i="35"/>
  <c r="H34" i="35"/>
  <c r="G35" i="35"/>
  <c r="H35" i="35"/>
  <c r="G36" i="35"/>
  <c r="H36" i="35"/>
  <c r="G37" i="35"/>
  <c r="H37" i="35"/>
  <c r="G48" i="35"/>
  <c r="H48" i="35"/>
  <c r="G49" i="35"/>
  <c r="H49" i="35"/>
  <c r="G51" i="35"/>
  <c r="H51" i="35"/>
  <c r="G52" i="35"/>
  <c r="H52" i="35"/>
  <c r="H53" i="35"/>
  <c r="G54" i="35"/>
  <c r="H54" i="35"/>
  <c r="K58" i="35"/>
  <c r="L58" i="35"/>
  <c r="K59" i="35"/>
  <c r="L59" i="35"/>
  <c r="L39" i="35"/>
  <c r="K40" i="35"/>
  <c r="K41" i="35"/>
  <c r="L41" i="35"/>
  <c r="K42" i="35"/>
  <c r="L42" i="35"/>
  <c r="K43" i="35"/>
  <c r="L43" i="35"/>
  <c r="K44" i="35"/>
  <c r="K45" i="35"/>
  <c r="L45" i="35" s="1"/>
  <c r="N45" i="35" s="1"/>
  <c r="O45" i="35" s="1"/>
  <c r="J45" i="35"/>
  <c r="L46" i="35"/>
  <c r="L22" i="35"/>
  <c r="L23" i="35"/>
  <c r="L24" i="35"/>
  <c r="N24" i="35" s="1"/>
  <c r="K26" i="35"/>
  <c r="L26" i="35"/>
  <c r="K27" i="35"/>
  <c r="K28" i="35"/>
  <c r="K29" i="35"/>
  <c r="L29" i="35"/>
  <c r="N29" i="35" s="1"/>
  <c r="K30" i="35"/>
  <c r="L30" i="35"/>
  <c r="K31" i="35"/>
  <c r="L31" i="35"/>
  <c r="N31" i="35" s="1"/>
  <c r="K32" i="35"/>
  <c r="L32" i="35"/>
  <c r="K33" i="35"/>
  <c r="L33" i="35"/>
  <c r="N33" i="35" s="1"/>
  <c r="K34" i="35"/>
  <c r="L34" i="35"/>
  <c r="K35" i="35"/>
  <c r="L35" i="35"/>
  <c r="N35" i="35" s="1"/>
  <c r="K36" i="35"/>
  <c r="L36" i="35"/>
  <c r="K37" i="35"/>
  <c r="L37" i="35"/>
  <c r="N37" i="35" s="1"/>
  <c r="K48" i="35"/>
  <c r="K49" i="35" s="1"/>
  <c r="L53" i="35"/>
  <c r="K54" i="35"/>
  <c r="L54" i="35"/>
  <c r="G55" i="35"/>
  <c r="H55" i="35"/>
  <c r="G56" i="35"/>
  <c r="H56" i="35"/>
  <c r="G57" i="35"/>
  <c r="H57" i="35"/>
  <c r="K55" i="35"/>
  <c r="L55" i="35"/>
  <c r="K56" i="35"/>
  <c r="L56" i="35"/>
  <c r="K57" i="35"/>
  <c r="L57" i="35"/>
  <c r="N59" i="35"/>
  <c r="O59" i="35"/>
  <c r="N58" i="35"/>
  <c r="O58" i="35"/>
  <c r="N57" i="35"/>
  <c r="O57" i="35"/>
  <c r="N56" i="35"/>
  <c r="O56" i="35"/>
  <c r="N55" i="35"/>
  <c r="O55" i="35"/>
  <c r="N54" i="35"/>
  <c r="O54" i="35"/>
  <c r="N53" i="35"/>
  <c r="O53" i="35"/>
  <c r="N46" i="35"/>
  <c r="O43" i="35"/>
  <c r="N43" i="35"/>
  <c r="O42" i="35"/>
  <c r="N42" i="35"/>
  <c r="O41" i="35"/>
  <c r="N41" i="35"/>
  <c r="O39" i="35"/>
  <c r="N39" i="35"/>
  <c r="O37" i="35"/>
  <c r="O36" i="35"/>
  <c r="N36" i="35"/>
  <c r="O35" i="35"/>
  <c r="O34" i="35"/>
  <c r="N34" i="35"/>
  <c r="O33" i="35"/>
  <c r="O32" i="35"/>
  <c r="N32" i="35"/>
  <c r="O31" i="35"/>
  <c r="O30" i="35"/>
  <c r="N30" i="35"/>
  <c r="O29" i="35"/>
  <c r="O27" i="35"/>
  <c r="N26" i="35"/>
  <c r="O26" i="35"/>
  <c r="O24" i="35"/>
  <c r="N23" i="35"/>
  <c r="O23" i="35"/>
  <c r="N22" i="35"/>
  <c r="O22" i="35"/>
  <c r="G58" i="34"/>
  <c r="H58" i="34"/>
  <c r="G59" i="34"/>
  <c r="H59" i="34"/>
  <c r="H39" i="34"/>
  <c r="G40" i="34"/>
  <c r="H40" i="34"/>
  <c r="G41" i="34"/>
  <c r="H41" i="34"/>
  <c r="G42" i="34"/>
  <c r="H42" i="34"/>
  <c r="G43" i="34"/>
  <c r="H43" i="34"/>
  <c r="G44" i="34"/>
  <c r="H44" i="34"/>
  <c r="G45" i="34"/>
  <c r="F45" i="34"/>
  <c r="H45" i="34"/>
  <c r="H46" i="34"/>
  <c r="H22" i="34"/>
  <c r="H23" i="34"/>
  <c r="H24" i="34"/>
  <c r="G26" i="34"/>
  <c r="H26" i="34"/>
  <c r="G27" i="34"/>
  <c r="H27" i="34"/>
  <c r="G28" i="34"/>
  <c r="G29" i="34"/>
  <c r="H29" i="34"/>
  <c r="G30" i="34"/>
  <c r="H30" i="34"/>
  <c r="G31" i="34"/>
  <c r="H31" i="34"/>
  <c r="G32" i="34"/>
  <c r="H32" i="34"/>
  <c r="G33" i="34"/>
  <c r="H33" i="34"/>
  <c r="G34" i="34"/>
  <c r="H34" i="34"/>
  <c r="G35" i="34"/>
  <c r="H35" i="34"/>
  <c r="G36" i="34"/>
  <c r="H36" i="34"/>
  <c r="G37" i="34"/>
  <c r="H37" i="34"/>
  <c r="G48" i="34"/>
  <c r="H48" i="34"/>
  <c r="G49" i="34"/>
  <c r="H49" i="34"/>
  <c r="G51" i="34"/>
  <c r="H51" i="34"/>
  <c r="G52" i="34"/>
  <c r="H52" i="34"/>
  <c r="H53" i="34"/>
  <c r="G54" i="34"/>
  <c r="H54" i="34"/>
  <c r="K58" i="34"/>
  <c r="L58" i="34"/>
  <c r="K59" i="34"/>
  <c r="L59" i="34"/>
  <c r="L39" i="34"/>
  <c r="N39" i="34" s="1"/>
  <c r="K40" i="34"/>
  <c r="K41" i="34"/>
  <c r="L41" i="34"/>
  <c r="K42" i="34"/>
  <c r="L42" i="34"/>
  <c r="K43" i="34"/>
  <c r="L43" i="34"/>
  <c r="K44" i="34"/>
  <c r="K45" i="34"/>
  <c r="L45" i="34" s="1"/>
  <c r="N45" i="34" s="1"/>
  <c r="O45" i="34" s="1"/>
  <c r="J45" i="34"/>
  <c r="L46" i="34"/>
  <c r="L22" i="34"/>
  <c r="L23" i="34"/>
  <c r="L24" i="34"/>
  <c r="N24" i="34" s="1"/>
  <c r="K26" i="34"/>
  <c r="L26" i="34"/>
  <c r="K27" i="34"/>
  <c r="K28" i="34"/>
  <c r="K29" i="34"/>
  <c r="L29" i="34"/>
  <c r="K30" i="34"/>
  <c r="L30" i="34"/>
  <c r="N30" i="34" s="1"/>
  <c r="K31" i="34"/>
  <c r="L31" i="34"/>
  <c r="K32" i="34"/>
  <c r="L32" i="34"/>
  <c r="N32" i="34" s="1"/>
  <c r="K33" i="34"/>
  <c r="L33" i="34"/>
  <c r="K34" i="34"/>
  <c r="L34" i="34"/>
  <c r="N34" i="34" s="1"/>
  <c r="K35" i="34"/>
  <c r="L35" i="34"/>
  <c r="K36" i="34"/>
  <c r="L36" i="34"/>
  <c r="N36" i="34" s="1"/>
  <c r="K37" i="34"/>
  <c r="L37" i="34"/>
  <c r="K48" i="34"/>
  <c r="K49" i="34" s="1"/>
  <c r="L53" i="34"/>
  <c r="K54" i="34"/>
  <c r="L54" i="34"/>
  <c r="G55" i="34"/>
  <c r="H55" i="34"/>
  <c r="G56" i="34"/>
  <c r="H56" i="34"/>
  <c r="G57" i="34"/>
  <c r="H57" i="34"/>
  <c r="K55" i="34"/>
  <c r="L55" i="34"/>
  <c r="K56" i="34"/>
  <c r="L56" i="34"/>
  <c r="K57" i="34"/>
  <c r="L57" i="34"/>
  <c r="N59" i="34"/>
  <c r="O59" i="34"/>
  <c r="N58" i="34"/>
  <c r="O58" i="34"/>
  <c r="N57" i="34"/>
  <c r="O57" i="34"/>
  <c r="N56" i="34"/>
  <c r="O56" i="34"/>
  <c r="N55" i="34"/>
  <c r="O55" i="34"/>
  <c r="N54" i="34"/>
  <c r="O54" i="34"/>
  <c r="N53" i="34"/>
  <c r="O53" i="34"/>
  <c r="N46" i="34"/>
  <c r="O43" i="34"/>
  <c r="N43" i="34"/>
  <c r="O42" i="34"/>
  <c r="N42" i="34"/>
  <c r="O41" i="34"/>
  <c r="N41" i="34"/>
  <c r="O39" i="34"/>
  <c r="O37" i="34"/>
  <c r="N37" i="34"/>
  <c r="O36" i="34"/>
  <c r="O35" i="34"/>
  <c r="N35" i="34"/>
  <c r="O34" i="34"/>
  <c r="O33" i="34"/>
  <c r="N33" i="34"/>
  <c r="O32" i="34"/>
  <c r="O31" i="34"/>
  <c r="N31" i="34"/>
  <c r="O30" i="34"/>
  <c r="O29" i="34"/>
  <c r="N29" i="34"/>
  <c r="O27" i="34"/>
  <c r="N26" i="34"/>
  <c r="O26" i="34"/>
  <c r="O24" i="34"/>
  <c r="N23" i="34"/>
  <c r="O23" i="34"/>
  <c r="N22" i="34"/>
  <c r="O22" i="34"/>
  <c r="G58" i="33"/>
  <c r="H58" i="33"/>
  <c r="G59" i="33"/>
  <c r="H59" i="33"/>
  <c r="H39" i="33"/>
  <c r="G40" i="33"/>
  <c r="H40" i="33"/>
  <c r="G41" i="33"/>
  <c r="H41" i="33"/>
  <c r="G42" i="33"/>
  <c r="H42" i="33"/>
  <c r="G43" i="33"/>
  <c r="H43" i="33"/>
  <c r="G44" i="33"/>
  <c r="H44" i="33"/>
  <c r="G45" i="33"/>
  <c r="F45" i="33"/>
  <c r="H45" i="33"/>
  <c r="H46" i="33"/>
  <c r="H22" i="33"/>
  <c r="H23" i="33"/>
  <c r="H24" i="33"/>
  <c r="G26" i="33"/>
  <c r="H26" i="33"/>
  <c r="G27" i="33"/>
  <c r="H27" i="33"/>
  <c r="G28" i="33"/>
  <c r="G29" i="33"/>
  <c r="H29" i="33"/>
  <c r="G30" i="33"/>
  <c r="H30" i="33"/>
  <c r="G31" i="33"/>
  <c r="H31" i="33"/>
  <c r="G32" i="33"/>
  <c r="H32" i="33"/>
  <c r="G33" i="33"/>
  <c r="H33" i="33"/>
  <c r="G34" i="33"/>
  <c r="H34" i="33"/>
  <c r="G35" i="33"/>
  <c r="H35" i="33"/>
  <c r="G36" i="33"/>
  <c r="H36" i="33"/>
  <c r="G37" i="33"/>
  <c r="H37" i="33"/>
  <c r="G48" i="33"/>
  <c r="H48" i="33"/>
  <c r="G49" i="33"/>
  <c r="H49" i="33"/>
  <c r="G51" i="33"/>
  <c r="H51" i="33"/>
  <c r="G52" i="33"/>
  <c r="H52" i="33"/>
  <c r="H53" i="33"/>
  <c r="G54" i="33"/>
  <c r="H54" i="33"/>
  <c r="K58" i="33"/>
  <c r="L58" i="33"/>
  <c r="K59" i="33"/>
  <c r="L59" i="33"/>
  <c r="L39" i="33"/>
  <c r="K40" i="33"/>
  <c r="K41" i="33"/>
  <c r="L41" i="33"/>
  <c r="K42" i="33"/>
  <c r="L42" i="33"/>
  <c r="K43" i="33"/>
  <c r="L43" i="33"/>
  <c r="K44" i="33"/>
  <c r="K45" i="33"/>
  <c r="L45" i="33" s="1"/>
  <c r="N45" i="33" s="1"/>
  <c r="O45" i="33" s="1"/>
  <c r="J45" i="33"/>
  <c r="L46" i="33"/>
  <c r="L22" i="33"/>
  <c r="L23" i="33"/>
  <c r="L24" i="33"/>
  <c r="N24" i="33" s="1"/>
  <c r="K26" i="33"/>
  <c r="L26" i="33"/>
  <c r="K27" i="33"/>
  <c r="K28" i="33"/>
  <c r="K29" i="33"/>
  <c r="L29" i="33"/>
  <c r="K30" i="33"/>
  <c r="L30" i="33"/>
  <c r="N30" i="33" s="1"/>
  <c r="K31" i="33"/>
  <c r="L31" i="33"/>
  <c r="K32" i="33"/>
  <c r="L32" i="33"/>
  <c r="N32" i="33" s="1"/>
  <c r="K33" i="33"/>
  <c r="L33" i="33"/>
  <c r="K34" i="33"/>
  <c r="L34" i="33"/>
  <c r="N34" i="33" s="1"/>
  <c r="K35" i="33"/>
  <c r="L35" i="33"/>
  <c r="K36" i="33"/>
  <c r="L36" i="33"/>
  <c r="N36" i="33" s="1"/>
  <c r="K37" i="33"/>
  <c r="L37" i="33"/>
  <c r="K48" i="33"/>
  <c r="K49" i="33" s="1"/>
  <c r="L48" i="33"/>
  <c r="N48" i="33" s="1"/>
  <c r="O48" i="33" s="1"/>
  <c r="L53" i="33"/>
  <c r="K54" i="33"/>
  <c r="L54" i="33"/>
  <c r="G55" i="33"/>
  <c r="H55" i="33"/>
  <c r="G56" i="33"/>
  <c r="H56" i="33"/>
  <c r="G57" i="33"/>
  <c r="H57" i="33"/>
  <c r="K55" i="33"/>
  <c r="L55" i="33"/>
  <c r="K56" i="33"/>
  <c r="L56" i="33"/>
  <c r="K57" i="33"/>
  <c r="L57" i="33"/>
  <c r="N59" i="33"/>
  <c r="O59" i="33"/>
  <c r="N58" i="33"/>
  <c r="O58" i="33"/>
  <c r="N57" i="33"/>
  <c r="O57" i="33"/>
  <c r="N56" i="33"/>
  <c r="O56" i="33"/>
  <c r="N55" i="33"/>
  <c r="O55" i="33"/>
  <c r="N54" i="33"/>
  <c r="O54" i="33"/>
  <c r="N53" i="33"/>
  <c r="O53" i="33"/>
  <c r="N46" i="33"/>
  <c r="O43" i="33"/>
  <c r="N43" i="33"/>
  <c r="O42" i="33"/>
  <c r="N42" i="33"/>
  <c r="O41" i="33"/>
  <c r="N41" i="33"/>
  <c r="O39" i="33"/>
  <c r="N39" i="33"/>
  <c r="O37" i="33"/>
  <c r="N37" i="33"/>
  <c r="O36" i="33"/>
  <c r="O35" i="33"/>
  <c r="N35" i="33"/>
  <c r="O34" i="33"/>
  <c r="O33" i="33"/>
  <c r="N33" i="33"/>
  <c r="O32" i="33"/>
  <c r="O31" i="33"/>
  <c r="N31" i="33"/>
  <c r="O30" i="33"/>
  <c r="O29" i="33"/>
  <c r="N29" i="33"/>
  <c r="O27" i="33"/>
  <c r="N26" i="33"/>
  <c r="O26" i="33"/>
  <c r="O24" i="33"/>
  <c r="N23" i="33"/>
  <c r="O23" i="33"/>
  <c r="N22" i="33"/>
  <c r="O22" i="33"/>
  <c r="G58" i="32"/>
  <c r="H58" i="32"/>
  <c r="G59" i="32"/>
  <c r="H59" i="32"/>
  <c r="H39" i="32"/>
  <c r="G40" i="32"/>
  <c r="H40" i="32"/>
  <c r="G41" i="32"/>
  <c r="H41" i="32"/>
  <c r="G42" i="32"/>
  <c r="H42" i="32"/>
  <c r="G43" i="32"/>
  <c r="H43" i="32"/>
  <c r="G44" i="32"/>
  <c r="H44" i="32"/>
  <c r="G45" i="32"/>
  <c r="F45" i="32"/>
  <c r="H45" i="32"/>
  <c r="H46" i="32"/>
  <c r="H22" i="32"/>
  <c r="H23" i="32"/>
  <c r="H24" i="32"/>
  <c r="G26" i="32"/>
  <c r="H26" i="32"/>
  <c r="G27" i="32"/>
  <c r="H27" i="32"/>
  <c r="G28" i="32"/>
  <c r="G29" i="32"/>
  <c r="H29" i="32"/>
  <c r="G30" i="32"/>
  <c r="H30" i="32"/>
  <c r="G31" i="32"/>
  <c r="H31" i="32"/>
  <c r="G32" i="32"/>
  <c r="H32" i="32"/>
  <c r="G33" i="32"/>
  <c r="H33" i="32"/>
  <c r="G34" i="32"/>
  <c r="H34" i="32"/>
  <c r="G35" i="32"/>
  <c r="H35" i="32"/>
  <c r="G36" i="32"/>
  <c r="H36" i="32"/>
  <c r="G37" i="32"/>
  <c r="H37" i="32"/>
  <c r="G48" i="32"/>
  <c r="H48" i="32"/>
  <c r="G49" i="32"/>
  <c r="H49" i="32"/>
  <c r="G51" i="32"/>
  <c r="H51" i="32"/>
  <c r="G52" i="32"/>
  <c r="H52" i="32"/>
  <c r="H53" i="32"/>
  <c r="G54" i="32"/>
  <c r="H54" i="32"/>
  <c r="K58" i="32"/>
  <c r="L58" i="32"/>
  <c r="K59" i="32"/>
  <c r="L59" i="32"/>
  <c r="L39" i="32"/>
  <c r="K40" i="32"/>
  <c r="K41" i="32"/>
  <c r="L41" i="32"/>
  <c r="K42" i="32"/>
  <c r="L42" i="32"/>
  <c r="K43" i="32"/>
  <c r="L43" i="32"/>
  <c r="K44" i="32"/>
  <c r="K45" i="32"/>
  <c r="L45" i="32" s="1"/>
  <c r="N45" i="32" s="1"/>
  <c r="O45" i="32" s="1"/>
  <c r="J45" i="32"/>
  <c r="L46" i="32"/>
  <c r="L22" i="32"/>
  <c r="L23" i="32"/>
  <c r="L24" i="32"/>
  <c r="N24" i="32" s="1"/>
  <c r="K26" i="32"/>
  <c r="L26" i="32"/>
  <c r="K27" i="32"/>
  <c r="K28" i="32"/>
  <c r="K29" i="32"/>
  <c r="L29" i="32"/>
  <c r="N29" i="32" s="1"/>
  <c r="K30" i="32"/>
  <c r="L30" i="32"/>
  <c r="N30" i="32" s="1"/>
  <c r="K31" i="32"/>
  <c r="L31" i="32"/>
  <c r="N31" i="32" s="1"/>
  <c r="K32" i="32"/>
  <c r="L32" i="32"/>
  <c r="N32" i="32" s="1"/>
  <c r="K33" i="32"/>
  <c r="L33" i="32"/>
  <c r="N33" i="32" s="1"/>
  <c r="K34" i="32"/>
  <c r="L34" i="32"/>
  <c r="N34" i="32" s="1"/>
  <c r="K35" i="32"/>
  <c r="L35" i="32"/>
  <c r="N35" i="32" s="1"/>
  <c r="K36" i="32"/>
  <c r="L36" i="32"/>
  <c r="N36" i="32" s="1"/>
  <c r="K37" i="32"/>
  <c r="L37" i="32"/>
  <c r="N37" i="32" s="1"/>
  <c r="K48" i="32"/>
  <c r="L48" i="32" s="1"/>
  <c r="N48" i="32" s="1"/>
  <c r="O48" i="32" s="1"/>
  <c r="K49" i="32"/>
  <c r="L49" i="32" s="1"/>
  <c r="N49" i="32" s="1"/>
  <c r="O49" i="32" s="1"/>
  <c r="K52" i="32"/>
  <c r="L52" i="32" s="1"/>
  <c r="N52" i="32" s="1"/>
  <c r="O52" i="32" s="1"/>
  <c r="L53" i="32"/>
  <c r="K54" i="32"/>
  <c r="L54" i="32"/>
  <c r="G55" i="32"/>
  <c r="H55" i="32"/>
  <c r="G56" i="32"/>
  <c r="H56" i="32"/>
  <c r="G57" i="32"/>
  <c r="H57" i="32"/>
  <c r="K55" i="32"/>
  <c r="L55" i="32"/>
  <c r="K56" i="32"/>
  <c r="L56" i="32"/>
  <c r="K57" i="32"/>
  <c r="L57" i="32"/>
  <c r="N59" i="32"/>
  <c r="O59" i="32"/>
  <c r="N58" i="32"/>
  <c r="O58" i="32"/>
  <c r="N57" i="32"/>
  <c r="O57" i="32"/>
  <c r="N56" i="32"/>
  <c r="O56" i="32"/>
  <c r="N55" i="32"/>
  <c r="O55" i="32"/>
  <c r="N54" i="32"/>
  <c r="O54" i="32"/>
  <c r="N53" i="32"/>
  <c r="O53" i="32"/>
  <c r="N46" i="32"/>
  <c r="O43" i="32"/>
  <c r="N43" i="32"/>
  <c r="O42" i="32"/>
  <c r="N42" i="32"/>
  <c r="O41" i="32"/>
  <c r="N41" i="32"/>
  <c r="O39" i="32"/>
  <c r="N39" i="32"/>
  <c r="O37" i="32"/>
  <c r="O36" i="32"/>
  <c r="O35" i="32"/>
  <c r="O34" i="32"/>
  <c r="O33" i="32"/>
  <c r="O32" i="32"/>
  <c r="O31" i="32"/>
  <c r="O30" i="32"/>
  <c r="O29" i="32"/>
  <c r="O27" i="32"/>
  <c r="N26" i="32"/>
  <c r="O26" i="32"/>
  <c r="O24" i="32"/>
  <c r="N23" i="32"/>
  <c r="O23" i="32"/>
  <c r="N22" i="32"/>
  <c r="O22" i="32"/>
  <c r="L24" i="8"/>
  <c r="N24" i="8" s="1"/>
  <c r="G58" i="31"/>
  <c r="H58" i="31"/>
  <c r="G59" i="31"/>
  <c r="H59" i="31"/>
  <c r="H39" i="31"/>
  <c r="G40" i="31"/>
  <c r="H40" i="31"/>
  <c r="G41" i="31"/>
  <c r="H41" i="31"/>
  <c r="G42" i="31"/>
  <c r="H42" i="31"/>
  <c r="G43" i="31"/>
  <c r="H43" i="31"/>
  <c r="G44" i="31"/>
  <c r="H44" i="31"/>
  <c r="G45" i="31"/>
  <c r="F45" i="31"/>
  <c r="H45" i="31"/>
  <c r="H46" i="31"/>
  <c r="H22" i="31"/>
  <c r="H23" i="31"/>
  <c r="H24" i="31"/>
  <c r="G26" i="31"/>
  <c r="H26" i="31"/>
  <c r="G27" i="31"/>
  <c r="H27" i="31"/>
  <c r="G28" i="31"/>
  <c r="G29" i="31"/>
  <c r="H29" i="31"/>
  <c r="G30" i="31"/>
  <c r="H30" i="31"/>
  <c r="G31" i="31"/>
  <c r="H31" i="31"/>
  <c r="G32" i="31"/>
  <c r="H32" i="31"/>
  <c r="G33" i="31"/>
  <c r="H33" i="31"/>
  <c r="G34" i="31"/>
  <c r="H34" i="31"/>
  <c r="G35" i="31"/>
  <c r="H35" i="31"/>
  <c r="G36" i="31"/>
  <c r="H36" i="31"/>
  <c r="G37" i="31"/>
  <c r="H37" i="31"/>
  <c r="G48" i="31"/>
  <c r="H48" i="31"/>
  <c r="G49" i="31"/>
  <c r="H49" i="31"/>
  <c r="G51" i="31"/>
  <c r="H51" i="31"/>
  <c r="G52" i="31"/>
  <c r="H52" i="31"/>
  <c r="H53" i="31"/>
  <c r="G54" i="31"/>
  <c r="H54" i="31"/>
  <c r="K58" i="31"/>
  <c r="L58" i="31"/>
  <c r="K59" i="31"/>
  <c r="L59" i="31"/>
  <c r="L39" i="31"/>
  <c r="K40" i="31"/>
  <c r="K41" i="31"/>
  <c r="L41" i="31"/>
  <c r="K42" i="31"/>
  <c r="L42" i="31"/>
  <c r="K43" i="31"/>
  <c r="L43" i="31"/>
  <c r="K44" i="31"/>
  <c r="K45" i="31"/>
  <c r="L45" i="31" s="1"/>
  <c r="N45" i="31" s="1"/>
  <c r="O45" i="31" s="1"/>
  <c r="J45" i="31"/>
  <c r="L46" i="31"/>
  <c r="L22" i="31"/>
  <c r="L23" i="31"/>
  <c r="L24" i="31"/>
  <c r="N24" i="31" s="1"/>
  <c r="K26" i="31"/>
  <c r="L26" i="31"/>
  <c r="K27" i="31"/>
  <c r="K28" i="31"/>
  <c r="K29" i="31"/>
  <c r="L29" i="31"/>
  <c r="N29" i="31" s="1"/>
  <c r="K30" i="31"/>
  <c r="L30" i="31"/>
  <c r="K31" i="31"/>
  <c r="L31" i="31"/>
  <c r="N31" i="31" s="1"/>
  <c r="K32" i="31"/>
  <c r="L32" i="31"/>
  <c r="K33" i="31"/>
  <c r="L33" i="31"/>
  <c r="N33" i="31" s="1"/>
  <c r="K34" i="31"/>
  <c r="L34" i="31"/>
  <c r="K35" i="31"/>
  <c r="L35" i="31"/>
  <c r="N35" i="31" s="1"/>
  <c r="K36" i="31"/>
  <c r="L36" i="31"/>
  <c r="K37" i="31"/>
  <c r="L37" i="31"/>
  <c r="N37" i="31" s="1"/>
  <c r="K48" i="31"/>
  <c r="L48" i="31" s="1"/>
  <c r="N48" i="31" s="1"/>
  <c r="O48" i="31" s="1"/>
  <c r="L53" i="31"/>
  <c r="K54" i="31"/>
  <c r="L54" i="31"/>
  <c r="G55" i="31"/>
  <c r="H55" i="31"/>
  <c r="G56" i="31"/>
  <c r="H56" i="31"/>
  <c r="G57" i="31"/>
  <c r="H57" i="31"/>
  <c r="K55" i="31"/>
  <c r="L55" i="31"/>
  <c r="K56" i="31"/>
  <c r="L56" i="31"/>
  <c r="K57" i="31"/>
  <c r="L57" i="31"/>
  <c r="N59" i="31"/>
  <c r="O59" i="31"/>
  <c r="N58" i="31"/>
  <c r="O58" i="31"/>
  <c r="N57" i="31"/>
  <c r="O57" i="31"/>
  <c r="N56" i="31"/>
  <c r="O56" i="31"/>
  <c r="N55" i="31"/>
  <c r="O55" i="31"/>
  <c r="N54" i="31"/>
  <c r="O54" i="31"/>
  <c r="N53" i="31"/>
  <c r="O53" i="31"/>
  <c r="N46" i="31"/>
  <c r="O43" i="31"/>
  <c r="N43" i="31"/>
  <c r="O42" i="31"/>
  <c r="N42" i="31"/>
  <c r="O41" i="31"/>
  <c r="N41" i="31"/>
  <c r="O39" i="31"/>
  <c r="N39" i="31"/>
  <c r="O37" i="31"/>
  <c r="O36" i="31"/>
  <c r="N36" i="31"/>
  <c r="O35" i="31"/>
  <c r="O34" i="31"/>
  <c r="N34" i="31"/>
  <c r="O33" i="31"/>
  <c r="O32" i="31"/>
  <c r="N32" i="31"/>
  <c r="O31" i="31"/>
  <c r="O30" i="31"/>
  <c r="N30" i="31"/>
  <c r="O29" i="31"/>
  <c r="O27" i="31"/>
  <c r="N26" i="31"/>
  <c r="O26" i="31"/>
  <c r="O24" i="31"/>
  <c r="N23" i="31"/>
  <c r="O23" i="31"/>
  <c r="N22" i="31"/>
  <c r="O22" i="31"/>
  <c r="G58" i="30"/>
  <c r="H58" i="30"/>
  <c r="G59" i="30"/>
  <c r="H59" i="30"/>
  <c r="H39" i="30"/>
  <c r="G40" i="30"/>
  <c r="H40" i="30"/>
  <c r="G41" i="30"/>
  <c r="H41" i="30"/>
  <c r="G42" i="30"/>
  <c r="H42" i="30"/>
  <c r="G43" i="30"/>
  <c r="H43" i="30"/>
  <c r="G44" i="30"/>
  <c r="H44" i="30"/>
  <c r="G45" i="30"/>
  <c r="F45" i="30"/>
  <c r="H45" i="30"/>
  <c r="H46" i="30"/>
  <c r="H22" i="30"/>
  <c r="H23" i="30"/>
  <c r="H24" i="30"/>
  <c r="G26" i="30"/>
  <c r="H26" i="30"/>
  <c r="G27" i="30"/>
  <c r="H27" i="30"/>
  <c r="G28" i="30"/>
  <c r="G29" i="30"/>
  <c r="H29" i="30"/>
  <c r="G30" i="30"/>
  <c r="H30" i="30"/>
  <c r="G31" i="30"/>
  <c r="H31" i="30"/>
  <c r="G32" i="30"/>
  <c r="H32" i="30"/>
  <c r="G33" i="30"/>
  <c r="H33" i="30"/>
  <c r="G34" i="30"/>
  <c r="H34" i="30"/>
  <c r="G35" i="30"/>
  <c r="H35" i="30"/>
  <c r="G36" i="30"/>
  <c r="H36" i="30"/>
  <c r="G37" i="30"/>
  <c r="H37" i="30"/>
  <c r="G48" i="30"/>
  <c r="H48" i="30"/>
  <c r="G49" i="30"/>
  <c r="H49" i="30"/>
  <c r="G51" i="30"/>
  <c r="H51" i="30"/>
  <c r="G52" i="30"/>
  <c r="H52" i="30"/>
  <c r="H53" i="30"/>
  <c r="G54" i="30"/>
  <c r="H54" i="30"/>
  <c r="K58" i="30"/>
  <c r="L58" i="30"/>
  <c r="K59" i="30"/>
  <c r="L59" i="30"/>
  <c r="L39" i="30"/>
  <c r="N39" i="30" s="1"/>
  <c r="K40" i="30"/>
  <c r="K41" i="30"/>
  <c r="L41" i="30"/>
  <c r="K42" i="30"/>
  <c r="L42" i="30"/>
  <c r="K43" i="30"/>
  <c r="L43" i="30"/>
  <c r="K44" i="30"/>
  <c r="K45" i="30"/>
  <c r="L45" i="30" s="1"/>
  <c r="N45" i="30" s="1"/>
  <c r="O45" i="30" s="1"/>
  <c r="J45" i="30"/>
  <c r="L46" i="30"/>
  <c r="L22" i="30"/>
  <c r="L23" i="30"/>
  <c r="L24" i="30"/>
  <c r="N24" i="30" s="1"/>
  <c r="K26" i="30"/>
  <c r="L26" i="30"/>
  <c r="K27" i="30"/>
  <c r="K28" i="30"/>
  <c r="K29" i="30"/>
  <c r="L29" i="30"/>
  <c r="K30" i="30"/>
  <c r="L30" i="30"/>
  <c r="N30" i="30" s="1"/>
  <c r="K31" i="30"/>
  <c r="L31" i="30"/>
  <c r="K32" i="30"/>
  <c r="L32" i="30"/>
  <c r="N32" i="30" s="1"/>
  <c r="K33" i="30"/>
  <c r="L33" i="30"/>
  <c r="K34" i="30"/>
  <c r="L34" i="30"/>
  <c r="N34" i="30" s="1"/>
  <c r="K35" i="30"/>
  <c r="L35" i="30"/>
  <c r="K36" i="30"/>
  <c r="L36" i="30"/>
  <c r="N36" i="30" s="1"/>
  <c r="K37" i="30"/>
  <c r="L37" i="30"/>
  <c r="K48" i="30"/>
  <c r="L48" i="30" s="1"/>
  <c r="N48" i="30" s="1"/>
  <c r="O48" i="30" s="1"/>
  <c r="L53" i="30"/>
  <c r="K54" i="30"/>
  <c r="L54" i="30"/>
  <c r="G55" i="30"/>
  <c r="H55" i="30"/>
  <c r="G56" i="30"/>
  <c r="H56" i="30"/>
  <c r="G57" i="30"/>
  <c r="H57" i="30"/>
  <c r="K55" i="30"/>
  <c r="L55" i="30"/>
  <c r="K56" i="30"/>
  <c r="L56" i="30"/>
  <c r="K57" i="30"/>
  <c r="L57" i="30"/>
  <c r="N59" i="30"/>
  <c r="O59" i="30"/>
  <c r="N58" i="30"/>
  <c r="O58" i="30"/>
  <c r="N57" i="30"/>
  <c r="O57" i="30"/>
  <c r="N56" i="30"/>
  <c r="O56" i="30"/>
  <c r="N55" i="30"/>
  <c r="O55" i="30"/>
  <c r="N54" i="30"/>
  <c r="O54" i="30"/>
  <c r="N53" i="30"/>
  <c r="O53" i="30"/>
  <c r="N46" i="30"/>
  <c r="O43" i="30"/>
  <c r="N43" i="30"/>
  <c r="O42" i="30"/>
  <c r="N42" i="30"/>
  <c r="O41" i="30"/>
  <c r="N41" i="30"/>
  <c r="O39" i="30"/>
  <c r="O37" i="30"/>
  <c r="N37" i="30"/>
  <c r="O36" i="30"/>
  <c r="O35" i="30"/>
  <c r="N35" i="30"/>
  <c r="O34" i="30"/>
  <c r="O33" i="30"/>
  <c r="N33" i="30"/>
  <c r="O32" i="30"/>
  <c r="O31" i="30"/>
  <c r="N31" i="30"/>
  <c r="O30" i="30"/>
  <c r="O29" i="30"/>
  <c r="N29" i="30"/>
  <c r="O27" i="30"/>
  <c r="N26" i="30"/>
  <c r="O26" i="30"/>
  <c r="O24" i="30"/>
  <c r="N23" i="30"/>
  <c r="O23" i="30"/>
  <c r="N22" i="30"/>
  <c r="O22" i="30"/>
  <c r="G58" i="29"/>
  <c r="H58" i="29"/>
  <c r="G59" i="29"/>
  <c r="H59" i="29"/>
  <c r="H39" i="29"/>
  <c r="G40" i="29"/>
  <c r="H40" i="29"/>
  <c r="G41" i="29"/>
  <c r="H41" i="29"/>
  <c r="G42" i="29"/>
  <c r="H42" i="29"/>
  <c r="G43" i="29"/>
  <c r="H43" i="29"/>
  <c r="G44" i="29"/>
  <c r="H44" i="29"/>
  <c r="G45" i="29"/>
  <c r="F45" i="29"/>
  <c r="H45" i="29"/>
  <c r="H46" i="29"/>
  <c r="H22" i="29"/>
  <c r="H23" i="29"/>
  <c r="H24" i="29"/>
  <c r="G26" i="29"/>
  <c r="H26" i="29"/>
  <c r="G27" i="29"/>
  <c r="H27" i="29"/>
  <c r="G28" i="29"/>
  <c r="G29" i="29"/>
  <c r="H29" i="29"/>
  <c r="G30" i="29"/>
  <c r="H30" i="29"/>
  <c r="G31" i="29"/>
  <c r="H31" i="29"/>
  <c r="G32" i="29"/>
  <c r="H32" i="29"/>
  <c r="G33" i="29"/>
  <c r="H33" i="29"/>
  <c r="G34" i="29"/>
  <c r="H34" i="29"/>
  <c r="G35" i="29"/>
  <c r="H35" i="29"/>
  <c r="G36" i="29"/>
  <c r="H36" i="29"/>
  <c r="G37" i="29"/>
  <c r="H37" i="29"/>
  <c r="G48" i="29"/>
  <c r="H48" i="29"/>
  <c r="G49" i="29"/>
  <c r="H49" i="29"/>
  <c r="G51" i="29"/>
  <c r="H51" i="29"/>
  <c r="G52" i="29"/>
  <c r="H52" i="29"/>
  <c r="H53" i="29"/>
  <c r="G54" i="29"/>
  <c r="H54" i="29"/>
  <c r="K58" i="29"/>
  <c r="L58" i="29"/>
  <c r="K59" i="29"/>
  <c r="L59" i="29"/>
  <c r="L39" i="29"/>
  <c r="K40" i="29"/>
  <c r="K41" i="29"/>
  <c r="L41" i="29"/>
  <c r="K42" i="29"/>
  <c r="L42" i="29"/>
  <c r="K43" i="29"/>
  <c r="L43" i="29"/>
  <c r="K44" i="29"/>
  <c r="K45" i="29"/>
  <c r="L45" i="29" s="1"/>
  <c r="N45" i="29" s="1"/>
  <c r="O45" i="29" s="1"/>
  <c r="J45" i="29"/>
  <c r="L46" i="29"/>
  <c r="L22" i="29"/>
  <c r="L23" i="29"/>
  <c r="L24" i="29"/>
  <c r="N24" i="29" s="1"/>
  <c r="K26" i="29"/>
  <c r="L26" i="29"/>
  <c r="K27" i="29"/>
  <c r="K28" i="29"/>
  <c r="K29" i="29"/>
  <c r="L29" i="29"/>
  <c r="N29" i="29" s="1"/>
  <c r="K30" i="29"/>
  <c r="L30" i="29"/>
  <c r="K31" i="29"/>
  <c r="L31" i="29"/>
  <c r="N31" i="29" s="1"/>
  <c r="K32" i="29"/>
  <c r="L32" i="29"/>
  <c r="K33" i="29"/>
  <c r="L33" i="29"/>
  <c r="N33" i="29" s="1"/>
  <c r="K34" i="29"/>
  <c r="L34" i="29"/>
  <c r="K35" i="29"/>
  <c r="L35" i="29"/>
  <c r="N35" i="29" s="1"/>
  <c r="K36" i="29"/>
  <c r="L36" i="29"/>
  <c r="K37" i="29"/>
  <c r="L37" i="29"/>
  <c r="N37" i="29" s="1"/>
  <c r="K48" i="29"/>
  <c r="L48" i="29" s="1"/>
  <c r="N48" i="29" s="1"/>
  <c r="O48" i="29" s="1"/>
  <c r="L53" i="29"/>
  <c r="K54" i="29"/>
  <c r="L54" i="29"/>
  <c r="G55" i="29"/>
  <c r="H55" i="29"/>
  <c r="G56" i="29"/>
  <c r="H56" i="29"/>
  <c r="G57" i="29"/>
  <c r="H57" i="29"/>
  <c r="K55" i="29"/>
  <c r="L55" i="29"/>
  <c r="K56" i="29"/>
  <c r="L56" i="29"/>
  <c r="K57" i="29"/>
  <c r="L57" i="29"/>
  <c r="N59" i="29"/>
  <c r="O59" i="29"/>
  <c r="N58" i="29"/>
  <c r="O58" i="29"/>
  <c r="N57" i="29"/>
  <c r="O57" i="29"/>
  <c r="N56" i="29"/>
  <c r="O56" i="29"/>
  <c r="N55" i="29"/>
  <c r="O55" i="29"/>
  <c r="N54" i="29"/>
  <c r="O54" i="29"/>
  <c r="N53" i="29"/>
  <c r="O53" i="29"/>
  <c r="N46" i="29"/>
  <c r="O43" i="29"/>
  <c r="N43" i="29"/>
  <c r="O42" i="29"/>
  <c r="N42" i="29"/>
  <c r="O41" i="29"/>
  <c r="N41" i="29"/>
  <c r="O39" i="29"/>
  <c r="N39" i="29"/>
  <c r="O37" i="29"/>
  <c r="O36" i="29"/>
  <c r="N36" i="29"/>
  <c r="O35" i="29"/>
  <c r="O34" i="29"/>
  <c r="N34" i="29"/>
  <c r="O33" i="29"/>
  <c r="O32" i="29"/>
  <c r="N32" i="29"/>
  <c r="O31" i="29"/>
  <c r="O30" i="29"/>
  <c r="N30" i="29"/>
  <c r="O29" i="29"/>
  <c r="O27" i="29"/>
  <c r="N26" i="29"/>
  <c r="O26" i="29"/>
  <c r="O24" i="29"/>
  <c r="N23" i="29"/>
  <c r="O23" i="29"/>
  <c r="N22" i="29"/>
  <c r="O22" i="29"/>
  <c r="G58" i="28"/>
  <c r="H58" i="28"/>
  <c r="G59" i="28"/>
  <c r="H59" i="28"/>
  <c r="H39" i="28"/>
  <c r="G40" i="28"/>
  <c r="H40" i="28"/>
  <c r="G41" i="28"/>
  <c r="H41" i="28"/>
  <c r="G42" i="28"/>
  <c r="H42" i="28"/>
  <c r="G43" i="28"/>
  <c r="H43" i="28"/>
  <c r="G44" i="28"/>
  <c r="H44" i="28"/>
  <c r="G45" i="28"/>
  <c r="F45" i="28"/>
  <c r="H45" i="28"/>
  <c r="H46" i="28"/>
  <c r="H22" i="28"/>
  <c r="H23" i="28"/>
  <c r="H24" i="28"/>
  <c r="G26" i="28"/>
  <c r="H26" i="28"/>
  <c r="G27" i="28"/>
  <c r="H27" i="28"/>
  <c r="G28" i="28"/>
  <c r="G29" i="28"/>
  <c r="H29" i="28"/>
  <c r="G30" i="28"/>
  <c r="H30" i="28"/>
  <c r="G31" i="28"/>
  <c r="H31" i="28"/>
  <c r="G32" i="28"/>
  <c r="H32" i="28"/>
  <c r="G33" i="28"/>
  <c r="H33" i="28"/>
  <c r="G34" i="28"/>
  <c r="H34" i="28"/>
  <c r="G35" i="28"/>
  <c r="H35" i="28"/>
  <c r="G36" i="28"/>
  <c r="H36" i="28"/>
  <c r="G37" i="28"/>
  <c r="H37" i="28"/>
  <c r="G48" i="28"/>
  <c r="H48" i="28"/>
  <c r="G49" i="28"/>
  <c r="H49" i="28"/>
  <c r="G51" i="28"/>
  <c r="H51" i="28"/>
  <c r="G52" i="28"/>
  <c r="H52" i="28"/>
  <c r="H53" i="28"/>
  <c r="G54" i="28"/>
  <c r="H54" i="28"/>
  <c r="K58" i="28"/>
  <c r="L58" i="28"/>
  <c r="K59" i="28"/>
  <c r="L59" i="28"/>
  <c r="L39" i="28"/>
  <c r="K40" i="28"/>
  <c r="K41" i="28"/>
  <c r="L41" i="28"/>
  <c r="K42" i="28"/>
  <c r="L42" i="28"/>
  <c r="K43" i="28"/>
  <c r="L43" i="28"/>
  <c r="K44" i="28"/>
  <c r="K45" i="28"/>
  <c r="L45" i="28" s="1"/>
  <c r="N45" i="28" s="1"/>
  <c r="O45" i="28" s="1"/>
  <c r="J45" i="28"/>
  <c r="L46" i="28"/>
  <c r="L22" i="28"/>
  <c r="L23" i="28"/>
  <c r="L24" i="28"/>
  <c r="N24" i="28" s="1"/>
  <c r="K26" i="28"/>
  <c r="L26" i="28"/>
  <c r="K27" i="28"/>
  <c r="K28" i="28"/>
  <c r="K29" i="28"/>
  <c r="L29" i="28"/>
  <c r="K30" i="28"/>
  <c r="L30" i="28"/>
  <c r="K31" i="28"/>
  <c r="L31" i="28"/>
  <c r="K32" i="28"/>
  <c r="L32" i="28"/>
  <c r="K33" i="28"/>
  <c r="L33" i="28"/>
  <c r="K34" i="28"/>
  <c r="L34" i="28"/>
  <c r="K35" i="28"/>
  <c r="L35" i="28"/>
  <c r="K36" i="28"/>
  <c r="L36" i="28"/>
  <c r="K37" i="28"/>
  <c r="L37" i="28"/>
  <c r="K48" i="28"/>
  <c r="K49" i="28" s="1"/>
  <c r="L53" i="28"/>
  <c r="K54" i="28"/>
  <c r="L54" i="28"/>
  <c r="G55" i="28"/>
  <c r="H55" i="28"/>
  <c r="G56" i="28"/>
  <c r="H56" i="28"/>
  <c r="G57" i="28"/>
  <c r="H57" i="28"/>
  <c r="K55" i="28"/>
  <c r="L55" i="28"/>
  <c r="K56" i="28"/>
  <c r="L56" i="28"/>
  <c r="K57" i="28"/>
  <c r="L57" i="28"/>
  <c r="N59" i="28"/>
  <c r="O59" i="28"/>
  <c r="N58" i="28"/>
  <c r="O58" i="28"/>
  <c r="N57" i="28"/>
  <c r="O57" i="28"/>
  <c r="N56" i="28"/>
  <c r="O56" i="28"/>
  <c r="N55" i="28"/>
  <c r="O55" i="28"/>
  <c r="N54" i="28"/>
  <c r="O54" i="28"/>
  <c r="N53" i="28"/>
  <c r="O53" i="28"/>
  <c r="N46" i="28"/>
  <c r="O43" i="28"/>
  <c r="N43" i="28"/>
  <c r="O42" i="28"/>
  <c r="N42" i="28"/>
  <c r="O41" i="28"/>
  <c r="N41" i="28"/>
  <c r="O39" i="28"/>
  <c r="N39" i="28"/>
  <c r="O37" i="28"/>
  <c r="N37" i="28"/>
  <c r="O36" i="28"/>
  <c r="N36" i="28"/>
  <c r="O35" i="28"/>
  <c r="N35" i="28"/>
  <c r="O34" i="28"/>
  <c r="N34" i="28"/>
  <c r="O33" i="28"/>
  <c r="N33" i="28"/>
  <c r="O32" i="28"/>
  <c r="N32" i="28"/>
  <c r="O31" i="28"/>
  <c r="N31" i="28"/>
  <c r="O30" i="28"/>
  <c r="N30" i="28"/>
  <c r="O29" i="28"/>
  <c r="N29" i="28"/>
  <c r="N26" i="28"/>
  <c r="O26" i="28"/>
  <c r="O24" i="28"/>
  <c r="N23" i="28"/>
  <c r="O23" i="28"/>
  <c r="N22" i="28"/>
  <c r="O22" i="28"/>
  <c r="G58" i="27"/>
  <c r="H58" i="27"/>
  <c r="G59" i="27"/>
  <c r="H59" i="27"/>
  <c r="H39" i="27"/>
  <c r="G40" i="27"/>
  <c r="H40" i="27"/>
  <c r="G41" i="27"/>
  <c r="H41" i="27"/>
  <c r="G42" i="27"/>
  <c r="H42" i="27"/>
  <c r="G43" i="27"/>
  <c r="H43" i="27"/>
  <c r="G44" i="27"/>
  <c r="H44" i="27"/>
  <c r="G45" i="27"/>
  <c r="F45" i="27"/>
  <c r="H45" i="27"/>
  <c r="H46" i="27"/>
  <c r="H22" i="27"/>
  <c r="H23" i="27"/>
  <c r="H24" i="27"/>
  <c r="G26" i="27"/>
  <c r="H26" i="27"/>
  <c r="G27" i="27"/>
  <c r="H27" i="27"/>
  <c r="G28" i="27"/>
  <c r="G29" i="27"/>
  <c r="H29" i="27"/>
  <c r="G30" i="27"/>
  <c r="H30" i="27"/>
  <c r="G31" i="27"/>
  <c r="H31" i="27"/>
  <c r="G32" i="27"/>
  <c r="H32" i="27"/>
  <c r="G33" i="27"/>
  <c r="H33" i="27"/>
  <c r="G34" i="27"/>
  <c r="H34" i="27"/>
  <c r="G35" i="27"/>
  <c r="H35" i="27"/>
  <c r="G36" i="27"/>
  <c r="H36" i="27"/>
  <c r="G37" i="27"/>
  <c r="H37" i="27"/>
  <c r="G48" i="27"/>
  <c r="H48" i="27"/>
  <c r="G49" i="27"/>
  <c r="H49" i="27"/>
  <c r="G51" i="27"/>
  <c r="H51" i="27"/>
  <c r="G52" i="27"/>
  <c r="H52" i="27"/>
  <c r="H53" i="27"/>
  <c r="G54" i="27"/>
  <c r="H54" i="27"/>
  <c r="K58" i="27"/>
  <c r="L58" i="27"/>
  <c r="K59" i="27"/>
  <c r="L59" i="27"/>
  <c r="L39" i="27"/>
  <c r="K40" i="27"/>
  <c r="K41" i="27"/>
  <c r="L41" i="27"/>
  <c r="K42" i="27"/>
  <c r="L42" i="27"/>
  <c r="K43" i="27"/>
  <c r="L43" i="27"/>
  <c r="K44" i="27"/>
  <c r="K45" i="27"/>
  <c r="L45" i="27" s="1"/>
  <c r="N45" i="27" s="1"/>
  <c r="O45" i="27" s="1"/>
  <c r="J45" i="27"/>
  <c r="L46" i="27"/>
  <c r="L22" i="27"/>
  <c r="L23" i="27"/>
  <c r="L24" i="27"/>
  <c r="N24" i="27" s="1"/>
  <c r="K26" i="27"/>
  <c r="L26" i="27"/>
  <c r="K27" i="27"/>
  <c r="K28" i="27"/>
  <c r="K29" i="27"/>
  <c r="L29" i="27"/>
  <c r="N29" i="27" s="1"/>
  <c r="K30" i="27"/>
  <c r="L30" i="27"/>
  <c r="K31" i="27"/>
  <c r="L31" i="27"/>
  <c r="N31" i="27" s="1"/>
  <c r="K32" i="27"/>
  <c r="L32" i="27"/>
  <c r="K33" i="27"/>
  <c r="L33" i="27"/>
  <c r="N33" i="27" s="1"/>
  <c r="K34" i="27"/>
  <c r="L34" i="27"/>
  <c r="K35" i="27"/>
  <c r="L35" i="27"/>
  <c r="N35" i="27" s="1"/>
  <c r="K36" i="27"/>
  <c r="L36" i="27"/>
  <c r="K37" i="27"/>
  <c r="L37" i="27"/>
  <c r="N37" i="27" s="1"/>
  <c r="K48" i="27"/>
  <c r="K49" i="27" s="1"/>
  <c r="L53" i="27"/>
  <c r="K54" i="27"/>
  <c r="L54" i="27"/>
  <c r="G55" i="27"/>
  <c r="H55" i="27"/>
  <c r="G56" i="27"/>
  <c r="H56" i="27"/>
  <c r="G57" i="27"/>
  <c r="H57" i="27"/>
  <c r="K55" i="27"/>
  <c r="L55" i="27"/>
  <c r="K56" i="27"/>
  <c r="L56" i="27"/>
  <c r="K57" i="27"/>
  <c r="L57" i="27"/>
  <c r="O59" i="27"/>
  <c r="N59" i="27"/>
  <c r="N58" i="27"/>
  <c r="O58" i="27"/>
  <c r="N57" i="27"/>
  <c r="O57" i="27"/>
  <c r="N56" i="27"/>
  <c r="O56" i="27"/>
  <c r="N55" i="27"/>
  <c r="O55" i="27"/>
  <c r="N54" i="27"/>
  <c r="O54" i="27"/>
  <c r="N53" i="27"/>
  <c r="O53" i="27"/>
  <c r="N46" i="27"/>
  <c r="O43" i="27"/>
  <c r="N43" i="27"/>
  <c r="O42" i="27"/>
  <c r="N42" i="27"/>
  <c r="O41" i="27"/>
  <c r="N41" i="27"/>
  <c r="O39" i="27"/>
  <c r="N39" i="27"/>
  <c r="O37" i="27"/>
  <c r="O36" i="27"/>
  <c r="N36" i="27"/>
  <c r="O35" i="27"/>
  <c r="O34" i="27"/>
  <c r="N34" i="27"/>
  <c r="O33" i="27"/>
  <c r="O32" i="27"/>
  <c r="N32" i="27"/>
  <c r="O31" i="27"/>
  <c r="O30" i="27"/>
  <c r="N30" i="27"/>
  <c r="O29" i="27"/>
  <c r="O27" i="27"/>
  <c r="N26" i="27"/>
  <c r="O26" i="27"/>
  <c r="O24" i="27"/>
  <c r="N23" i="27"/>
  <c r="O23" i="27"/>
  <c r="N22" i="27"/>
  <c r="O22" i="27"/>
  <c r="G58" i="26"/>
  <c r="H58" i="26"/>
  <c r="G59" i="26"/>
  <c r="H59" i="26"/>
  <c r="H39" i="26"/>
  <c r="G40" i="26"/>
  <c r="H40" i="26"/>
  <c r="G41" i="26"/>
  <c r="H41" i="26"/>
  <c r="G42" i="26"/>
  <c r="H42" i="26"/>
  <c r="G43" i="26"/>
  <c r="H43" i="26"/>
  <c r="G44" i="26"/>
  <c r="H44" i="26"/>
  <c r="G45" i="26"/>
  <c r="F45" i="26"/>
  <c r="H45" i="26"/>
  <c r="H46" i="26"/>
  <c r="H22" i="26"/>
  <c r="H23" i="26"/>
  <c r="H24" i="26"/>
  <c r="G26" i="26"/>
  <c r="H26" i="26"/>
  <c r="G27" i="26"/>
  <c r="H27" i="26"/>
  <c r="G28" i="26"/>
  <c r="G29" i="26"/>
  <c r="H29" i="26"/>
  <c r="G30" i="26"/>
  <c r="H30" i="26"/>
  <c r="G31" i="26"/>
  <c r="H31" i="26"/>
  <c r="G32" i="26"/>
  <c r="H32" i="26"/>
  <c r="G33" i="26"/>
  <c r="H33" i="26"/>
  <c r="G34" i="26"/>
  <c r="H34" i="26"/>
  <c r="G35" i="26"/>
  <c r="H35" i="26"/>
  <c r="G36" i="26"/>
  <c r="H36" i="26"/>
  <c r="G37" i="26"/>
  <c r="H37" i="26"/>
  <c r="G48" i="26"/>
  <c r="H48" i="26"/>
  <c r="G49" i="26"/>
  <c r="H49" i="26"/>
  <c r="G51" i="26"/>
  <c r="H51" i="26"/>
  <c r="G52" i="26"/>
  <c r="H52" i="26"/>
  <c r="H53" i="26"/>
  <c r="G54" i="26"/>
  <c r="H54" i="26"/>
  <c r="K58" i="26"/>
  <c r="L58" i="26"/>
  <c r="K59" i="26"/>
  <c r="L59" i="26"/>
  <c r="L39" i="26"/>
  <c r="N39" i="26" s="1"/>
  <c r="K40" i="26"/>
  <c r="K41" i="26"/>
  <c r="L41" i="26"/>
  <c r="K42" i="26"/>
  <c r="L42" i="26"/>
  <c r="N42" i="26" s="1"/>
  <c r="K43" i="26"/>
  <c r="L43" i="26"/>
  <c r="K44" i="26"/>
  <c r="K45" i="26"/>
  <c r="L45" i="26" s="1"/>
  <c r="N45" i="26" s="1"/>
  <c r="O45" i="26" s="1"/>
  <c r="J45" i="26"/>
  <c r="L46" i="26"/>
  <c r="L22" i="26"/>
  <c r="L23" i="26"/>
  <c r="L24" i="26"/>
  <c r="N24" i="26" s="1"/>
  <c r="K26" i="26"/>
  <c r="L26" i="26"/>
  <c r="K27" i="26"/>
  <c r="K28" i="26"/>
  <c r="K29" i="26"/>
  <c r="L29" i="26"/>
  <c r="K30" i="26"/>
  <c r="L30" i="26"/>
  <c r="K31" i="26"/>
  <c r="L31" i="26"/>
  <c r="K32" i="26"/>
  <c r="L32" i="26"/>
  <c r="K33" i="26"/>
  <c r="L33" i="26"/>
  <c r="K34" i="26"/>
  <c r="L34" i="26"/>
  <c r="K35" i="26"/>
  <c r="L35" i="26"/>
  <c r="K36" i="26"/>
  <c r="L36" i="26"/>
  <c r="K37" i="26"/>
  <c r="L37" i="26"/>
  <c r="K48" i="26"/>
  <c r="L48" i="26" s="1"/>
  <c r="N48" i="26" s="1"/>
  <c r="O48" i="26" s="1"/>
  <c r="L53" i="26"/>
  <c r="K54" i="26"/>
  <c r="L54" i="26"/>
  <c r="G55" i="26"/>
  <c r="H55" i="26"/>
  <c r="G56" i="26"/>
  <c r="H56" i="26"/>
  <c r="G57" i="26"/>
  <c r="H57" i="26"/>
  <c r="K55" i="26"/>
  <c r="L55" i="26"/>
  <c r="K56" i="26"/>
  <c r="L56" i="26"/>
  <c r="K57" i="26"/>
  <c r="L57" i="26"/>
  <c r="O59" i="26"/>
  <c r="N59" i="26"/>
  <c r="N58" i="26"/>
  <c r="O58" i="26"/>
  <c r="N57" i="26"/>
  <c r="O57" i="26"/>
  <c r="N56" i="26"/>
  <c r="O56" i="26"/>
  <c r="N55" i="26"/>
  <c r="O55" i="26"/>
  <c r="N54" i="26"/>
  <c r="O54" i="26"/>
  <c r="N53" i="26"/>
  <c r="O53" i="26"/>
  <c r="N46" i="26"/>
  <c r="O43" i="26"/>
  <c r="N43" i="26"/>
  <c r="O42" i="26"/>
  <c r="O41" i="26"/>
  <c r="N41" i="26"/>
  <c r="O39" i="26"/>
  <c r="O37" i="26"/>
  <c r="N37" i="26"/>
  <c r="O36" i="26"/>
  <c r="N36" i="26"/>
  <c r="O35" i="26"/>
  <c r="N35" i="26"/>
  <c r="O34" i="26"/>
  <c r="N34" i="26"/>
  <c r="O33" i="26"/>
  <c r="N33" i="26"/>
  <c r="O32" i="26"/>
  <c r="N32" i="26"/>
  <c r="O31" i="26"/>
  <c r="N31" i="26"/>
  <c r="O30" i="26"/>
  <c r="N30" i="26"/>
  <c r="O29" i="26"/>
  <c r="N29" i="26"/>
  <c r="O27" i="26"/>
  <c r="N26" i="26"/>
  <c r="O26" i="26"/>
  <c r="O24" i="26"/>
  <c r="N23" i="26"/>
  <c r="O23" i="26"/>
  <c r="N22" i="26"/>
  <c r="O22" i="26"/>
  <c r="L24" i="1"/>
  <c r="N24" i="1" s="1"/>
  <c r="L47" i="25"/>
  <c r="L46" i="25"/>
  <c r="G53" i="25"/>
  <c r="H53" i="25"/>
  <c r="G27" i="25"/>
  <c r="G38" i="25"/>
  <c r="H38" i="25"/>
  <c r="G39" i="25"/>
  <c r="H39" i="25"/>
  <c r="G40" i="25"/>
  <c r="H40" i="25"/>
  <c r="G41" i="25"/>
  <c r="H41" i="25"/>
  <c r="G42" i="25"/>
  <c r="H42" i="25"/>
  <c r="G43" i="25"/>
  <c r="G57" i="25"/>
  <c r="F43" i="25"/>
  <c r="H43" i="25"/>
  <c r="H44" i="25"/>
  <c r="H22" i="25"/>
  <c r="H23" i="25"/>
  <c r="H24" i="25"/>
  <c r="G25" i="25"/>
  <c r="H25" i="25"/>
  <c r="G26" i="25"/>
  <c r="H26" i="25"/>
  <c r="G28" i="25"/>
  <c r="H28" i="25"/>
  <c r="G29" i="25"/>
  <c r="H29" i="25"/>
  <c r="G30" i="25"/>
  <c r="H30" i="25"/>
  <c r="G31" i="25"/>
  <c r="H31" i="25"/>
  <c r="G32" i="25"/>
  <c r="H32" i="25"/>
  <c r="G33" i="25"/>
  <c r="H33" i="25"/>
  <c r="G34" i="25"/>
  <c r="H34" i="25"/>
  <c r="G35" i="25"/>
  <c r="H35" i="25"/>
  <c r="G36" i="25"/>
  <c r="H36" i="25"/>
  <c r="H46" i="25"/>
  <c r="G47" i="25"/>
  <c r="H47" i="25" s="1"/>
  <c r="G49" i="25"/>
  <c r="H49" i="25"/>
  <c r="G50" i="25"/>
  <c r="H50" i="25"/>
  <c r="H51" i="25"/>
  <c r="G52" i="25"/>
  <c r="H52" i="25"/>
  <c r="K53" i="25"/>
  <c r="L53" i="25"/>
  <c r="K38" i="25"/>
  <c r="K39" i="25"/>
  <c r="L39" i="25"/>
  <c r="K40" i="25"/>
  <c r="L40" i="25"/>
  <c r="K41" i="25"/>
  <c r="K42" i="25"/>
  <c r="K43" i="25"/>
  <c r="L43" i="25" s="1"/>
  <c r="N43" i="25" s="1"/>
  <c r="O43" i="25" s="1"/>
  <c r="K57" i="25"/>
  <c r="J43" i="25"/>
  <c r="L44" i="25"/>
  <c r="L22" i="25"/>
  <c r="L23" i="25"/>
  <c r="L24" i="25"/>
  <c r="K25" i="25"/>
  <c r="L25" i="25"/>
  <c r="K26" i="25"/>
  <c r="K27" i="25"/>
  <c r="K28" i="25"/>
  <c r="L28" i="25"/>
  <c r="K29" i="25"/>
  <c r="L29" i="25"/>
  <c r="K30" i="25"/>
  <c r="L30" i="25"/>
  <c r="K31" i="25"/>
  <c r="L31" i="25"/>
  <c r="K32" i="25"/>
  <c r="L32" i="25"/>
  <c r="K33" i="25"/>
  <c r="L33" i="25"/>
  <c r="K34" i="25"/>
  <c r="L34" i="25"/>
  <c r="K35" i="25"/>
  <c r="L35" i="25"/>
  <c r="K36" i="25"/>
  <c r="L36" i="25"/>
  <c r="K47" i="25"/>
  <c r="K49" i="25"/>
  <c r="K50" i="25" s="1"/>
  <c r="L50" i="25" s="1"/>
  <c r="N50" i="25" s="1"/>
  <c r="O50" i="25" s="1"/>
  <c r="L49" i="25"/>
  <c r="L51" i="25"/>
  <c r="K52" i="25"/>
  <c r="L52" i="25"/>
  <c r="H54" i="25"/>
  <c r="H55" i="25"/>
  <c r="L54" i="25"/>
  <c r="L55" i="25"/>
  <c r="H57" i="25"/>
  <c r="O57" i="25"/>
  <c r="L57" i="25"/>
  <c r="N57" i="25"/>
  <c r="G56" i="25"/>
  <c r="H56" i="25"/>
  <c r="K56" i="25"/>
  <c r="L56" i="25"/>
  <c r="N56" i="25"/>
  <c r="O56" i="25"/>
  <c r="O55" i="25"/>
  <c r="N55" i="25"/>
  <c r="O54" i="25"/>
  <c r="N54" i="25"/>
  <c r="N53" i="25"/>
  <c r="O53" i="25"/>
  <c r="N52" i="25"/>
  <c r="O52" i="25"/>
  <c r="N51" i="25"/>
  <c r="O51" i="25"/>
  <c r="N49" i="25"/>
  <c r="O49" i="25" s="1"/>
  <c r="N44" i="25"/>
  <c r="O40" i="25"/>
  <c r="N40" i="25"/>
  <c r="O39" i="25"/>
  <c r="N39" i="25"/>
  <c r="O36" i="25"/>
  <c r="N36" i="25"/>
  <c r="O35" i="25"/>
  <c r="N35" i="25"/>
  <c r="O34" i="25"/>
  <c r="N34" i="25"/>
  <c r="O33" i="25"/>
  <c r="N33" i="25"/>
  <c r="O32" i="25"/>
  <c r="N32" i="25"/>
  <c r="O31" i="25"/>
  <c r="N31" i="25"/>
  <c r="O30" i="25"/>
  <c r="N30" i="25"/>
  <c r="O29" i="25"/>
  <c r="N29" i="25"/>
  <c r="O28" i="25"/>
  <c r="N28" i="25"/>
  <c r="O26" i="25"/>
  <c r="N25" i="25"/>
  <c r="O25" i="25"/>
  <c r="O24" i="25"/>
  <c r="N24" i="25"/>
  <c r="O23" i="25"/>
  <c r="N23" i="25"/>
  <c r="O22" i="25"/>
  <c r="N22" i="25"/>
  <c r="L48" i="13"/>
  <c r="L47" i="13"/>
  <c r="L48" i="1"/>
  <c r="N48" i="1" s="1"/>
  <c r="O48" i="1" s="1"/>
  <c r="G27" i="14"/>
  <c r="H27" i="14" s="1"/>
  <c r="K46" i="17"/>
  <c r="K47" i="17" s="1"/>
  <c r="L47" i="17" s="1"/>
  <c r="N47" i="17" s="1"/>
  <c r="O47" i="17" s="1"/>
  <c r="G46" i="17"/>
  <c r="G47" i="17"/>
  <c r="H47" i="17"/>
  <c r="H46" i="17"/>
  <c r="H41" i="17"/>
  <c r="O41" i="17"/>
  <c r="H38" i="17"/>
  <c r="K47" i="16"/>
  <c r="K48" i="16" s="1"/>
  <c r="L48" i="16" s="1"/>
  <c r="N48" i="16" s="1"/>
  <c r="O48" i="16" s="1"/>
  <c r="G47" i="16"/>
  <c r="G48" i="16"/>
  <c r="H48" i="16"/>
  <c r="H47" i="16"/>
  <c r="H42" i="16"/>
  <c r="H39" i="16"/>
  <c r="K46" i="14"/>
  <c r="L46" i="14" s="1"/>
  <c r="G46" i="14"/>
  <c r="G47" i="14" s="1"/>
  <c r="H47" i="14" s="1"/>
  <c r="K41" i="14"/>
  <c r="G41" i="14"/>
  <c r="H41" i="14"/>
  <c r="K38" i="14"/>
  <c r="G38" i="14"/>
  <c r="H38" i="14" s="1"/>
  <c r="K26" i="14"/>
  <c r="G26" i="14"/>
  <c r="H26" i="14"/>
  <c r="K48" i="13"/>
  <c r="G48" i="13"/>
  <c r="H48" i="13"/>
  <c r="H47" i="13"/>
  <c r="H42" i="13"/>
  <c r="H39" i="13"/>
  <c r="K48" i="8"/>
  <c r="K49" i="8" s="1"/>
  <c r="G48" i="8"/>
  <c r="G49" i="8"/>
  <c r="H49" i="8"/>
  <c r="H48" i="8"/>
  <c r="H40" i="8"/>
  <c r="K48" i="1"/>
  <c r="K49" i="1"/>
  <c r="L49" i="1" s="1"/>
  <c r="N49" i="1" s="1"/>
  <c r="O49" i="1" s="1"/>
  <c r="G48" i="1"/>
  <c r="G49" i="1"/>
  <c r="H49" i="1"/>
  <c r="H48" i="1"/>
  <c r="H40" i="1"/>
  <c r="K25" i="17"/>
  <c r="L25" i="17"/>
  <c r="K26" i="17"/>
  <c r="G25" i="17"/>
  <c r="H25" i="17"/>
  <c r="G26" i="17"/>
  <c r="K27" i="17"/>
  <c r="G27" i="17"/>
  <c r="K26" i="16"/>
  <c r="L26" i="16"/>
  <c r="H26" i="16"/>
  <c r="N26" i="16"/>
  <c r="K27" i="16"/>
  <c r="G26" i="16"/>
  <c r="G27" i="16"/>
  <c r="K28" i="16"/>
  <c r="G28" i="16"/>
  <c r="K25" i="14"/>
  <c r="K27" i="14"/>
  <c r="G25" i="14"/>
  <c r="K26" i="13"/>
  <c r="K27" i="13"/>
  <c r="K28" i="13"/>
  <c r="G26" i="13"/>
  <c r="H26" i="13"/>
  <c r="G27" i="13"/>
  <c r="G28" i="13"/>
  <c r="L26" i="8"/>
  <c r="H26" i="8"/>
  <c r="N26" i="8"/>
  <c r="O26" i="8"/>
  <c r="K26" i="8"/>
  <c r="K27" i="8"/>
  <c r="G26" i="8"/>
  <c r="G27" i="8"/>
  <c r="H27" i="8"/>
  <c r="O27" i="8"/>
  <c r="K26" i="1"/>
  <c r="L26" i="1"/>
  <c r="K27" i="1"/>
  <c r="G26" i="1"/>
  <c r="H26" i="1"/>
  <c r="G27" i="1"/>
  <c r="H27" i="1"/>
  <c r="O27" i="1"/>
  <c r="K49" i="14"/>
  <c r="G49" i="14"/>
  <c r="G50" i="14" s="1"/>
  <c r="H50" i="14" s="1"/>
  <c r="K50" i="16"/>
  <c r="L50" i="16" s="1"/>
  <c r="N50" i="16" s="1"/>
  <c r="O50" i="16" s="1"/>
  <c r="G50" i="16"/>
  <c r="K49" i="17"/>
  <c r="G49" i="17"/>
  <c r="K53" i="17"/>
  <c r="L53" i="17"/>
  <c r="G53" i="17"/>
  <c r="H53" i="17"/>
  <c r="K42" i="16"/>
  <c r="G42" i="16"/>
  <c r="G42" i="14"/>
  <c r="K42" i="13"/>
  <c r="G42" i="13"/>
  <c r="K54" i="16"/>
  <c r="G54" i="16"/>
  <c r="H54" i="16"/>
  <c r="G53" i="14"/>
  <c r="K53" i="14"/>
  <c r="L53" i="14" s="1"/>
  <c r="N53" i="14" s="1"/>
  <c r="H53" i="14"/>
  <c r="O53" i="14" s="1"/>
  <c r="G43" i="14"/>
  <c r="K54" i="13"/>
  <c r="L54" i="13"/>
  <c r="H54" i="13"/>
  <c r="N54" i="13"/>
  <c r="G54" i="13"/>
  <c r="K44" i="13"/>
  <c r="L44" i="13" s="1"/>
  <c r="N44" i="13" s="1"/>
  <c r="O44" i="13" s="1"/>
  <c r="J44" i="13"/>
  <c r="G44" i="13"/>
  <c r="F44" i="13"/>
  <c r="H44" i="13"/>
  <c r="G57" i="8"/>
  <c r="H57" i="8"/>
  <c r="K57" i="8"/>
  <c r="L57" i="8"/>
  <c r="N57" i="8"/>
  <c r="G56" i="8"/>
  <c r="K56" i="8"/>
  <c r="L56" i="8"/>
  <c r="G55" i="8"/>
  <c r="H55" i="8"/>
  <c r="K55" i="8"/>
  <c r="L55" i="8"/>
  <c r="K45" i="8"/>
  <c r="L45" i="8" s="1"/>
  <c r="N45" i="8" s="1"/>
  <c r="O45" i="8" s="1"/>
  <c r="G45" i="8"/>
  <c r="G57" i="1"/>
  <c r="G56" i="1"/>
  <c r="H56" i="1"/>
  <c r="G55" i="1"/>
  <c r="K55" i="1"/>
  <c r="L55" i="1"/>
  <c r="H55" i="1"/>
  <c r="N55" i="1"/>
  <c r="O55" i="1"/>
  <c r="K45" i="1"/>
  <c r="J45" i="1"/>
  <c r="L45" i="1"/>
  <c r="F45" i="1"/>
  <c r="G45" i="1"/>
  <c r="H45" i="1"/>
  <c r="N45" i="1"/>
  <c r="K50" i="13"/>
  <c r="L50" i="13" s="1"/>
  <c r="N50" i="13" s="1"/>
  <c r="O50" i="13" s="1"/>
  <c r="G50" i="13"/>
  <c r="H50" i="13"/>
  <c r="K42" i="17"/>
  <c r="K40" i="17"/>
  <c r="K39" i="17"/>
  <c r="L39" i="17"/>
  <c r="K38" i="17"/>
  <c r="G42" i="17"/>
  <c r="H42" i="17"/>
  <c r="G40" i="17"/>
  <c r="G39" i="17"/>
  <c r="H39" i="17"/>
  <c r="O39" i="17"/>
  <c r="G38" i="17"/>
  <c r="G57" i="17"/>
  <c r="K57" i="17"/>
  <c r="G56" i="17"/>
  <c r="H56" i="17"/>
  <c r="K56" i="17"/>
  <c r="L56" i="17"/>
  <c r="N56" i="17"/>
  <c r="L55" i="17"/>
  <c r="H55" i="17"/>
  <c r="N55" i="17"/>
  <c r="L54" i="17"/>
  <c r="H54" i="17"/>
  <c r="O54" i="17"/>
  <c r="K52" i="17"/>
  <c r="L52" i="17"/>
  <c r="H52" i="17"/>
  <c r="N52" i="17"/>
  <c r="O52" i="17"/>
  <c r="G52" i="17"/>
  <c r="L51" i="17"/>
  <c r="H51" i="17"/>
  <c r="N51" i="17"/>
  <c r="K50" i="17"/>
  <c r="L50" i="17" s="1"/>
  <c r="N50" i="17" s="1"/>
  <c r="O50" i="17" s="1"/>
  <c r="G50" i="17"/>
  <c r="H50" i="17"/>
  <c r="H49" i="17"/>
  <c r="L49" i="17"/>
  <c r="N49" i="17" s="1"/>
  <c r="O49" i="17" s="1"/>
  <c r="L44" i="17"/>
  <c r="H44" i="17"/>
  <c r="N44" i="17"/>
  <c r="K43" i="17"/>
  <c r="G43" i="17"/>
  <c r="F43" i="17"/>
  <c r="H43" i="17"/>
  <c r="K41" i="17"/>
  <c r="G41" i="17"/>
  <c r="L40" i="17"/>
  <c r="N40" i="17"/>
  <c r="H40" i="17"/>
  <c r="O40" i="17"/>
  <c r="K36" i="17"/>
  <c r="L36" i="17"/>
  <c r="G36" i="17"/>
  <c r="H36" i="17"/>
  <c r="O36" i="17"/>
  <c r="K35" i="17"/>
  <c r="L35" i="17"/>
  <c r="N35" i="17"/>
  <c r="G35" i="17"/>
  <c r="H35" i="17"/>
  <c r="O35" i="17"/>
  <c r="K34" i="17"/>
  <c r="L34" i="17"/>
  <c r="G34" i="17"/>
  <c r="H34" i="17"/>
  <c r="O34" i="17"/>
  <c r="K33" i="17"/>
  <c r="L33" i="17"/>
  <c r="N33" i="17"/>
  <c r="G33" i="17"/>
  <c r="H33" i="17"/>
  <c r="O33" i="17"/>
  <c r="K32" i="17"/>
  <c r="L32" i="17"/>
  <c r="N32" i="17"/>
  <c r="G32" i="17"/>
  <c r="H32" i="17"/>
  <c r="O32" i="17"/>
  <c r="K31" i="17"/>
  <c r="L31" i="17"/>
  <c r="N31" i="17"/>
  <c r="G31" i="17"/>
  <c r="H31" i="17"/>
  <c r="O31" i="17"/>
  <c r="K30" i="17"/>
  <c r="L30" i="17"/>
  <c r="N30" i="17"/>
  <c r="H30" i="17"/>
  <c r="O30" i="17"/>
  <c r="G30" i="17"/>
  <c r="K29" i="17"/>
  <c r="L29" i="17"/>
  <c r="G29" i="17"/>
  <c r="H29" i="17"/>
  <c r="O29" i="17"/>
  <c r="K28" i="17"/>
  <c r="L28" i="17"/>
  <c r="N28" i="17"/>
  <c r="G28" i="17"/>
  <c r="H28" i="17"/>
  <c r="O28" i="17"/>
  <c r="H26" i="17"/>
  <c r="O26" i="17"/>
  <c r="L24" i="17"/>
  <c r="N24" i="17"/>
  <c r="H24" i="17"/>
  <c r="O24" i="17"/>
  <c r="L23" i="17"/>
  <c r="N23" i="17"/>
  <c r="H23" i="17"/>
  <c r="L22" i="17"/>
  <c r="H22" i="17"/>
  <c r="N22" i="17"/>
  <c r="G58" i="16"/>
  <c r="K58" i="16"/>
  <c r="F44" i="16"/>
  <c r="G57" i="16"/>
  <c r="H57" i="16"/>
  <c r="K57" i="16"/>
  <c r="L57" i="16"/>
  <c r="L56" i="16"/>
  <c r="H56" i="16"/>
  <c r="N56" i="16"/>
  <c r="O56" i="16"/>
  <c r="L55" i="16"/>
  <c r="H55" i="16"/>
  <c r="O55" i="16"/>
  <c r="L54" i="16"/>
  <c r="K53" i="16"/>
  <c r="L53" i="16"/>
  <c r="H53" i="16"/>
  <c r="N53" i="16"/>
  <c r="G53" i="16"/>
  <c r="O53" i="16"/>
  <c r="L52" i="16"/>
  <c r="H52" i="16"/>
  <c r="N52" i="16"/>
  <c r="O52" i="16"/>
  <c r="G51" i="16"/>
  <c r="H51" i="16"/>
  <c r="H50" i="16"/>
  <c r="L45" i="16"/>
  <c r="H45" i="16"/>
  <c r="N45" i="16"/>
  <c r="K44" i="16"/>
  <c r="L44" i="16" s="1"/>
  <c r="N44" i="16" s="1"/>
  <c r="O44" i="16" s="1"/>
  <c r="G44" i="16"/>
  <c r="H44" i="16"/>
  <c r="K43" i="16"/>
  <c r="G43" i="16"/>
  <c r="H43" i="16"/>
  <c r="K41" i="16"/>
  <c r="L41" i="16"/>
  <c r="N41" i="16"/>
  <c r="G41" i="16"/>
  <c r="H41" i="16"/>
  <c r="O41" i="16"/>
  <c r="K40" i="16"/>
  <c r="L40" i="16"/>
  <c r="N40" i="16"/>
  <c r="G40" i="16"/>
  <c r="H40" i="16"/>
  <c r="O40" i="16"/>
  <c r="K39" i="16"/>
  <c r="K37" i="16"/>
  <c r="L37" i="16"/>
  <c r="G37" i="16"/>
  <c r="H37" i="16"/>
  <c r="O37" i="16"/>
  <c r="K36" i="16"/>
  <c r="L36" i="16"/>
  <c r="G36" i="16"/>
  <c r="H36" i="16"/>
  <c r="N36" i="16"/>
  <c r="K35" i="16"/>
  <c r="L35" i="16"/>
  <c r="G35" i="16"/>
  <c r="H35" i="16"/>
  <c r="O35" i="16"/>
  <c r="K34" i="16"/>
  <c r="L34" i="16"/>
  <c r="G34" i="16"/>
  <c r="H34" i="16"/>
  <c r="O34" i="16"/>
  <c r="K33" i="16"/>
  <c r="L33" i="16"/>
  <c r="G33" i="16"/>
  <c r="H33" i="16"/>
  <c r="N33" i="16"/>
  <c r="O33" i="16"/>
  <c r="K32" i="16"/>
  <c r="L32" i="16"/>
  <c r="N32" i="16"/>
  <c r="G32" i="16"/>
  <c r="H32" i="16"/>
  <c r="O32" i="16"/>
  <c r="K31" i="16"/>
  <c r="L31" i="16"/>
  <c r="G31" i="16"/>
  <c r="H31" i="16"/>
  <c r="K30" i="16"/>
  <c r="L30" i="16"/>
  <c r="N30" i="16"/>
  <c r="G30" i="16"/>
  <c r="H30" i="16"/>
  <c r="O30" i="16"/>
  <c r="K29" i="16"/>
  <c r="L29" i="16"/>
  <c r="N29" i="16"/>
  <c r="G29" i="16"/>
  <c r="H29" i="16"/>
  <c r="O29" i="16"/>
  <c r="G39" i="16"/>
  <c r="H27" i="16"/>
  <c r="O27" i="16"/>
  <c r="L24" i="16"/>
  <c r="H24" i="16"/>
  <c r="N24" i="16"/>
  <c r="O24" i="16"/>
  <c r="L23" i="16"/>
  <c r="N23" i="16"/>
  <c r="H23" i="16"/>
  <c r="O23" i="16"/>
  <c r="L22" i="16"/>
  <c r="H22" i="16"/>
  <c r="N22" i="16"/>
  <c r="O22" i="16"/>
  <c r="G57" i="14"/>
  <c r="K57" i="14"/>
  <c r="J43" i="14" s="1"/>
  <c r="G56" i="14"/>
  <c r="H56" i="14"/>
  <c r="O56" i="14" s="1"/>
  <c r="K56" i="14"/>
  <c r="L56" i="14"/>
  <c r="N56" i="14" s="1"/>
  <c r="L55" i="14"/>
  <c r="N55" i="14" s="1"/>
  <c r="H55" i="14"/>
  <c r="O55" i="14" s="1"/>
  <c r="L54" i="14"/>
  <c r="H54" i="14"/>
  <c r="O54" i="14"/>
  <c r="K52" i="14"/>
  <c r="L52" i="14" s="1"/>
  <c r="G52" i="14"/>
  <c r="H52" i="14" s="1"/>
  <c r="L51" i="14"/>
  <c r="N51" i="14" s="1"/>
  <c r="H51" i="14"/>
  <c r="O51" i="14" s="1"/>
  <c r="K50" i="14"/>
  <c r="L50" i="14" s="1"/>
  <c r="L49" i="14"/>
  <c r="L44" i="14"/>
  <c r="N44" i="14" s="1"/>
  <c r="H44" i="14"/>
  <c r="K43" i="14"/>
  <c r="F43" i="14"/>
  <c r="H43" i="14"/>
  <c r="K42" i="14"/>
  <c r="H42" i="14"/>
  <c r="K40" i="14"/>
  <c r="L40" i="14"/>
  <c r="N40" i="14" s="1"/>
  <c r="G40" i="14"/>
  <c r="H40" i="14"/>
  <c r="O40" i="14" s="1"/>
  <c r="K39" i="14"/>
  <c r="L39" i="14" s="1"/>
  <c r="N39" i="14" s="1"/>
  <c r="G39" i="14"/>
  <c r="H39" i="14" s="1"/>
  <c r="O39" i="14" s="1"/>
  <c r="K36" i="14"/>
  <c r="L36" i="14"/>
  <c r="G36" i="14"/>
  <c r="H36" i="14"/>
  <c r="O36" i="14" s="1"/>
  <c r="K35" i="14"/>
  <c r="L35" i="14" s="1"/>
  <c r="N35" i="14" s="1"/>
  <c r="G35" i="14"/>
  <c r="H35" i="14" s="1"/>
  <c r="O35" i="14" s="1"/>
  <c r="K34" i="14"/>
  <c r="L34" i="14"/>
  <c r="N34" i="14" s="1"/>
  <c r="G34" i="14"/>
  <c r="H34" i="14"/>
  <c r="O34" i="14"/>
  <c r="K33" i="14"/>
  <c r="L33" i="14"/>
  <c r="G33" i="14"/>
  <c r="H33" i="14"/>
  <c r="O33" i="14" s="1"/>
  <c r="K32" i="14"/>
  <c r="L32" i="14" s="1"/>
  <c r="G32" i="14"/>
  <c r="H32" i="14" s="1"/>
  <c r="O32" i="14" s="1"/>
  <c r="K31" i="14"/>
  <c r="L31" i="14"/>
  <c r="N31" i="14" s="1"/>
  <c r="G31" i="14"/>
  <c r="H31" i="14"/>
  <c r="K30" i="14"/>
  <c r="L30" i="14"/>
  <c r="N30" i="14" s="1"/>
  <c r="G30" i="14"/>
  <c r="H30" i="14"/>
  <c r="O30" i="14" s="1"/>
  <c r="K29" i="14"/>
  <c r="L29" i="14" s="1"/>
  <c r="G29" i="14"/>
  <c r="H29" i="14" s="1"/>
  <c r="O29" i="14" s="1"/>
  <c r="K28" i="14"/>
  <c r="L28" i="14"/>
  <c r="G28" i="14"/>
  <c r="H28" i="14"/>
  <c r="O28" i="14" s="1"/>
  <c r="O26" i="14"/>
  <c r="L25" i="14"/>
  <c r="H25" i="14"/>
  <c r="N25" i="14" s="1"/>
  <c r="L24" i="14"/>
  <c r="H24" i="14"/>
  <c r="N24" i="14" s="1"/>
  <c r="O24" i="14"/>
  <c r="L23" i="14"/>
  <c r="N23" i="14"/>
  <c r="H23" i="14"/>
  <c r="O23" i="14"/>
  <c r="L22" i="14"/>
  <c r="N22" i="14"/>
  <c r="H22" i="14"/>
  <c r="O22" i="14"/>
  <c r="N35" i="16"/>
  <c r="H58" i="16"/>
  <c r="O58" i="16"/>
  <c r="G53" i="13"/>
  <c r="H53" i="13"/>
  <c r="L53" i="13"/>
  <c r="N53" i="13"/>
  <c r="O53" i="13"/>
  <c r="K43" i="13"/>
  <c r="K41" i="13"/>
  <c r="L41" i="13"/>
  <c r="K40" i="13"/>
  <c r="K39" i="13"/>
  <c r="G43" i="13"/>
  <c r="G41" i="13"/>
  <c r="H41" i="13"/>
  <c r="G40" i="13"/>
  <c r="H40" i="13"/>
  <c r="K58" i="13"/>
  <c r="L58" i="13"/>
  <c r="N58" i="13"/>
  <c r="K57" i="13"/>
  <c r="L57" i="13"/>
  <c r="H56" i="13"/>
  <c r="O56" i="13"/>
  <c r="L55" i="13"/>
  <c r="N55" i="13"/>
  <c r="K53" i="13"/>
  <c r="L52" i="13"/>
  <c r="N52" i="13"/>
  <c r="O52" i="13"/>
  <c r="H52" i="13"/>
  <c r="L45" i="13"/>
  <c r="H45" i="13"/>
  <c r="N45" i="13"/>
  <c r="H43" i="13"/>
  <c r="L40" i="13"/>
  <c r="K37" i="13"/>
  <c r="L37" i="13"/>
  <c r="N37" i="13"/>
  <c r="G37" i="13"/>
  <c r="H37" i="13"/>
  <c r="O37" i="13"/>
  <c r="K36" i="13"/>
  <c r="L36" i="13"/>
  <c r="N36" i="13" s="1"/>
  <c r="G36" i="13"/>
  <c r="H36" i="13"/>
  <c r="O36" i="13"/>
  <c r="K35" i="13"/>
  <c r="L35" i="13"/>
  <c r="N35" i="13"/>
  <c r="G35" i="13"/>
  <c r="H35" i="13"/>
  <c r="O35" i="13"/>
  <c r="K34" i="13"/>
  <c r="L34" i="13"/>
  <c r="N34" i="13" s="1"/>
  <c r="G34" i="13"/>
  <c r="H34" i="13"/>
  <c r="O34" i="13"/>
  <c r="K33" i="13"/>
  <c r="L33" i="13"/>
  <c r="N33" i="13"/>
  <c r="G33" i="13"/>
  <c r="H33" i="13"/>
  <c r="O33" i="13"/>
  <c r="K32" i="13"/>
  <c r="L32" i="13"/>
  <c r="G32" i="13"/>
  <c r="H32" i="13"/>
  <c r="K31" i="13"/>
  <c r="L31" i="13"/>
  <c r="G31" i="13"/>
  <c r="H31" i="13"/>
  <c r="O31" i="13"/>
  <c r="K30" i="13"/>
  <c r="L30" i="13"/>
  <c r="N30" i="13"/>
  <c r="G30" i="13"/>
  <c r="H30" i="13"/>
  <c r="O30" i="13"/>
  <c r="L29" i="13"/>
  <c r="N29" i="13" s="1"/>
  <c r="K29" i="13"/>
  <c r="G29" i="13"/>
  <c r="H29" i="13"/>
  <c r="O29" i="13"/>
  <c r="H27" i="13"/>
  <c r="O27" i="13"/>
  <c r="L26" i="13"/>
  <c r="L24" i="13"/>
  <c r="H24" i="13"/>
  <c r="N24" i="13"/>
  <c r="O24" i="13"/>
  <c r="L23" i="13"/>
  <c r="N23" i="13"/>
  <c r="H23" i="13"/>
  <c r="L22" i="13"/>
  <c r="N22" i="13"/>
  <c r="H22" i="13"/>
  <c r="O22" i="13"/>
  <c r="G59" i="8"/>
  <c r="K59" i="8"/>
  <c r="L59" i="8"/>
  <c r="H59" i="8"/>
  <c r="N59" i="8"/>
  <c r="G58" i="8"/>
  <c r="K58" i="8"/>
  <c r="L58" i="8"/>
  <c r="H58" i="8"/>
  <c r="N58" i="8"/>
  <c r="K54" i="8"/>
  <c r="L54" i="8"/>
  <c r="H54" i="8"/>
  <c r="N54" i="8"/>
  <c r="G54" i="8"/>
  <c r="O54" i="8"/>
  <c r="L53" i="8"/>
  <c r="H53" i="8"/>
  <c r="N53" i="8"/>
  <c r="O53" i="8"/>
  <c r="L46" i="8"/>
  <c r="H46" i="8"/>
  <c r="N46" i="8"/>
  <c r="J45" i="8"/>
  <c r="F45" i="8"/>
  <c r="H45" i="8"/>
  <c r="K44" i="8"/>
  <c r="G44" i="8"/>
  <c r="H44" i="8"/>
  <c r="K43" i="8"/>
  <c r="L43" i="8"/>
  <c r="N43" i="8"/>
  <c r="G43" i="8"/>
  <c r="H43" i="8"/>
  <c r="O43" i="8"/>
  <c r="K42" i="8"/>
  <c r="L42" i="8"/>
  <c r="G42" i="8"/>
  <c r="H42" i="8"/>
  <c r="O42" i="8"/>
  <c r="K41" i="8"/>
  <c r="L41" i="8"/>
  <c r="G41" i="8"/>
  <c r="H41" i="8"/>
  <c r="O41" i="8"/>
  <c r="K40" i="8"/>
  <c r="G40" i="8"/>
  <c r="K37" i="8"/>
  <c r="L37" i="8"/>
  <c r="G37" i="8"/>
  <c r="H37" i="8"/>
  <c r="K36" i="8"/>
  <c r="L36" i="8"/>
  <c r="G36" i="8"/>
  <c r="H36" i="8"/>
  <c r="K35" i="8"/>
  <c r="L35" i="8"/>
  <c r="N35" i="8"/>
  <c r="G35" i="8"/>
  <c r="H35" i="8"/>
  <c r="O35" i="8"/>
  <c r="K34" i="8"/>
  <c r="L34" i="8"/>
  <c r="N34" i="8"/>
  <c r="G34" i="8"/>
  <c r="H34" i="8"/>
  <c r="O34" i="8"/>
  <c r="K33" i="8"/>
  <c r="L33" i="8"/>
  <c r="G33" i="8"/>
  <c r="H33" i="8"/>
  <c r="K32" i="8"/>
  <c r="L32" i="8"/>
  <c r="N32" i="8"/>
  <c r="G32" i="8"/>
  <c r="H32" i="8"/>
  <c r="O32" i="8"/>
  <c r="K31" i="8"/>
  <c r="L31" i="8"/>
  <c r="G31" i="8"/>
  <c r="H31" i="8"/>
  <c r="O31" i="8"/>
  <c r="K30" i="8"/>
  <c r="L30" i="8"/>
  <c r="G30" i="8"/>
  <c r="H30" i="8"/>
  <c r="O30" i="8"/>
  <c r="K29" i="8"/>
  <c r="L29" i="8"/>
  <c r="N29" i="8"/>
  <c r="G29" i="8"/>
  <c r="H29" i="8"/>
  <c r="O29" i="8"/>
  <c r="K28" i="8"/>
  <c r="G28" i="8"/>
  <c r="H24" i="8"/>
  <c r="O24" i="8"/>
  <c r="L39" i="8"/>
  <c r="H39" i="8"/>
  <c r="O39" i="8"/>
  <c r="L23" i="8"/>
  <c r="H23" i="8"/>
  <c r="L22" i="8"/>
  <c r="H22" i="8"/>
  <c r="G58" i="1"/>
  <c r="H58" i="1"/>
  <c r="G39" i="13"/>
  <c r="N40" i="13"/>
  <c r="O40" i="13"/>
  <c r="H58" i="13"/>
  <c r="O58" i="13"/>
  <c r="L56" i="13"/>
  <c r="N56" i="13"/>
  <c r="H55" i="13"/>
  <c r="O55" i="13"/>
  <c r="H57" i="13"/>
  <c r="O57" i="13"/>
  <c r="N23" i="8"/>
  <c r="O23" i="8"/>
  <c r="O59" i="8"/>
  <c r="G59" i="1"/>
  <c r="H59" i="1"/>
  <c r="O59" i="1"/>
  <c r="K59" i="1"/>
  <c r="L59" i="1"/>
  <c r="H57" i="1"/>
  <c r="K56" i="1"/>
  <c r="L56" i="1"/>
  <c r="N56" i="1"/>
  <c r="K54" i="1"/>
  <c r="L54" i="1"/>
  <c r="N54" i="1"/>
  <c r="O54" i="1"/>
  <c r="G54" i="1"/>
  <c r="H54" i="1"/>
  <c r="L53" i="1"/>
  <c r="H53" i="1"/>
  <c r="N53" i="1"/>
  <c r="O53" i="1"/>
  <c r="L46" i="1"/>
  <c r="H46" i="1"/>
  <c r="N46" i="1"/>
  <c r="O45" i="1"/>
  <c r="K44" i="1"/>
  <c r="G44" i="1"/>
  <c r="H44" i="1"/>
  <c r="K43" i="1"/>
  <c r="L43" i="1"/>
  <c r="N43" i="1"/>
  <c r="G43" i="1"/>
  <c r="H43" i="1"/>
  <c r="O43" i="1"/>
  <c r="K42" i="1"/>
  <c r="L42" i="1"/>
  <c r="N42" i="1"/>
  <c r="G42" i="1"/>
  <c r="H42" i="1"/>
  <c r="O42" i="1"/>
  <c r="K41" i="1"/>
  <c r="L41" i="1"/>
  <c r="N41" i="1"/>
  <c r="G41" i="1"/>
  <c r="H41" i="1"/>
  <c r="K40" i="1"/>
  <c r="G40" i="1"/>
  <c r="K37" i="1"/>
  <c r="L37" i="1"/>
  <c r="N37" i="1"/>
  <c r="G37" i="1"/>
  <c r="H37" i="1"/>
  <c r="O37" i="1"/>
  <c r="K36" i="1"/>
  <c r="L36" i="1"/>
  <c r="N36" i="1"/>
  <c r="G36" i="1"/>
  <c r="H36" i="1"/>
  <c r="O36" i="1"/>
  <c r="K35" i="1"/>
  <c r="L35" i="1"/>
  <c r="G35" i="1"/>
  <c r="H35" i="1"/>
  <c r="N35" i="1"/>
  <c r="O35" i="1"/>
  <c r="K34" i="1"/>
  <c r="L34" i="1"/>
  <c r="N34" i="1"/>
  <c r="G34" i="1"/>
  <c r="H34" i="1"/>
  <c r="O34" i="1"/>
  <c r="K33" i="1"/>
  <c r="L33" i="1"/>
  <c r="G33" i="1"/>
  <c r="H33" i="1"/>
  <c r="O33" i="1"/>
  <c r="K32" i="1"/>
  <c r="L32" i="1"/>
  <c r="N32" i="1"/>
  <c r="G32" i="1"/>
  <c r="H32" i="1"/>
  <c r="O32" i="1"/>
  <c r="K31" i="1"/>
  <c r="L31" i="1"/>
  <c r="N31" i="1"/>
  <c r="G31" i="1"/>
  <c r="H31" i="1"/>
  <c r="O31" i="1"/>
  <c r="K30" i="1"/>
  <c r="L30" i="1"/>
  <c r="G30" i="1"/>
  <c r="H30" i="1"/>
  <c r="O30" i="1"/>
  <c r="K29" i="1"/>
  <c r="L29" i="1"/>
  <c r="G29" i="1"/>
  <c r="H29" i="1"/>
  <c r="O29" i="1"/>
  <c r="K28" i="1"/>
  <c r="G28" i="1"/>
  <c r="H24" i="1"/>
  <c r="L39" i="1"/>
  <c r="N39" i="1"/>
  <c r="H39" i="1"/>
  <c r="O39" i="1"/>
  <c r="L23" i="1"/>
  <c r="H23" i="1"/>
  <c r="N23" i="1"/>
  <c r="L22" i="1"/>
  <c r="H22" i="1"/>
  <c r="N22" i="1"/>
  <c r="O22" i="1"/>
  <c r="K57" i="1"/>
  <c r="L57" i="1"/>
  <c r="N57" i="1"/>
  <c r="N54" i="17"/>
  <c r="N55" i="16"/>
  <c r="N57" i="13"/>
  <c r="O23" i="17"/>
  <c r="O41" i="1"/>
  <c r="O24" i="1"/>
  <c r="N29" i="1"/>
  <c r="O58" i="8"/>
  <c r="N39" i="8"/>
  <c r="O23" i="13"/>
  <c r="O31" i="14"/>
  <c r="L57" i="14"/>
  <c r="N57" i="14" s="1"/>
  <c r="O57" i="14" s="1"/>
  <c r="H57" i="14"/>
  <c r="N54" i="14"/>
  <c r="O41" i="13"/>
  <c r="N41" i="13"/>
  <c r="O54" i="13"/>
  <c r="N26" i="13"/>
  <c r="O26" i="13"/>
  <c r="N31" i="13"/>
  <c r="O32" i="13"/>
  <c r="N32" i="13"/>
  <c r="G51" i="13"/>
  <c r="H51" i="13"/>
  <c r="O37" i="8"/>
  <c r="N37" i="8"/>
  <c r="O36" i="8"/>
  <c r="N36" i="8"/>
  <c r="G51" i="8"/>
  <c r="H51" i="8"/>
  <c r="G52" i="8"/>
  <c r="H52" i="8"/>
  <c r="N31" i="8"/>
  <c r="N55" i="8"/>
  <c r="O55" i="8"/>
  <c r="O57" i="8"/>
  <c r="N30" i="8"/>
  <c r="O33" i="8"/>
  <c r="N33" i="8"/>
  <c r="N22" i="8"/>
  <c r="O22" i="8"/>
  <c r="N42" i="8"/>
  <c r="H56" i="8"/>
  <c r="N41" i="8"/>
  <c r="K52" i="1"/>
  <c r="L52" i="1" s="1"/>
  <c r="N52" i="1" s="1"/>
  <c r="O52" i="1" s="1"/>
  <c r="G51" i="1"/>
  <c r="H51" i="1"/>
  <c r="O57" i="1"/>
  <c r="N59" i="1"/>
  <c r="O56" i="1"/>
  <c r="N26" i="1"/>
  <c r="O26" i="1"/>
  <c r="N30" i="1"/>
  <c r="O23" i="1"/>
  <c r="N33" i="1"/>
  <c r="G52" i="1"/>
  <c r="H52" i="1"/>
  <c r="K58" i="1"/>
  <c r="L58" i="1"/>
  <c r="N58" i="1"/>
  <c r="O58" i="1"/>
  <c r="O31" i="16"/>
  <c r="N31" i="16"/>
  <c r="L58" i="16"/>
  <c r="N58" i="16"/>
  <c r="J44" i="16"/>
  <c r="N37" i="16"/>
  <c r="N54" i="16"/>
  <c r="O54" i="16"/>
  <c r="O26" i="16"/>
  <c r="N34" i="16"/>
  <c r="N57" i="16"/>
  <c r="O57" i="16"/>
  <c r="O36" i="16"/>
  <c r="L57" i="17"/>
  <c r="J43" i="17"/>
  <c r="L43" i="17"/>
  <c r="N43" i="17" s="1"/>
  <c r="O43" i="17" s="1"/>
  <c r="N29" i="17"/>
  <c r="N53" i="17"/>
  <c r="O53" i="17"/>
  <c r="N34" i="17"/>
  <c r="N25" i="17"/>
  <c r="O25" i="17"/>
  <c r="N39" i="17"/>
  <c r="O56" i="17"/>
  <c r="O22" i="17"/>
  <c r="O51" i="17"/>
  <c r="O55" i="17"/>
  <c r="H57" i="17"/>
  <c r="O57" i="17"/>
  <c r="N36" i="17"/>
  <c r="N56" i="8"/>
  <c r="O56" i="8"/>
  <c r="N57" i="17"/>
  <c r="N47" i="39" l="1"/>
  <c r="K51" i="16"/>
  <c r="L51" i="16" s="1"/>
  <c r="N51" i="16" s="1"/>
  <c r="O51" i="16" s="1"/>
  <c r="O56" i="37"/>
  <c r="O52" i="37"/>
  <c r="O24" i="37"/>
  <c r="L57" i="37"/>
  <c r="N57" i="37" s="1"/>
  <c r="O57" i="37" s="1"/>
  <c r="N39" i="37"/>
  <c r="K53" i="37"/>
  <c r="L53" i="37" s="1"/>
  <c r="N53" i="37" s="1"/>
  <c r="O53" i="37" s="1"/>
  <c r="L43" i="37"/>
  <c r="N43" i="37" s="1"/>
  <c r="O43" i="37" s="1"/>
  <c r="N49" i="37"/>
  <c r="O49" i="37" s="1"/>
  <c r="N32" i="14"/>
  <c r="N29" i="14"/>
  <c r="N52" i="14"/>
  <c r="O52" i="14" s="1"/>
  <c r="O25" i="14"/>
  <c r="N28" i="14"/>
  <c r="N33" i="14"/>
  <c r="N36" i="14"/>
  <c r="L43" i="14"/>
  <c r="N43" i="14" s="1"/>
  <c r="O43" i="14" s="1"/>
  <c r="N49" i="14"/>
  <c r="O49" i="14" s="1"/>
  <c r="N50" i="14"/>
  <c r="O50" i="14" s="1"/>
  <c r="H49" i="14"/>
  <c r="H46" i="14"/>
  <c r="N46" i="14"/>
  <c r="O46" i="14" s="1"/>
  <c r="K47" i="37"/>
  <c r="L47" i="37" s="1"/>
  <c r="N47" i="37" s="1"/>
  <c r="O47" i="37" s="1"/>
  <c r="K47" i="14"/>
  <c r="L47" i="14" s="1"/>
  <c r="N47" i="14" s="1"/>
  <c r="O47" i="14" s="1"/>
  <c r="L48" i="27"/>
  <c r="N48" i="27" s="1"/>
  <c r="O48" i="27" s="1"/>
  <c r="L48" i="34"/>
  <c r="N48" i="34" s="1"/>
  <c r="O48" i="34" s="1"/>
  <c r="L50" i="36"/>
  <c r="N50" i="36" s="1"/>
  <c r="O50" i="36" s="1"/>
  <c r="K50" i="37"/>
  <c r="L50" i="37" s="1"/>
  <c r="N50" i="37" s="1"/>
  <c r="O50" i="37" s="1"/>
  <c r="L48" i="28"/>
  <c r="N48" i="28" s="1"/>
  <c r="O48" i="28" s="1"/>
  <c r="L48" i="35"/>
  <c r="N48" i="35" s="1"/>
  <c r="O48" i="35" s="1"/>
  <c r="L46" i="17"/>
  <c r="N46" i="17" s="1"/>
  <c r="O46" i="17" s="1"/>
  <c r="N50" i="39"/>
  <c r="O50" i="39" s="1"/>
  <c r="K51" i="32"/>
  <c r="L51" i="32" s="1"/>
  <c r="N51" i="32" s="1"/>
  <c r="O51" i="32" s="1"/>
  <c r="K51" i="28"/>
  <c r="L51" i="28" s="1"/>
  <c r="N51" i="28" s="1"/>
  <c r="O51" i="28" s="1"/>
  <c r="K52" i="28"/>
  <c r="L52" i="28" s="1"/>
  <c r="N52" i="28" s="1"/>
  <c r="O52" i="28" s="1"/>
  <c r="L49" i="28"/>
  <c r="N49" i="28" s="1"/>
  <c r="O49" i="28" s="1"/>
  <c r="L47" i="16"/>
  <c r="N47" i="16" s="1"/>
  <c r="O47" i="16" s="1"/>
  <c r="K51" i="13"/>
  <c r="L51" i="13" s="1"/>
  <c r="N51" i="13" s="1"/>
  <c r="O51" i="13" s="1"/>
  <c r="K51" i="35"/>
  <c r="L51" i="35" s="1"/>
  <c r="N51" i="35" s="1"/>
  <c r="O51" i="35" s="1"/>
  <c r="K52" i="35"/>
  <c r="L52" i="35" s="1"/>
  <c r="N52" i="35" s="1"/>
  <c r="O52" i="35" s="1"/>
  <c r="L49" i="35"/>
  <c r="N49" i="35" s="1"/>
  <c r="O49" i="35" s="1"/>
  <c r="K51" i="34"/>
  <c r="L51" i="34" s="1"/>
  <c r="N51" i="34" s="1"/>
  <c r="O51" i="34" s="1"/>
  <c r="K52" i="34"/>
  <c r="L52" i="34" s="1"/>
  <c r="N52" i="34" s="1"/>
  <c r="O52" i="34" s="1"/>
  <c r="L49" i="34"/>
  <c r="N49" i="34" s="1"/>
  <c r="O49" i="34" s="1"/>
  <c r="K51" i="33"/>
  <c r="L51" i="33" s="1"/>
  <c r="N51" i="33" s="1"/>
  <c r="O51" i="33" s="1"/>
  <c r="K52" i="33"/>
  <c r="L52" i="33" s="1"/>
  <c r="N52" i="33" s="1"/>
  <c r="O52" i="33" s="1"/>
  <c r="L49" i="33"/>
  <c r="N49" i="33" s="1"/>
  <c r="O49" i="33" s="1"/>
  <c r="L49" i="8"/>
  <c r="N49" i="8" s="1"/>
  <c r="O49" i="8" s="1"/>
  <c r="K52" i="8"/>
  <c r="L52" i="8" s="1"/>
  <c r="N52" i="8" s="1"/>
  <c r="O52" i="8" s="1"/>
  <c r="K51" i="8"/>
  <c r="L51" i="8" s="1"/>
  <c r="N51" i="8" s="1"/>
  <c r="O51" i="8" s="1"/>
  <c r="L48" i="8"/>
  <c r="N48" i="8" s="1"/>
  <c r="O48" i="8" s="1"/>
  <c r="K49" i="31"/>
  <c r="K49" i="30"/>
  <c r="K49" i="29"/>
  <c r="K51" i="27"/>
  <c r="L51" i="27" s="1"/>
  <c r="N51" i="27" s="1"/>
  <c r="O51" i="27" s="1"/>
  <c r="K52" i="27"/>
  <c r="L52" i="27" s="1"/>
  <c r="N52" i="27" s="1"/>
  <c r="O52" i="27" s="1"/>
  <c r="L49" i="27"/>
  <c r="N49" i="27" s="1"/>
  <c r="O49" i="27" s="1"/>
  <c r="K49" i="26"/>
  <c r="K51" i="1"/>
  <c r="L51" i="1" s="1"/>
  <c r="N51" i="1" s="1"/>
  <c r="O51" i="1" s="1"/>
  <c r="H37" i="39"/>
  <c r="H45" i="39" s="1"/>
  <c r="N47" i="25"/>
  <c r="O47" i="25" s="1"/>
  <c r="N46" i="25"/>
  <c r="O46" i="25" s="1"/>
  <c r="N51" i="40"/>
  <c r="O51" i="40" s="1"/>
  <c r="J44" i="40"/>
  <c r="L44" i="40" s="1"/>
  <c r="L58" i="40"/>
  <c r="N58" i="40" s="1"/>
  <c r="O58" i="40" s="1"/>
  <c r="H46" i="40"/>
  <c r="N48" i="40"/>
  <c r="O48" i="40" s="1"/>
  <c r="J43" i="39"/>
  <c r="L43" i="39" s="1"/>
  <c r="L57" i="39"/>
  <c r="N57" i="39" s="1"/>
  <c r="O57" i="39" s="1"/>
  <c r="N53" i="39"/>
  <c r="O53" i="39" s="1"/>
  <c r="O47" i="39"/>
  <c r="L48" i="36"/>
  <c r="N48" i="36" s="1"/>
  <c r="O48" i="36" s="1"/>
  <c r="N47" i="36"/>
  <c r="O47" i="36" s="1"/>
  <c r="N48" i="13"/>
  <c r="O48" i="13" s="1"/>
  <c r="N47" i="13"/>
  <c r="O47" i="13" s="1"/>
  <c r="H49" i="38"/>
  <c r="H66" i="38" s="1"/>
  <c r="O54" i="38"/>
  <c r="N47" i="38"/>
  <c r="O47" i="38" s="1"/>
  <c r="H38" i="29"/>
  <c r="H38" i="32"/>
  <c r="H38" i="27"/>
  <c r="H38" i="35"/>
  <c r="H37" i="14"/>
  <c r="H38" i="13"/>
  <c r="H38" i="36"/>
  <c r="H38" i="28"/>
  <c r="H37" i="17"/>
  <c r="H38" i="1"/>
  <c r="H38" i="8"/>
  <c r="H38" i="16"/>
  <c r="F26" i="24" s="1"/>
  <c r="H38" i="31"/>
  <c r="F15" i="24" s="1"/>
  <c r="H38" i="34"/>
  <c r="F19" i="24" s="1"/>
  <c r="H38" i="26"/>
  <c r="F10" i="24" s="1"/>
  <c r="H38" i="30"/>
  <c r="F14" i="24" s="1"/>
  <c r="H38" i="33"/>
  <c r="F18" i="24" s="1"/>
  <c r="H37" i="37"/>
  <c r="F24" i="24" s="1"/>
  <c r="H37" i="25"/>
  <c r="H47" i="8" l="1"/>
  <c r="F16" i="24"/>
  <c r="H46" i="36"/>
  <c r="H49" i="36" s="1"/>
  <c r="H66" i="36" s="1"/>
  <c r="F22" i="24"/>
  <c r="H47" i="27"/>
  <c r="H50" i="27" s="1"/>
  <c r="H61" i="27" s="1"/>
  <c r="H62" i="27" s="1"/>
  <c r="H63" i="27" s="1"/>
  <c r="H64" i="27" s="1"/>
  <c r="H65" i="27" s="1"/>
  <c r="F11" i="24"/>
  <c r="H47" i="28"/>
  <c r="H50" i="28" s="1"/>
  <c r="F12" i="24"/>
  <c r="H47" i="1"/>
  <c r="H50" i="1" s="1"/>
  <c r="F9" i="24"/>
  <c r="H46" i="13"/>
  <c r="H49" i="13" s="1"/>
  <c r="H66" i="13" s="1"/>
  <c r="F21" i="24"/>
  <c r="H47" i="32"/>
  <c r="H50" i="32" s="1"/>
  <c r="H67" i="32" s="1"/>
  <c r="H68" i="32" s="1"/>
  <c r="F17" i="24"/>
  <c r="H47" i="35"/>
  <c r="H50" i="35" s="1"/>
  <c r="H61" i="35" s="1"/>
  <c r="F20" i="24"/>
  <c r="H45" i="17"/>
  <c r="H48" i="17" s="1"/>
  <c r="F25" i="24"/>
  <c r="H45" i="14"/>
  <c r="H48" i="14" s="1"/>
  <c r="H65" i="14" s="1"/>
  <c r="F23" i="24"/>
  <c r="H47" i="29"/>
  <c r="H50" i="29" s="1"/>
  <c r="H67" i="29" s="1"/>
  <c r="H68" i="29" s="1"/>
  <c r="H69" i="29" s="1"/>
  <c r="H70" i="29" s="1"/>
  <c r="F13" i="24"/>
  <c r="L49" i="31"/>
  <c r="N49" i="31" s="1"/>
  <c r="O49" i="31" s="1"/>
  <c r="K51" i="31"/>
  <c r="L51" i="31" s="1"/>
  <c r="N51" i="31" s="1"/>
  <c r="O51" i="31" s="1"/>
  <c r="K52" i="31"/>
  <c r="L52" i="31" s="1"/>
  <c r="N52" i="31" s="1"/>
  <c r="O52" i="31" s="1"/>
  <c r="L49" i="30"/>
  <c r="N49" i="30" s="1"/>
  <c r="O49" i="30" s="1"/>
  <c r="K51" i="30"/>
  <c r="L51" i="30" s="1"/>
  <c r="N51" i="30" s="1"/>
  <c r="O51" i="30" s="1"/>
  <c r="K52" i="30"/>
  <c r="L52" i="30" s="1"/>
  <c r="N52" i="30" s="1"/>
  <c r="O52" i="30" s="1"/>
  <c r="L49" i="29"/>
  <c r="N49" i="29" s="1"/>
  <c r="O49" i="29" s="1"/>
  <c r="K51" i="29"/>
  <c r="L51" i="29" s="1"/>
  <c r="N51" i="29" s="1"/>
  <c r="O51" i="29" s="1"/>
  <c r="K52" i="29"/>
  <c r="L52" i="29" s="1"/>
  <c r="N52" i="29" s="1"/>
  <c r="O52" i="29" s="1"/>
  <c r="K51" i="26"/>
  <c r="L51" i="26" s="1"/>
  <c r="N51" i="26" s="1"/>
  <c r="O51" i="26" s="1"/>
  <c r="L49" i="26"/>
  <c r="N49" i="26" s="1"/>
  <c r="O49" i="26" s="1"/>
  <c r="K52" i="26"/>
  <c r="L52" i="26" s="1"/>
  <c r="N52" i="26" s="1"/>
  <c r="O52" i="26" s="1"/>
  <c r="H60" i="38"/>
  <c r="H61" i="38" s="1"/>
  <c r="N44" i="40"/>
  <c r="O44" i="40" s="1"/>
  <c r="H49" i="40"/>
  <c r="H48" i="39"/>
  <c r="N43" i="39"/>
  <c r="O43" i="39" s="1"/>
  <c r="H67" i="38"/>
  <c r="H69" i="32"/>
  <c r="H70" i="32" s="1"/>
  <c r="H71" i="32" s="1"/>
  <c r="H50" i="8"/>
  <c r="H45" i="25"/>
  <c r="H47" i="34"/>
  <c r="H46" i="16"/>
  <c r="H45" i="37"/>
  <c r="H47" i="30"/>
  <c r="H47" i="31"/>
  <c r="H47" i="26"/>
  <c r="H47" i="33"/>
  <c r="H60" i="36" l="1"/>
  <c r="H67" i="27"/>
  <c r="H68" i="27" s="1"/>
  <c r="H69" i="27" s="1"/>
  <c r="H70" i="27" s="1"/>
  <c r="H71" i="27" s="1"/>
  <c r="H59" i="14"/>
  <c r="H61" i="32"/>
  <c r="H62" i="32" s="1"/>
  <c r="H71" i="29"/>
  <c r="H61" i="29"/>
  <c r="H62" i="29" s="1"/>
  <c r="H63" i="29" s="1"/>
  <c r="H64" i="29" s="1"/>
  <c r="H65" i="29" s="1"/>
  <c r="J13" i="24" s="1"/>
  <c r="H67" i="35"/>
  <c r="H68" i="35" s="1"/>
  <c r="H69" i="35" s="1"/>
  <c r="H60" i="40"/>
  <c r="H66" i="40"/>
  <c r="H59" i="39"/>
  <c r="H65" i="39"/>
  <c r="H62" i="38"/>
  <c r="H68" i="38"/>
  <c r="H60" i="13"/>
  <c r="H61" i="13" s="1"/>
  <c r="H62" i="13" s="1"/>
  <c r="H60" i="14"/>
  <c r="H61" i="14" s="1"/>
  <c r="H66" i="14"/>
  <c r="H67" i="14" s="1"/>
  <c r="H68" i="14" s="1"/>
  <c r="H69" i="14" s="1"/>
  <c r="J23" i="24" s="1"/>
  <c r="H61" i="1"/>
  <c r="H67" i="1"/>
  <c r="H67" i="8"/>
  <c r="H61" i="8"/>
  <c r="H61" i="28"/>
  <c r="H67" i="28"/>
  <c r="H68" i="28" s="1"/>
  <c r="H69" i="28" s="1"/>
  <c r="H65" i="17"/>
  <c r="H59" i="17"/>
  <c r="H60" i="17" s="1"/>
  <c r="H61" i="17" s="1"/>
  <c r="H67" i="36"/>
  <c r="H68" i="36" s="1"/>
  <c r="H62" i="35"/>
  <c r="H63" i="35" s="1"/>
  <c r="H50" i="31"/>
  <c r="H49" i="16"/>
  <c r="H61" i="36"/>
  <c r="H62" i="36" s="1"/>
  <c r="H67" i="13"/>
  <c r="H50" i="30"/>
  <c r="F27" i="24"/>
  <c r="H48" i="25"/>
  <c r="H48" i="37"/>
  <c r="H50" i="34"/>
  <c r="H50" i="33"/>
  <c r="H50" i="26"/>
  <c r="J11" i="24"/>
  <c r="H63" i="32" l="1"/>
  <c r="H64" i="32" s="1"/>
  <c r="H67" i="40"/>
  <c r="H61" i="40"/>
  <c r="H62" i="40" s="1"/>
  <c r="H60" i="39"/>
  <c r="H61" i="39" s="1"/>
  <c r="H66" i="39"/>
  <c r="H63" i="38"/>
  <c r="H62" i="14"/>
  <c r="H63" i="14" s="1"/>
  <c r="H62" i="17"/>
  <c r="H63" i="17" s="1"/>
  <c r="H66" i="17"/>
  <c r="H67" i="17" s="1"/>
  <c r="H70" i="28"/>
  <c r="H71" i="28" s="1"/>
  <c r="H68" i="1"/>
  <c r="H69" i="1" s="1"/>
  <c r="H62" i="8"/>
  <c r="H63" i="8" s="1"/>
  <c r="H68" i="8"/>
  <c r="H69" i="8" s="1"/>
  <c r="H70" i="8" s="1"/>
  <c r="H71" i="8" s="1"/>
  <c r="H62" i="28"/>
  <c r="H63" i="28" s="1"/>
  <c r="H62" i="1"/>
  <c r="H63" i="1" s="1"/>
  <c r="H64" i="35"/>
  <c r="H65" i="35" s="1"/>
  <c r="H59" i="25"/>
  <c r="H65" i="25"/>
  <c r="H69" i="36"/>
  <c r="H70" i="36" s="1"/>
  <c r="H67" i="33"/>
  <c r="H61" i="33"/>
  <c r="H65" i="37"/>
  <c r="H59" i="37"/>
  <c r="H61" i="31"/>
  <c r="H67" i="31"/>
  <c r="H61" i="26"/>
  <c r="H67" i="26"/>
  <c r="H66" i="16"/>
  <c r="H60" i="16"/>
  <c r="H63" i="13"/>
  <c r="H67" i="34"/>
  <c r="H61" i="34"/>
  <c r="H61" i="30"/>
  <c r="H67" i="30"/>
  <c r="H70" i="35"/>
  <c r="H71" i="35" s="1"/>
  <c r="H68" i="13"/>
  <c r="H63" i="36"/>
  <c r="H64" i="36" s="1"/>
  <c r="H65" i="32" l="1"/>
  <c r="J17" i="24" s="1"/>
  <c r="H63" i="40"/>
  <c r="H64" i="40" s="1"/>
  <c r="H68" i="40"/>
  <c r="H62" i="39"/>
  <c r="H67" i="39"/>
  <c r="N69" i="38"/>
  <c r="O69" i="38" s="1"/>
  <c r="H64" i="38"/>
  <c r="H70" i="38"/>
  <c r="H70" i="1"/>
  <c r="H71" i="1" s="1"/>
  <c r="H64" i="1"/>
  <c r="H65" i="1" s="1"/>
  <c r="J9" i="24" s="1"/>
  <c r="H68" i="17"/>
  <c r="H69" i="17" s="1"/>
  <c r="J25" i="24" s="1"/>
  <c r="H64" i="8"/>
  <c r="H65" i="8" s="1"/>
  <c r="J16" i="24" s="1"/>
  <c r="H64" i="28"/>
  <c r="H65" i="28" s="1"/>
  <c r="J12" i="24" s="1"/>
  <c r="J20" i="24"/>
  <c r="H68" i="30"/>
  <c r="H61" i="16"/>
  <c r="H62" i="16" s="1"/>
  <c r="H68" i="26"/>
  <c r="H69" i="26" s="1"/>
  <c r="H68" i="31"/>
  <c r="H69" i="31" s="1"/>
  <c r="H62" i="33"/>
  <c r="H63" i="33" s="1"/>
  <c r="J22" i="24"/>
  <c r="H62" i="34"/>
  <c r="H63" i="34" s="1"/>
  <c r="H67" i="16"/>
  <c r="H68" i="16" s="1"/>
  <c r="H62" i="31"/>
  <c r="H63" i="31" s="1"/>
  <c r="H60" i="37"/>
  <c r="H61" i="37" s="1"/>
  <c r="H68" i="33"/>
  <c r="H69" i="33" s="1"/>
  <c r="H62" i="30"/>
  <c r="H63" i="30" s="1"/>
  <c r="H68" i="34"/>
  <c r="H69" i="34" s="1"/>
  <c r="H62" i="26"/>
  <c r="H66" i="37"/>
  <c r="H66" i="25"/>
  <c r="H67" i="25" s="1"/>
  <c r="H69" i="13"/>
  <c r="H70" i="13" s="1"/>
  <c r="H64" i="13"/>
  <c r="H60" i="25"/>
  <c r="H61" i="25" s="1"/>
  <c r="H70" i="40" l="1"/>
  <c r="H63" i="39"/>
  <c r="H69" i="39"/>
  <c r="H68" i="25"/>
  <c r="H69" i="25" s="1"/>
  <c r="H70" i="34"/>
  <c r="H71" i="34" s="1"/>
  <c r="H64" i="30"/>
  <c r="H65" i="30" s="1"/>
  <c r="H62" i="37"/>
  <c r="H63" i="37" s="1"/>
  <c r="H69" i="16"/>
  <c r="H70" i="16" s="1"/>
  <c r="H64" i="34"/>
  <c r="H65" i="34" s="1"/>
  <c r="H70" i="26"/>
  <c r="H71" i="26" s="1"/>
  <c r="H63" i="16"/>
  <c r="H64" i="16" s="1"/>
  <c r="H62" i="25"/>
  <c r="H63" i="25" s="1"/>
  <c r="J21" i="24"/>
  <c r="H67" i="37"/>
  <c r="H63" i="26"/>
  <c r="H70" i="33"/>
  <c r="H71" i="33" s="1"/>
  <c r="H64" i="31"/>
  <c r="H65" i="31" s="1"/>
  <c r="H64" i="33"/>
  <c r="H65" i="33" s="1"/>
  <c r="H70" i="31"/>
  <c r="H69" i="30"/>
  <c r="N69" i="40" l="1"/>
  <c r="O69" i="40" s="1"/>
  <c r="N68" i="39"/>
  <c r="O68" i="39" s="1"/>
  <c r="J15" i="24"/>
  <c r="J14" i="24"/>
  <c r="H68" i="37"/>
  <c r="H69" i="37" s="1"/>
  <c r="J26" i="24"/>
  <c r="J27" i="24"/>
  <c r="H71" i="31"/>
  <c r="J18" i="24"/>
  <c r="H70" i="30"/>
  <c r="H64" i="26"/>
  <c r="J19" i="24"/>
  <c r="J24" i="24" l="1"/>
  <c r="H65" i="26"/>
  <c r="H71" i="30"/>
  <c r="J10" i="24" l="1"/>
  <c r="L41" i="25" l="1"/>
  <c r="N41" i="25" s="1"/>
  <c r="O41" i="25" s="1"/>
  <c r="L38" i="25"/>
  <c r="N38" i="25" s="1"/>
  <c r="O38" i="25" s="1"/>
  <c r="L38" i="17"/>
  <c r="N38" i="17" s="1"/>
  <c r="O38" i="17" s="1"/>
  <c r="L25" i="28"/>
  <c r="L40" i="29" l="1"/>
  <c r="N40" i="29" s="1"/>
  <c r="O40" i="29" s="1"/>
  <c r="L40" i="27"/>
  <c r="N40" i="27" s="1"/>
  <c r="O40" i="27" s="1"/>
  <c r="L40" i="30"/>
  <c r="N40" i="30" s="1"/>
  <c r="O40" i="30" s="1"/>
  <c r="L40" i="31"/>
  <c r="N40" i="31" s="1"/>
  <c r="O40" i="31" s="1"/>
  <c r="L40" i="28"/>
  <c r="N40" i="28" s="1"/>
  <c r="O40" i="28" s="1"/>
  <c r="L40" i="26"/>
  <c r="N40" i="26" s="1"/>
  <c r="O40" i="26" s="1"/>
  <c r="L40" i="1"/>
  <c r="N40" i="1" s="1"/>
  <c r="O40" i="1" s="1"/>
  <c r="L40" i="33"/>
  <c r="N40" i="33" s="1"/>
  <c r="O40" i="33" s="1"/>
  <c r="L40" i="8"/>
  <c r="N40" i="8" s="1"/>
  <c r="O40" i="8" s="1"/>
  <c r="L40" i="35"/>
  <c r="N40" i="35" s="1"/>
  <c r="O40" i="35" s="1"/>
  <c r="L40" i="34"/>
  <c r="N40" i="34" s="1"/>
  <c r="O40" i="34" s="1"/>
  <c r="L40" i="32"/>
  <c r="N40" i="32" s="1"/>
  <c r="O40" i="32" s="1"/>
  <c r="L42" i="38"/>
  <c r="N42" i="38" s="1"/>
  <c r="O42" i="38" s="1"/>
  <c r="L42" i="36"/>
  <c r="N42" i="36" s="1"/>
  <c r="O42" i="36" s="1"/>
  <c r="L42" i="13"/>
  <c r="N42" i="13" s="1"/>
  <c r="O42" i="13" s="1"/>
  <c r="L39" i="40"/>
  <c r="N39" i="40" s="1"/>
  <c r="O39" i="40" s="1"/>
  <c r="L39" i="16"/>
  <c r="N39" i="16" s="1"/>
  <c r="O39" i="16" s="1"/>
  <c r="L39" i="38"/>
  <c r="N39" i="38" s="1"/>
  <c r="O39" i="38" s="1"/>
  <c r="L39" i="13"/>
  <c r="N39" i="13" s="1"/>
  <c r="O39" i="13" s="1"/>
  <c r="L39" i="36"/>
  <c r="N39" i="36" s="1"/>
  <c r="O39" i="36" s="1"/>
  <c r="L41" i="39"/>
  <c r="N41" i="39" s="1"/>
  <c r="O41" i="39" s="1"/>
  <c r="L41" i="37"/>
  <c r="N41" i="37" s="1"/>
  <c r="O41" i="37" s="1"/>
  <c r="L41" i="14"/>
  <c r="N41" i="14" s="1"/>
  <c r="O41" i="14" s="1"/>
  <c r="L38" i="39"/>
  <c r="N38" i="39" s="1"/>
  <c r="O38" i="39" s="1"/>
  <c r="L38" i="14"/>
  <c r="N38" i="14" s="1"/>
  <c r="O38" i="14" s="1"/>
  <c r="L38" i="37"/>
  <c r="N38" i="37" s="1"/>
  <c r="O38" i="37" s="1"/>
  <c r="L42" i="40"/>
  <c r="N42" i="40" s="1"/>
  <c r="O42" i="40" s="1"/>
  <c r="L42" i="16"/>
  <c r="N42" i="16" s="1"/>
  <c r="O42" i="16" s="1"/>
  <c r="N25" i="28"/>
  <c r="L25" i="40"/>
  <c r="L25" i="32"/>
  <c r="L25" i="38"/>
  <c r="N25" i="32" l="1"/>
  <c r="N25" i="40"/>
  <c r="N25" i="38"/>
  <c r="L26" i="17" l="1"/>
  <c r="L26" i="25"/>
  <c r="L27" i="40" l="1"/>
  <c r="L27" i="16"/>
  <c r="N26" i="17"/>
  <c r="L27" i="33"/>
  <c r="L27" i="35"/>
  <c r="L27" i="34"/>
  <c r="L27" i="32"/>
  <c r="L27" i="8"/>
  <c r="L27" i="36"/>
  <c r="L27" i="38"/>
  <c r="L27" i="13"/>
  <c r="L26" i="39"/>
  <c r="L26" i="14"/>
  <c r="L26" i="37"/>
  <c r="N26" i="25"/>
  <c r="L27" i="31" l="1"/>
  <c r="L27" i="30"/>
  <c r="L27" i="1"/>
  <c r="L27" i="29"/>
  <c r="L27" i="27"/>
  <c r="L27" i="26"/>
  <c r="L27" i="28"/>
  <c r="N27" i="32"/>
  <c r="N27" i="38"/>
  <c r="N27" i="34"/>
  <c r="N26" i="14"/>
  <c r="N27" i="36"/>
  <c r="N27" i="35"/>
  <c r="N27" i="16"/>
  <c r="N27" i="13"/>
  <c r="N26" i="37"/>
  <c r="N26" i="39"/>
  <c r="N27" i="8"/>
  <c r="N27" i="33"/>
  <c r="N27" i="40"/>
  <c r="N27" i="28" l="1"/>
  <c r="N27" i="30"/>
  <c r="N27" i="29"/>
  <c r="N27" i="1"/>
  <c r="N27" i="26"/>
  <c r="N27" i="27"/>
  <c r="N27" i="31"/>
  <c r="L21" i="17" l="1"/>
  <c r="L21" i="25"/>
  <c r="N21" i="17" l="1"/>
  <c r="O21" i="17" s="1"/>
  <c r="L21" i="37"/>
  <c r="L21" i="39"/>
  <c r="L21" i="14"/>
  <c r="L21" i="16"/>
  <c r="L21" i="40"/>
  <c r="N21" i="25"/>
  <c r="O21" i="25" s="1"/>
  <c r="L21" i="38"/>
  <c r="L21" i="36"/>
  <c r="L21" i="13"/>
  <c r="L21" i="33"/>
  <c r="L21" i="35"/>
  <c r="L21" i="34"/>
  <c r="L21" i="32"/>
  <c r="L21" i="8"/>
  <c r="L27" i="25"/>
  <c r="N27" i="25" s="1"/>
  <c r="O27" i="25" s="1"/>
  <c r="L27" i="17"/>
  <c r="N27" i="17" s="1"/>
  <c r="O27" i="17" s="1"/>
  <c r="L27" i="39" l="1"/>
  <c r="N27" i="39" s="1"/>
  <c r="O27" i="39" s="1"/>
  <c r="L27" i="37"/>
  <c r="N27" i="37" s="1"/>
  <c r="O27" i="37" s="1"/>
  <c r="L27" i="14"/>
  <c r="N27" i="14" s="1"/>
  <c r="O27" i="14" s="1"/>
  <c r="N21" i="35"/>
  <c r="O21" i="35" s="1"/>
  <c r="N21" i="36"/>
  <c r="O21" i="36" s="1"/>
  <c r="N21" i="39"/>
  <c r="O21" i="39" s="1"/>
  <c r="L28" i="13"/>
  <c r="N28" i="13" s="1"/>
  <c r="O28" i="13" s="1"/>
  <c r="L28" i="36"/>
  <c r="N28" i="36" s="1"/>
  <c r="O28" i="36" s="1"/>
  <c r="L28" i="38"/>
  <c r="N28" i="38" s="1"/>
  <c r="O28" i="38" s="1"/>
  <c r="L28" i="34"/>
  <c r="N28" i="34" s="1"/>
  <c r="O28" i="34" s="1"/>
  <c r="L28" i="32"/>
  <c r="N28" i="32" s="1"/>
  <c r="O28" i="32" s="1"/>
  <c r="L28" i="35"/>
  <c r="N28" i="35" s="1"/>
  <c r="O28" i="35" s="1"/>
  <c r="L28" i="8"/>
  <c r="N28" i="8" s="1"/>
  <c r="O28" i="8" s="1"/>
  <c r="L28" i="33"/>
  <c r="N28" i="33" s="1"/>
  <c r="O28" i="33" s="1"/>
  <c r="N21" i="8"/>
  <c r="O21" i="8" s="1"/>
  <c r="N21" i="33"/>
  <c r="O21" i="33" s="1"/>
  <c r="N21" i="38"/>
  <c r="O21" i="38" s="1"/>
  <c r="N21" i="40"/>
  <c r="O21" i="40" s="1"/>
  <c r="N21" i="37"/>
  <c r="O21" i="37" s="1"/>
  <c r="N21" i="32"/>
  <c r="O21" i="32" s="1"/>
  <c r="L37" i="25"/>
  <c r="N21" i="16"/>
  <c r="O21" i="16" s="1"/>
  <c r="L37" i="17"/>
  <c r="G25" i="24" s="1"/>
  <c r="L28" i="16"/>
  <c r="N28" i="16" s="1"/>
  <c r="O28" i="16" s="1"/>
  <c r="L28" i="40"/>
  <c r="N28" i="40" s="1"/>
  <c r="O28" i="40" s="1"/>
  <c r="N21" i="34"/>
  <c r="O21" i="34" s="1"/>
  <c r="N21" i="13"/>
  <c r="O21" i="13" s="1"/>
  <c r="N21" i="14"/>
  <c r="O21" i="14" s="1"/>
  <c r="L38" i="38" l="1"/>
  <c r="N38" i="38" s="1"/>
  <c r="O38" i="38" s="1"/>
  <c r="L38" i="13"/>
  <c r="L38" i="32"/>
  <c r="L38" i="33"/>
  <c r="G18" i="24" s="1"/>
  <c r="L37" i="39"/>
  <c r="N37" i="39" s="1"/>
  <c r="O37" i="39" s="1"/>
  <c r="L38" i="8"/>
  <c r="L37" i="37"/>
  <c r="L37" i="14"/>
  <c r="L38" i="34"/>
  <c r="L38" i="16"/>
  <c r="G26" i="24" s="1"/>
  <c r="L38" i="36"/>
  <c r="G22" i="24" s="1"/>
  <c r="N37" i="25"/>
  <c r="O37" i="25" s="1"/>
  <c r="L38" i="40"/>
  <c r="N37" i="17"/>
  <c r="O37" i="17" s="1"/>
  <c r="L38" i="35"/>
  <c r="G20" i="24" s="1"/>
  <c r="N37" i="14" l="1"/>
  <c r="O37" i="14" s="1"/>
  <c r="G23" i="24"/>
  <c r="N37" i="37"/>
  <c r="O37" i="37" s="1"/>
  <c r="G24" i="24"/>
  <c r="N38" i="32"/>
  <c r="O38" i="32" s="1"/>
  <c r="G17" i="24"/>
  <c r="N38" i="8"/>
  <c r="O38" i="8" s="1"/>
  <c r="G16" i="24"/>
  <c r="N38" i="13"/>
  <c r="O38" i="13" s="1"/>
  <c r="G21" i="24"/>
  <c r="N38" i="34"/>
  <c r="O38" i="34" s="1"/>
  <c r="G19" i="24"/>
  <c r="N38" i="33"/>
  <c r="O38" i="33" s="1"/>
  <c r="N38" i="36"/>
  <c r="O38" i="36" s="1"/>
  <c r="L21" i="29"/>
  <c r="L21" i="27"/>
  <c r="L21" i="31"/>
  <c r="L21" i="28"/>
  <c r="L21" i="26"/>
  <c r="L21" i="30"/>
  <c r="L21" i="1"/>
  <c r="N38" i="35"/>
  <c r="O38" i="35" s="1"/>
  <c r="N38" i="40"/>
  <c r="O38" i="40" s="1"/>
  <c r="N38" i="16"/>
  <c r="O38" i="16" s="1"/>
  <c r="N21" i="30" l="1"/>
  <c r="O21" i="30" s="1"/>
  <c r="N21" i="31"/>
  <c r="O21" i="31" s="1"/>
  <c r="N21" i="26"/>
  <c r="O21" i="26" s="1"/>
  <c r="N21" i="27"/>
  <c r="O21" i="27" s="1"/>
  <c r="N21" i="29"/>
  <c r="O21" i="29" s="1"/>
  <c r="N21" i="1"/>
  <c r="O21" i="1" s="1"/>
  <c r="N21" i="28"/>
  <c r="O21" i="28" s="1"/>
  <c r="L28" i="26" l="1"/>
  <c r="L28" i="29"/>
  <c r="L28" i="1"/>
  <c r="L28" i="31"/>
  <c r="L28" i="30"/>
  <c r="L28" i="27"/>
  <c r="L28" i="28"/>
  <c r="N28" i="28" l="1"/>
  <c r="O28" i="28" s="1"/>
  <c r="L38" i="28"/>
  <c r="G12" i="24" s="1"/>
  <c r="N28" i="27"/>
  <c r="O28" i="27" s="1"/>
  <c r="L38" i="27"/>
  <c r="G11" i="24" s="1"/>
  <c r="N28" i="1"/>
  <c r="O28" i="1" s="1"/>
  <c r="L38" i="1"/>
  <c r="G9" i="24" s="1"/>
  <c r="N28" i="30"/>
  <c r="O28" i="30" s="1"/>
  <c r="L38" i="30"/>
  <c r="G14" i="24" s="1"/>
  <c r="N28" i="29"/>
  <c r="O28" i="29" s="1"/>
  <c r="L38" i="29"/>
  <c r="G13" i="24" s="1"/>
  <c r="N28" i="31"/>
  <c r="O28" i="31" s="1"/>
  <c r="L38" i="31"/>
  <c r="G15" i="24" s="1"/>
  <c r="N28" i="26"/>
  <c r="O28" i="26" s="1"/>
  <c r="L38" i="26"/>
  <c r="G10" i="24" s="1"/>
  <c r="N38" i="26" l="1"/>
  <c r="O38" i="26" s="1"/>
  <c r="N38" i="30"/>
  <c r="O38" i="30" s="1"/>
  <c r="N38" i="28"/>
  <c r="O38" i="28" s="1"/>
  <c r="N38" i="1"/>
  <c r="O38" i="1" s="1"/>
  <c r="N38" i="31"/>
  <c r="O38" i="31" s="1"/>
  <c r="N38" i="29"/>
  <c r="O38" i="29" s="1"/>
  <c r="N38" i="27"/>
  <c r="O38" i="27" s="1"/>
  <c r="H25" i="24" l="1"/>
  <c r="I25" i="24" s="1"/>
  <c r="H18" i="24" l="1"/>
  <c r="I18" i="24" s="1"/>
  <c r="H17" i="24"/>
  <c r="I17" i="24" s="1"/>
  <c r="H24" i="24"/>
  <c r="I24" i="24" s="1"/>
  <c r="H16" i="24"/>
  <c r="I16" i="24" s="1"/>
  <c r="H19" i="24"/>
  <c r="I19" i="24" s="1"/>
  <c r="H22" i="24"/>
  <c r="I22" i="24" s="1"/>
  <c r="H20" i="24"/>
  <c r="I20" i="24" s="1"/>
  <c r="H21" i="24"/>
  <c r="I21" i="24" s="1"/>
  <c r="H23" i="24"/>
  <c r="I23" i="24" s="1"/>
  <c r="H26" i="24"/>
  <c r="I26" i="24" s="1"/>
  <c r="H10" i="24" l="1"/>
  <c r="I10" i="24" s="1"/>
  <c r="H14" i="24"/>
  <c r="I14" i="24" s="1"/>
  <c r="H9" i="24"/>
  <c r="I9" i="24" s="1"/>
  <c r="H11" i="24"/>
  <c r="I11" i="24" s="1"/>
  <c r="H15" i="24"/>
  <c r="I15" i="24" s="1"/>
  <c r="H12" i="24"/>
  <c r="I12" i="24" s="1"/>
  <c r="H13" i="24"/>
  <c r="I13" i="24" s="1"/>
  <c r="L42" i="25" l="1"/>
  <c r="L42" i="17"/>
  <c r="L43" i="40" l="1"/>
  <c r="L43" i="16"/>
  <c r="L44" i="34"/>
  <c r="L44" i="8"/>
  <c r="L44" i="32"/>
  <c r="L44" i="33"/>
  <c r="L44" i="35"/>
  <c r="N42" i="25"/>
  <c r="O42" i="25" s="1"/>
  <c r="L45" i="25"/>
  <c r="N42" i="17"/>
  <c r="O42" i="17" s="1"/>
  <c r="L45" i="17"/>
  <c r="L42" i="14"/>
  <c r="L42" i="39"/>
  <c r="L42" i="37"/>
  <c r="L43" i="36"/>
  <c r="L43" i="38"/>
  <c r="L43" i="13"/>
  <c r="N43" i="38" l="1"/>
  <c r="O43" i="38" s="1"/>
  <c r="L46" i="38"/>
  <c r="N42" i="14"/>
  <c r="O42" i="14" s="1"/>
  <c r="L45" i="14"/>
  <c r="L47" i="8"/>
  <c r="N44" i="8"/>
  <c r="O44" i="8" s="1"/>
  <c r="N43" i="36"/>
  <c r="O43" i="36" s="1"/>
  <c r="L46" i="36"/>
  <c r="N45" i="17"/>
  <c r="O45" i="17" s="1"/>
  <c r="L48" i="17"/>
  <c r="N44" i="35"/>
  <c r="O44" i="35" s="1"/>
  <c r="L47" i="35"/>
  <c r="L47" i="34"/>
  <c r="N44" i="34"/>
  <c r="O44" i="34" s="1"/>
  <c r="L44" i="27"/>
  <c r="L44" i="28"/>
  <c r="L44" i="1"/>
  <c r="L44" i="30"/>
  <c r="L44" i="29"/>
  <c r="L44" i="26"/>
  <c r="L44" i="31"/>
  <c r="L45" i="37"/>
  <c r="N42" i="37"/>
  <c r="O42" i="37" s="1"/>
  <c r="L47" i="33"/>
  <c r="N44" i="33"/>
  <c r="O44" i="33" s="1"/>
  <c r="N43" i="16"/>
  <c r="O43" i="16" s="1"/>
  <c r="L46" i="16"/>
  <c r="L46" i="13"/>
  <c r="N43" i="13"/>
  <c r="O43" i="13" s="1"/>
  <c r="N42" i="39"/>
  <c r="O42" i="39" s="1"/>
  <c r="L45" i="39"/>
  <c r="L48" i="25"/>
  <c r="N45" i="25"/>
  <c r="O45" i="25" s="1"/>
  <c r="G27" i="24"/>
  <c r="H27" i="24" s="1"/>
  <c r="I27" i="24" s="1"/>
  <c r="L47" i="32"/>
  <c r="N44" i="32"/>
  <c r="O44" i="32" s="1"/>
  <c r="N43" i="40"/>
  <c r="O43" i="40" s="1"/>
  <c r="L46" i="40"/>
  <c r="L59" i="25" l="1"/>
  <c r="N48" i="25"/>
  <c r="O48" i="25" s="1"/>
  <c r="L65" i="25"/>
  <c r="L49" i="13"/>
  <c r="N46" i="13"/>
  <c r="O46" i="13" s="1"/>
  <c r="L50" i="33"/>
  <c r="N47" i="33"/>
  <c r="O47" i="33" s="1"/>
  <c r="L47" i="26"/>
  <c r="N44" i="26"/>
  <c r="O44" i="26" s="1"/>
  <c r="L47" i="28"/>
  <c r="N44" i="28"/>
  <c r="O44" i="28" s="1"/>
  <c r="N47" i="35"/>
  <c r="O47" i="35" s="1"/>
  <c r="L50" i="35"/>
  <c r="N46" i="36"/>
  <c r="O46" i="36" s="1"/>
  <c r="L49" i="36"/>
  <c r="N45" i="14"/>
  <c r="O45" i="14" s="1"/>
  <c r="L48" i="14"/>
  <c r="N47" i="32"/>
  <c r="O47" i="32" s="1"/>
  <c r="L50" i="32"/>
  <c r="N45" i="39"/>
  <c r="O45" i="39" s="1"/>
  <c r="L48" i="39"/>
  <c r="L49" i="16"/>
  <c r="N46" i="16"/>
  <c r="O46" i="16" s="1"/>
  <c r="L47" i="29"/>
  <c r="N44" i="29"/>
  <c r="O44" i="29" s="1"/>
  <c r="L47" i="27"/>
  <c r="N44" i="27"/>
  <c r="O44" i="27" s="1"/>
  <c r="L49" i="40"/>
  <c r="N46" i="40"/>
  <c r="O46" i="40" s="1"/>
  <c r="N45" i="37"/>
  <c r="O45" i="37" s="1"/>
  <c r="L48" i="37"/>
  <c r="L47" i="30"/>
  <c r="N44" i="30"/>
  <c r="O44" i="30" s="1"/>
  <c r="L65" i="17"/>
  <c r="L59" i="17"/>
  <c r="N48" i="17"/>
  <c r="O48" i="17" s="1"/>
  <c r="L49" i="38"/>
  <c r="N46" i="38"/>
  <c r="O46" i="38" s="1"/>
  <c r="N44" i="31"/>
  <c r="O44" i="31" s="1"/>
  <c r="L47" i="31"/>
  <c r="L47" i="1"/>
  <c r="N44" i="1"/>
  <c r="O44" i="1" s="1"/>
  <c r="L50" i="34"/>
  <c r="N47" i="34"/>
  <c r="O47" i="34" s="1"/>
  <c r="N47" i="8"/>
  <c r="O47" i="8" s="1"/>
  <c r="L50" i="8"/>
  <c r="L50" i="31" l="1"/>
  <c r="N47" i="31"/>
  <c r="O47" i="31" s="1"/>
  <c r="L50" i="30"/>
  <c r="N47" i="30"/>
  <c r="O47" i="30" s="1"/>
  <c r="N49" i="40"/>
  <c r="O49" i="40" s="1"/>
  <c r="L66" i="40"/>
  <c r="L60" i="40"/>
  <c r="N47" i="29"/>
  <c r="O47" i="29" s="1"/>
  <c r="L50" i="29"/>
  <c r="L50" i="26"/>
  <c r="N47" i="26"/>
  <c r="O47" i="26" s="1"/>
  <c r="L66" i="13"/>
  <c r="N49" i="13"/>
  <c r="O49" i="13" s="1"/>
  <c r="L60" i="13"/>
  <c r="L61" i="34"/>
  <c r="N50" i="34"/>
  <c r="O50" i="34" s="1"/>
  <c r="L67" i="34"/>
  <c r="N59" i="17"/>
  <c r="O59" i="17" s="1"/>
  <c r="L60" i="17"/>
  <c r="N60" i="17" s="1"/>
  <c r="O60" i="17" s="1"/>
  <c r="L59" i="37"/>
  <c r="L65" i="37"/>
  <c r="N48" i="37"/>
  <c r="O48" i="37" s="1"/>
  <c r="N50" i="32"/>
  <c r="O50" i="32" s="1"/>
  <c r="L67" i="32"/>
  <c r="L61" i="32"/>
  <c r="L66" i="36"/>
  <c r="L60" i="36"/>
  <c r="N49" i="36"/>
  <c r="O49" i="36" s="1"/>
  <c r="N65" i="25"/>
  <c r="O65" i="25" s="1"/>
  <c r="L66" i="25"/>
  <c r="N66" i="25" s="1"/>
  <c r="O66" i="25" s="1"/>
  <c r="L61" i="8"/>
  <c r="L67" i="8"/>
  <c r="N50" i="8"/>
  <c r="O50" i="8" s="1"/>
  <c r="N65" i="17"/>
  <c r="O65" i="17" s="1"/>
  <c r="L66" i="17"/>
  <c r="N66" i="17" s="1"/>
  <c r="O66" i="17" s="1"/>
  <c r="N47" i="27"/>
  <c r="O47" i="27" s="1"/>
  <c r="L50" i="27"/>
  <c r="L66" i="16"/>
  <c r="L60" i="16"/>
  <c r="N49" i="16"/>
  <c r="O49" i="16" s="1"/>
  <c r="L50" i="28"/>
  <c r="N47" i="28"/>
  <c r="O47" i="28" s="1"/>
  <c r="L61" i="33"/>
  <c r="L67" i="33"/>
  <c r="N50" i="33"/>
  <c r="O50" i="33" s="1"/>
  <c r="L50" i="1"/>
  <c r="N47" i="1"/>
  <c r="O47" i="1" s="1"/>
  <c r="L60" i="38"/>
  <c r="L66" i="38"/>
  <c r="N49" i="38"/>
  <c r="O49" i="38" s="1"/>
  <c r="L65" i="39"/>
  <c r="N48" i="39"/>
  <c r="O48" i="39" s="1"/>
  <c r="L59" i="39"/>
  <c r="L65" i="14"/>
  <c r="L59" i="14"/>
  <c r="N48" i="14"/>
  <c r="O48" i="14" s="1"/>
  <c r="N50" i="35"/>
  <c r="O50" i="35" s="1"/>
  <c r="L61" i="35"/>
  <c r="L67" i="35"/>
  <c r="N59" i="25"/>
  <c r="O59" i="25" s="1"/>
  <c r="L60" i="25"/>
  <c r="N60" i="25" s="1"/>
  <c r="O60" i="25" s="1"/>
  <c r="L67" i="25" l="1"/>
  <c r="L67" i="17"/>
  <c r="N67" i="17" s="1"/>
  <c r="O67" i="17" s="1"/>
  <c r="N67" i="35"/>
  <c r="O67" i="35" s="1"/>
  <c r="L68" i="35"/>
  <c r="N68" i="35" s="1"/>
  <c r="O68" i="35" s="1"/>
  <c r="N59" i="14"/>
  <c r="O59" i="14" s="1"/>
  <c r="L60" i="14"/>
  <c r="N60" i="14" s="1"/>
  <c r="O60" i="14" s="1"/>
  <c r="L60" i="39"/>
  <c r="N60" i="39" s="1"/>
  <c r="O60" i="39" s="1"/>
  <c r="N59" i="39"/>
  <c r="O59" i="39" s="1"/>
  <c r="L67" i="38"/>
  <c r="N67" i="38" s="1"/>
  <c r="O67" i="38" s="1"/>
  <c r="N66" i="38"/>
  <c r="O66" i="38" s="1"/>
  <c r="N50" i="28"/>
  <c r="O50" i="28" s="1"/>
  <c r="L61" i="28"/>
  <c r="L67" i="28"/>
  <c r="L67" i="27"/>
  <c r="N50" i="27"/>
  <c r="O50" i="27" s="1"/>
  <c r="L61" i="27"/>
  <c r="N67" i="25"/>
  <c r="O67" i="25" s="1"/>
  <c r="L68" i="25"/>
  <c r="N68" i="25" s="1"/>
  <c r="O68" i="25" s="1"/>
  <c r="N60" i="36"/>
  <c r="O60" i="36" s="1"/>
  <c r="L61" i="36"/>
  <c r="N61" i="36" s="1"/>
  <c r="O61" i="36" s="1"/>
  <c r="N66" i="13"/>
  <c r="O66" i="13" s="1"/>
  <c r="L67" i="13"/>
  <c r="N67" i="13" s="1"/>
  <c r="O67" i="13" s="1"/>
  <c r="N60" i="38"/>
  <c r="O60" i="38" s="1"/>
  <c r="L61" i="38"/>
  <c r="N61" i="38" s="1"/>
  <c r="O61" i="38" s="1"/>
  <c r="L68" i="33"/>
  <c r="N68" i="33" s="1"/>
  <c r="O68" i="33" s="1"/>
  <c r="N67" i="33"/>
  <c r="O67" i="33" s="1"/>
  <c r="L67" i="36"/>
  <c r="N67" i="36" s="1"/>
  <c r="O67" i="36" s="1"/>
  <c r="N66" i="36"/>
  <c r="O66" i="36" s="1"/>
  <c r="L61" i="17"/>
  <c r="L62" i="34"/>
  <c r="N62" i="34" s="1"/>
  <c r="O62" i="34" s="1"/>
  <c r="N61" i="34"/>
  <c r="O61" i="34" s="1"/>
  <c r="L61" i="40"/>
  <c r="N61" i="40" s="1"/>
  <c r="O61" i="40" s="1"/>
  <c r="N60" i="40"/>
  <c r="O60" i="40" s="1"/>
  <c r="L61" i="30"/>
  <c r="L67" i="30"/>
  <c r="N50" i="30"/>
  <c r="O50" i="30" s="1"/>
  <c r="N65" i="39"/>
  <c r="O65" i="39" s="1"/>
  <c r="L66" i="39"/>
  <c r="N66" i="39" s="1"/>
  <c r="O66" i="39" s="1"/>
  <c r="N61" i="33"/>
  <c r="O61" i="33" s="1"/>
  <c r="L62" i="33"/>
  <c r="N62" i="33" s="1"/>
  <c r="O62" i="33" s="1"/>
  <c r="N60" i="16"/>
  <c r="O60" i="16" s="1"/>
  <c r="L61" i="16"/>
  <c r="N61" i="16" s="1"/>
  <c r="O61" i="16" s="1"/>
  <c r="N67" i="8"/>
  <c r="O67" i="8" s="1"/>
  <c r="L68" i="8"/>
  <c r="N68" i="8" s="1"/>
  <c r="O68" i="8" s="1"/>
  <c r="L62" i="32"/>
  <c r="N62" i="32" s="1"/>
  <c r="O62" i="32" s="1"/>
  <c r="N61" i="32"/>
  <c r="O61" i="32" s="1"/>
  <c r="N65" i="37"/>
  <c r="O65" i="37" s="1"/>
  <c r="L66" i="37"/>
  <c r="N66" i="37" s="1"/>
  <c r="O66" i="37" s="1"/>
  <c r="N60" i="13"/>
  <c r="O60" i="13" s="1"/>
  <c r="L61" i="13"/>
  <c r="N61" i="13" s="1"/>
  <c r="O61" i="13" s="1"/>
  <c r="L67" i="26"/>
  <c r="N50" i="26"/>
  <c r="O50" i="26" s="1"/>
  <c r="L61" i="26"/>
  <c r="N66" i="40"/>
  <c r="O66" i="40" s="1"/>
  <c r="L67" i="40"/>
  <c r="N67" i="40" s="1"/>
  <c r="O67" i="40" s="1"/>
  <c r="L61" i="25"/>
  <c r="L62" i="35"/>
  <c r="N62" i="35" s="1"/>
  <c r="O62" i="35" s="1"/>
  <c r="N61" i="35"/>
  <c r="O61" i="35" s="1"/>
  <c r="N65" i="14"/>
  <c r="O65" i="14" s="1"/>
  <c r="L66" i="14"/>
  <c r="N66" i="14" s="1"/>
  <c r="O66" i="14" s="1"/>
  <c r="L61" i="1"/>
  <c r="L67" i="1"/>
  <c r="N50" i="1"/>
  <c r="O50" i="1" s="1"/>
  <c r="N66" i="16"/>
  <c r="O66" i="16" s="1"/>
  <c r="L67" i="16"/>
  <c r="N67" i="16" s="1"/>
  <c r="O67" i="16" s="1"/>
  <c r="N61" i="8"/>
  <c r="O61" i="8" s="1"/>
  <c r="L62" i="8"/>
  <c r="N62" i="8" s="1"/>
  <c r="O62" i="8" s="1"/>
  <c r="L68" i="32"/>
  <c r="N68" i="32" s="1"/>
  <c r="O68" i="32" s="1"/>
  <c r="N67" i="32"/>
  <c r="O67" i="32" s="1"/>
  <c r="L60" i="37"/>
  <c r="N60" i="37" s="1"/>
  <c r="O60" i="37" s="1"/>
  <c r="N59" i="37"/>
  <c r="O59" i="37" s="1"/>
  <c r="N67" i="34"/>
  <c r="O67" i="34" s="1"/>
  <c r="L68" i="34"/>
  <c r="N68" i="34" s="1"/>
  <c r="O68" i="34" s="1"/>
  <c r="L67" i="29"/>
  <c r="N50" i="29"/>
  <c r="O50" i="29" s="1"/>
  <c r="L61" i="29"/>
  <c r="N50" i="31"/>
  <c r="O50" i="31" s="1"/>
  <c r="L67" i="31"/>
  <c r="L61" i="31"/>
  <c r="L68" i="17" l="1"/>
  <c r="N68" i="17" s="1"/>
  <c r="O68" i="17" s="1"/>
  <c r="L62" i="38"/>
  <c r="L63" i="38" s="1"/>
  <c r="N63" i="38" s="1"/>
  <c r="O63" i="38" s="1"/>
  <c r="L61" i="37"/>
  <c r="L62" i="37" s="1"/>
  <c r="N62" i="37" s="1"/>
  <c r="O62" i="37" s="1"/>
  <c r="L61" i="14"/>
  <c r="L62" i="14" s="1"/>
  <c r="N62" i="14" s="1"/>
  <c r="O62" i="14" s="1"/>
  <c r="L69" i="17"/>
  <c r="K25" i="24" s="1"/>
  <c r="L25" i="24" s="1"/>
  <c r="M25" i="24" s="1"/>
  <c r="L69" i="33"/>
  <c r="L70" i="33" s="1"/>
  <c r="N70" i="33" s="1"/>
  <c r="O70" i="33" s="1"/>
  <c r="L62" i="13"/>
  <c r="L63" i="13" s="1"/>
  <c r="N63" i="13" s="1"/>
  <c r="O63" i="13" s="1"/>
  <c r="L69" i="35"/>
  <c r="L70" i="35" s="1"/>
  <c r="N70" i="35" s="1"/>
  <c r="O70" i="35" s="1"/>
  <c r="L68" i="36"/>
  <c r="L69" i="36" s="1"/>
  <c r="N69" i="36" s="1"/>
  <c r="O69" i="36" s="1"/>
  <c r="L61" i="39"/>
  <c r="L62" i="39" s="1"/>
  <c r="N62" i="39" s="1"/>
  <c r="O62" i="39" s="1"/>
  <c r="L67" i="14"/>
  <c r="N67" i="14" s="1"/>
  <c r="O67" i="14" s="1"/>
  <c r="L68" i="40"/>
  <c r="L70" i="40" s="1"/>
  <c r="N70" i="40" s="1"/>
  <c r="O70" i="40" s="1"/>
  <c r="L63" i="33"/>
  <c r="L64" i="33" s="1"/>
  <c r="N64" i="33" s="1"/>
  <c r="O64" i="33" s="1"/>
  <c r="L62" i="36"/>
  <c r="N62" i="36" s="1"/>
  <c r="O62" i="36" s="1"/>
  <c r="L69" i="25"/>
  <c r="K27" i="24" s="1"/>
  <c r="L27" i="24" s="1"/>
  <c r="M27" i="24" s="1"/>
  <c r="L68" i="38"/>
  <c r="L70" i="38" s="1"/>
  <c r="N70" i="38" s="1"/>
  <c r="O70" i="38" s="1"/>
  <c r="N61" i="29"/>
  <c r="O61" i="29" s="1"/>
  <c r="L62" i="29"/>
  <c r="N62" i="29" s="1"/>
  <c r="O62" i="29" s="1"/>
  <c r="L62" i="1"/>
  <c r="N62" i="1" s="1"/>
  <c r="O62" i="1" s="1"/>
  <c r="N61" i="1"/>
  <c r="O61" i="1" s="1"/>
  <c r="L62" i="30"/>
  <c r="N62" i="30" s="1"/>
  <c r="O62" i="30" s="1"/>
  <c r="N61" i="30"/>
  <c r="O61" i="30" s="1"/>
  <c r="L68" i="27"/>
  <c r="N68" i="27" s="1"/>
  <c r="O68" i="27" s="1"/>
  <c r="N67" i="27"/>
  <c r="O67" i="27" s="1"/>
  <c r="N61" i="31"/>
  <c r="O61" i="31" s="1"/>
  <c r="L62" i="31"/>
  <c r="N62" i="31" s="1"/>
  <c r="O62" i="31" s="1"/>
  <c r="L69" i="32"/>
  <c r="L63" i="8"/>
  <c r="L63" i="35"/>
  <c r="L68" i="26"/>
  <c r="N68" i="26" s="1"/>
  <c r="O68" i="26" s="1"/>
  <c r="N67" i="26"/>
  <c r="O67" i="26" s="1"/>
  <c r="L67" i="37"/>
  <c r="L63" i="32"/>
  <c r="L62" i="16"/>
  <c r="L62" i="40"/>
  <c r="L63" i="34"/>
  <c r="L68" i="13"/>
  <c r="N67" i="28"/>
  <c r="O67" i="28" s="1"/>
  <c r="L68" i="28"/>
  <c r="N68" i="28" s="1"/>
  <c r="O68" i="28" s="1"/>
  <c r="N67" i="31"/>
  <c r="O67" i="31" s="1"/>
  <c r="L68" i="31"/>
  <c r="N68" i="31" s="1"/>
  <c r="O68" i="31" s="1"/>
  <c r="L68" i="29"/>
  <c r="N68" i="29" s="1"/>
  <c r="O68" i="29" s="1"/>
  <c r="N67" i="29"/>
  <c r="O67" i="29" s="1"/>
  <c r="N62" i="38"/>
  <c r="O62" i="38" s="1"/>
  <c r="N61" i="27"/>
  <c r="O61" i="27" s="1"/>
  <c r="L62" i="27"/>
  <c r="N62" i="27" s="1"/>
  <c r="O62" i="27" s="1"/>
  <c r="N61" i="28"/>
  <c r="O61" i="28" s="1"/>
  <c r="L62" i="28"/>
  <c r="N62" i="28" s="1"/>
  <c r="O62" i="28" s="1"/>
  <c r="L69" i="34"/>
  <c r="L68" i="16"/>
  <c r="L68" i="1"/>
  <c r="N68" i="1" s="1"/>
  <c r="O68" i="1" s="1"/>
  <c r="N67" i="1"/>
  <c r="O67" i="1" s="1"/>
  <c r="N61" i="25"/>
  <c r="O61" i="25" s="1"/>
  <c r="L62" i="25"/>
  <c r="N62" i="25" s="1"/>
  <c r="O62" i="25" s="1"/>
  <c r="L62" i="26"/>
  <c r="N62" i="26" s="1"/>
  <c r="O62" i="26" s="1"/>
  <c r="N61" i="26"/>
  <c r="O61" i="26" s="1"/>
  <c r="L69" i="8"/>
  <c r="L67" i="39"/>
  <c r="L68" i="30"/>
  <c r="N68" i="30" s="1"/>
  <c r="O68" i="30" s="1"/>
  <c r="N67" i="30"/>
  <c r="O67" i="30" s="1"/>
  <c r="N61" i="17"/>
  <c r="O61" i="17" s="1"/>
  <c r="L62" i="17"/>
  <c r="N62" i="17" s="1"/>
  <c r="O62" i="17" s="1"/>
  <c r="N61" i="37" l="1"/>
  <c r="O61" i="37" s="1"/>
  <c r="N69" i="33"/>
  <c r="O69" i="33" s="1"/>
  <c r="N62" i="13"/>
  <c r="O62" i="13" s="1"/>
  <c r="N69" i="25"/>
  <c r="O69" i="25" s="1"/>
  <c r="N61" i="14"/>
  <c r="O61" i="14" s="1"/>
  <c r="N63" i="33"/>
  <c r="O63" i="33" s="1"/>
  <c r="N69" i="17"/>
  <c r="O69" i="17" s="1"/>
  <c r="N69" i="35"/>
  <c r="O69" i="35" s="1"/>
  <c r="N68" i="36"/>
  <c r="O68" i="36" s="1"/>
  <c r="L63" i="31"/>
  <c r="L64" i="31" s="1"/>
  <c r="N64" i="31" s="1"/>
  <c r="O64" i="31" s="1"/>
  <c r="N68" i="38"/>
  <c r="O68" i="38" s="1"/>
  <c r="L69" i="27"/>
  <c r="N69" i="27" s="1"/>
  <c r="O69" i="27" s="1"/>
  <c r="L63" i="36"/>
  <c r="N63" i="36" s="1"/>
  <c r="O63" i="36" s="1"/>
  <c r="N68" i="40"/>
  <c r="O68" i="40" s="1"/>
  <c r="L65" i="33"/>
  <c r="K18" i="24" s="1"/>
  <c r="L18" i="24" s="1"/>
  <c r="M18" i="24" s="1"/>
  <c r="L63" i="26"/>
  <c r="L64" i="26" s="1"/>
  <c r="N64" i="26" s="1"/>
  <c r="O64" i="26" s="1"/>
  <c r="L68" i="14"/>
  <c r="N68" i="14" s="1"/>
  <c r="O68" i="14" s="1"/>
  <c r="L63" i="39"/>
  <c r="N63" i="39" s="1"/>
  <c r="O63" i="39" s="1"/>
  <c r="L69" i="1"/>
  <c r="N69" i="1" s="1"/>
  <c r="O69" i="1" s="1"/>
  <c r="L71" i="33"/>
  <c r="N71" i="33" s="1"/>
  <c r="O71" i="33" s="1"/>
  <c r="L63" i="17"/>
  <c r="N63" i="17" s="1"/>
  <c r="O63" i="17" s="1"/>
  <c r="N61" i="39"/>
  <c r="O61" i="39" s="1"/>
  <c r="L63" i="14"/>
  <c r="N63" i="14" s="1"/>
  <c r="O63" i="14" s="1"/>
  <c r="L69" i="26"/>
  <c r="L70" i="26" s="1"/>
  <c r="N70" i="26" s="1"/>
  <c r="O70" i="26" s="1"/>
  <c r="L69" i="30"/>
  <c r="N69" i="30" s="1"/>
  <c r="O69" i="30" s="1"/>
  <c r="L63" i="25"/>
  <c r="N63" i="25" s="1"/>
  <c r="O63" i="25" s="1"/>
  <c r="L69" i="31"/>
  <c r="N69" i="31" s="1"/>
  <c r="O69" i="31" s="1"/>
  <c r="L63" i="40"/>
  <c r="N63" i="40" s="1"/>
  <c r="O63" i="40" s="1"/>
  <c r="N62" i="40"/>
  <c r="O62" i="40" s="1"/>
  <c r="N63" i="8"/>
  <c r="O63" i="8" s="1"/>
  <c r="L64" i="8"/>
  <c r="N64" i="8" s="1"/>
  <c r="O64" i="8" s="1"/>
  <c r="N68" i="16"/>
  <c r="O68" i="16" s="1"/>
  <c r="L69" i="16"/>
  <c r="N69" i="16" s="1"/>
  <c r="O69" i="16" s="1"/>
  <c r="L71" i="35"/>
  <c r="N71" i="35" s="1"/>
  <c r="O71" i="35" s="1"/>
  <c r="L63" i="28"/>
  <c r="L63" i="27"/>
  <c r="N62" i="16"/>
  <c r="O62" i="16" s="1"/>
  <c r="L63" i="16"/>
  <c r="N63" i="16" s="1"/>
  <c r="O63" i="16" s="1"/>
  <c r="L70" i="32"/>
  <c r="N70" i="32" s="1"/>
  <c r="O70" i="32" s="1"/>
  <c r="N69" i="32"/>
  <c r="O69" i="32" s="1"/>
  <c r="L63" i="29"/>
  <c r="L70" i="8"/>
  <c r="N70" i="8" s="1"/>
  <c r="O70" i="8" s="1"/>
  <c r="N69" i="8"/>
  <c r="O69" i="8" s="1"/>
  <c r="N63" i="26"/>
  <c r="O63" i="26" s="1"/>
  <c r="L70" i="34"/>
  <c r="N70" i="34" s="1"/>
  <c r="O70" i="34" s="1"/>
  <c r="N69" i="34"/>
  <c r="O69" i="34" s="1"/>
  <c r="L70" i="36"/>
  <c r="L63" i="37"/>
  <c r="N63" i="37" s="1"/>
  <c r="O63" i="37" s="1"/>
  <c r="N68" i="13"/>
  <c r="O68" i="13" s="1"/>
  <c r="L69" i="13"/>
  <c r="N69" i="13" s="1"/>
  <c r="O69" i="13" s="1"/>
  <c r="L64" i="32"/>
  <c r="N64" i="32" s="1"/>
  <c r="O64" i="32" s="1"/>
  <c r="N63" i="32"/>
  <c r="O63" i="32" s="1"/>
  <c r="L63" i="30"/>
  <c r="L63" i="1"/>
  <c r="N67" i="39"/>
  <c r="O67" i="39" s="1"/>
  <c r="L69" i="39"/>
  <c r="N69" i="39" s="1"/>
  <c r="O69" i="39" s="1"/>
  <c r="L64" i="38"/>
  <c r="N64" i="38" s="1"/>
  <c r="O64" i="38" s="1"/>
  <c r="L64" i="13"/>
  <c r="N64" i="13" s="1"/>
  <c r="O64" i="13" s="1"/>
  <c r="L69" i="29"/>
  <c r="L69" i="28"/>
  <c r="L64" i="34"/>
  <c r="N64" i="34" s="1"/>
  <c r="O64" i="34" s="1"/>
  <c r="N63" i="34"/>
  <c r="O63" i="34" s="1"/>
  <c r="L68" i="37"/>
  <c r="N68" i="37" s="1"/>
  <c r="O68" i="37" s="1"/>
  <c r="N67" i="37"/>
  <c r="O67" i="37" s="1"/>
  <c r="L64" i="35"/>
  <c r="N64" i="35" s="1"/>
  <c r="O64" i="35" s="1"/>
  <c r="N63" i="35"/>
  <c r="O63" i="35" s="1"/>
  <c r="L70" i="27" l="1"/>
  <c r="N70" i="27" s="1"/>
  <c r="O70" i="27" s="1"/>
  <c r="L71" i="8"/>
  <c r="N71" i="8" s="1"/>
  <c r="O71" i="8" s="1"/>
  <c r="N69" i="26"/>
  <c r="O69" i="26" s="1"/>
  <c r="L70" i="31"/>
  <c r="N70" i="31" s="1"/>
  <c r="O70" i="31" s="1"/>
  <c r="L64" i="36"/>
  <c r="N64" i="36" s="1"/>
  <c r="O64" i="36" s="1"/>
  <c r="L69" i="14"/>
  <c r="K23" i="24" s="1"/>
  <c r="L23" i="24" s="1"/>
  <c r="M23" i="24" s="1"/>
  <c r="N63" i="31"/>
  <c r="O63" i="31" s="1"/>
  <c r="L70" i="1"/>
  <c r="N70" i="1" s="1"/>
  <c r="O70" i="1" s="1"/>
  <c r="N65" i="33"/>
  <c r="O65" i="33" s="1"/>
  <c r="L65" i="32"/>
  <c r="N65" i="32" s="1"/>
  <c r="O65" i="32" s="1"/>
  <c r="L71" i="34"/>
  <c r="N71" i="34" s="1"/>
  <c r="O71" i="34" s="1"/>
  <c r="L65" i="34"/>
  <c r="K19" i="24" s="1"/>
  <c r="L19" i="24" s="1"/>
  <c r="M19" i="24" s="1"/>
  <c r="L71" i="27"/>
  <c r="N71" i="27" s="1"/>
  <c r="O71" i="27" s="1"/>
  <c r="L71" i="32"/>
  <c r="N71" i="32" s="1"/>
  <c r="O71" i="32" s="1"/>
  <c r="L71" i="26"/>
  <c r="N71" i="26" s="1"/>
  <c r="O71" i="26" s="1"/>
  <c r="L70" i="30"/>
  <c r="N70" i="30" s="1"/>
  <c r="O70" i="30" s="1"/>
  <c r="L64" i="16"/>
  <c r="N64" i="16" s="1"/>
  <c r="O64" i="16" s="1"/>
  <c r="L70" i="16"/>
  <c r="K26" i="24" s="1"/>
  <c r="L26" i="24" s="1"/>
  <c r="M26" i="24" s="1"/>
  <c r="L65" i="35"/>
  <c r="N63" i="30"/>
  <c r="O63" i="30" s="1"/>
  <c r="L64" i="30"/>
  <c r="N64" i="30" s="1"/>
  <c r="O64" i="30" s="1"/>
  <c r="K17" i="24"/>
  <c r="L17" i="24" s="1"/>
  <c r="M17" i="24" s="1"/>
  <c r="N63" i="29"/>
  <c r="O63" i="29" s="1"/>
  <c r="L64" i="29"/>
  <c r="N64" i="29" s="1"/>
  <c r="O64" i="29" s="1"/>
  <c r="L64" i="28"/>
  <c r="N64" i="28" s="1"/>
  <c r="O64" i="28" s="1"/>
  <c r="N63" i="28"/>
  <c r="O63" i="28" s="1"/>
  <c r="L69" i="37"/>
  <c r="L70" i="28"/>
  <c r="N70" i="28" s="1"/>
  <c r="O70" i="28" s="1"/>
  <c r="N69" i="28"/>
  <c r="O69" i="28" s="1"/>
  <c r="N63" i="1"/>
  <c r="O63" i="1" s="1"/>
  <c r="L64" i="1"/>
  <c r="N64" i="1" s="1"/>
  <c r="O64" i="1" s="1"/>
  <c r="L65" i="8"/>
  <c r="L64" i="40"/>
  <c r="N64" i="40" s="1"/>
  <c r="O64" i="40" s="1"/>
  <c r="N69" i="29"/>
  <c r="O69" i="29" s="1"/>
  <c r="L70" i="29"/>
  <c r="N70" i="29" s="1"/>
  <c r="O70" i="29" s="1"/>
  <c r="L71" i="31"/>
  <c r="N71" i="31" s="1"/>
  <c r="O71" i="31" s="1"/>
  <c r="L65" i="31"/>
  <c r="L70" i="13"/>
  <c r="N70" i="36"/>
  <c r="O70" i="36" s="1"/>
  <c r="K22" i="24"/>
  <c r="L22" i="24" s="1"/>
  <c r="M22" i="24" s="1"/>
  <c r="L65" i="26"/>
  <c r="L64" i="27"/>
  <c r="N64" i="27" s="1"/>
  <c r="O64" i="27" s="1"/>
  <c r="N63" i="27"/>
  <c r="O63" i="27" s="1"/>
  <c r="N69" i="14" l="1"/>
  <c r="O69" i="14" s="1"/>
  <c r="L71" i="1"/>
  <c r="N71" i="1" s="1"/>
  <c r="O71" i="1" s="1"/>
  <c r="N70" i="16"/>
  <c r="O70" i="16" s="1"/>
  <c r="N65" i="34"/>
  <c r="O65" i="34" s="1"/>
  <c r="L65" i="27"/>
  <c r="N65" i="27" s="1"/>
  <c r="O65" i="27" s="1"/>
  <c r="L71" i="30"/>
  <c r="N71" i="30" s="1"/>
  <c r="O71" i="30" s="1"/>
  <c r="L65" i="30"/>
  <c r="K14" i="24" s="1"/>
  <c r="L14" i="24" s="1"/>
  <c r="M14" i="24" s="1"/>
  <c r="K21" i="24"/>
  <c r="L21" i="24" s="1"/>
  <c r="M21" i="24" s="1"/>
  <c r="N70" i="13"/>
  <c r="O70" i="13" s="1"/>
  <c r="L65" i="28"/>
  <c r="N65" i="26"/>
  <c r="O65" i="26" s="1"/>
  <c r="K10" i="24"/>
  <c r="L10" i="24" s="1"/>
  <c r="M10" i="24" s="1"/>
  <c r="N65" i="31"/>
  <c r="O65" i="31" s="1"/>
  <c r="K15" i="24"/>
  <c r="L15" i="24" s="1"/>
  <c r="M15" i="24" s="1"/>
  <c r="N69" i="37"/>
  <c r="O69" i="37" s="1"/>
  <c r="K24" i="24"/>
  <c r="L24" i="24" s="1"/>
  <c r="M24" i="24" s="1"/>
  <c r="K11" i="24"/>
  <c r="L11" i="24" s="1"/>
  <c r="M11" i="24" s="1"/>
  <c r="N65" i="8"/>
  <c r="O65" i="8" s="1"/>
  <c r="K16" i="24"/>
  <c r="L16" i="24" s="1"/>
  <c r="M16" i="24" s="1"/>
  <c r="L71" i="29"/>
  <c r="N71" i="29" s="1"/>
  <c r="O71" i="29" s="1"/>
  <c r="L65" i="1"/>
  <c r="L71" i="28"/>
  <c r="N71" i="28" s="1"/>
  <c r="O71" i="28" s="1"/>
  <c r="L65" i="29"/>
  <c r="K20" i="24"/>
  <c r="L20" i="24" s="1"/>
  <c r="M20" i="24" s="1"/>
  <c r="N65" i="35"/>
  <c r="O65" i="35" s="1"/>
  <c r="N65" i="30" l="1"/>
  <c r="O65" i="30" s="1"/>
  <c r="N65" i="29"/>
  <c r="O65" i="29" s="1"/>
  <c r="K13" i="24"/>
  <c r="L13" i="24" s="1"/>
  <c r="M13" i="24" s="1"/>
  <c r="K12" i="24"/>
  <c r="L12" i="24" s="1"/>
  <c r="M12" i="24" s="1"/>
  <c r="N65" i="28"/>
  <c r="O65" i="28" s="1"/>
  <c r="N65" i="1"/>
  <c r="O65" i="1" s="1"/>
  <c r="K9" i="24"/>
  <c r="L9" i="24" s="1"/>
  <c r="M9" i="24" s="1"/>
</calcChain>
</file>

<file path=xl/comments1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0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1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2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3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4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5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required`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6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7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8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9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0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1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2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3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4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5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6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7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8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9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<sst xmlns="http://schemas.openxmlformats.org/spreadsheetml/2006/main" count="2263" uniqueCount="97">
  <si>
    <t>File Number:</t>
  </si>
  <si>
    <t>Appendix 2-W</t>
  </si>
  <si>
    <t>Bill Impacts</t>
  </si>
  <si>
    <t>Customer Class: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</si>
  <si>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</si>
  <si>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</si>
  <si>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</si>
  <si>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</si>
  <si>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</si>
  <si>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</si>
  <si>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</si>
  <si>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</si>
  <si>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</si>
  <si>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</si>
  <si>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</si>
  <si>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</si>
  <si>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</si>
  <si>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</si>
  <si>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</si>
  <si>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</si>
  <si>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Smart Meter Disposition Rider</t>
  </si>
  <si>
    <t>LRAM &amp; SSM Rate Rider</t>
  </si>
  <si>
    <t>Sub-Total A (excluding pass through)</t>
  </si>
  <si>
    <t>Deferral/Variance Account Disposition Rate Rider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</si>
  <si>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</si>
  <si>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</si>
  <si>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</si>
  <si>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</si>
  <si>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</si>
  <si>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</si>
  <si>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</si>
  <si>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</si>
  <si>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</si>
  <si>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</si>
  <si>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</si>
  <si>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</si>
  <si>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</si>
  <si>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</si>
  <si>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</si>
  <si>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</si>
  <si>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</si>
  <si>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</si>
  <si>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</si>
  <si>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</si>
  <si>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</si>
  <si>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</si>
  <si>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</si>
  <si>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</si>
  <si>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</si>
  <si>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</si>
  <si>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</si>
  <si>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</si>
  <si>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</si>
  <si>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</si>
  <si>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</si>
  <si>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</si>
  <si>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</si>
  <si>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</si>
  <si>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</si>
  <si>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Residential</t>
  </si>
  <si>
    <t>Monthly</t>
  </si>
  <si>
    <t>per kWh</t>
  </si>
  <si>
    <t>Rate Rider for Disposal of Residual Historical Smart Meter Costs - effective until April 30, 2014</t>
  </si>
  <si>
    <t>Rate Rider for Smart Meter Incremental Revenue Requirement</t>
  </si>
  <si>
    <t>Stranded Meter Rate Rider (SMRR)</t>
  </si>
  <si>
    <t xml:space="preserve">Rate Rider for Application of Tax Change </t>
  </si>
  <si>
    <t>Rate Rider for Accounts 1575 and 1576</t>
  </si>
  <si>
    <t>GS &lt; 50 kW</t>
  </si>
  <si>
    <t>non-TOU</t>
  </si>
  <si>
    <t>kW</t>
  </si>
  <si>
    <t>per kW</t>
  </si>
  <si>
    <t>Street Lighting</t>
  </si>
  <si>
    <t>Unmetered Scattered Load</t>
  </si>
  <si>
    <t>COP Spot Price</t>
  </si>
  <si>
    <t>Rate Rider for Disposition of Global Adjustment Sub-Account(Applicable only for Non-RPP Customers)</t>
  </si>
  <si>
    <t>Filed:</t>
  </si>
  <si>
    <t>Rate Class</t>
  </si>
  <si>
    <t>kWh</t>
  </si>
  <si>
    <t>$ Difference</t>
  </si>
  <si>
    <t>Bill Impact %</t>
  </si>
  <si>
    <t>Rate Rider for Disposal of Residual Historical Smart Meter Costs - effective until April 30, 2015</t>
  </si>
  <si>
    <t>GS 3,000-4,999 kW</t>
  </si>
  <si>
    <t>Sentinel Lighting</t>
  </si>
  <si>
    <t>2014 Total Bill $</t>
  </si>
  <si>
    <t>2015 Total Bill $</t>
  </si>
  <si>
    <t>2014 Dist Bill $</t>
  </si>
  <si>
    <t>2015 Dist Bill $</t>
  </si>
  <si>
    <t>GS 50-2,999 kW</t>
  </si>
  <si>
    <t>LRAMVA (2011 &amp; 2012 CDM Activities)</t>
  </si>
  <si>
    <t>Bill Impact $</t>
  </si>
  <si>
    <t>Residential -TOU</t>
  </si>
  <si>
    <t>GS &lt; 50 kW - TOU</t>
  </si>
  <si>
    <t/>
  </si>
  <si>
    <t>EB-2014-0099</t>
  </si>
  <si>
    <t xml:space="preserve">Exhibit </t>
  </si>
  <si>
    <t>Appendix</t>
  </si>
  <si>
    <t>8-D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</si>
</sst>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_-&quot;$&quot;* #,##0.0000_-;\-&quot;$&quot;* #,##0.0000_-;_-&quot;$&quot;* &quot;-&quot;??_-;_-@_-"/>
    <numFmt numFmtId="168" formatCode="_-&quot;$&quot;* #,##0.00000_-;\-&quot;$&quot;* #,##0.00000_-;_-&quot;$&quot;* &quot;-&quot;??_-;_-@_-"/>
    <numFmt numFmtId="169" formatCode="&quot;$&quot;#,##0.00;\(&quot;$&quot;#,##0.00\)"/>
    <numFmt numFmtId="170" formatCode="0.00%;\(0.00%\)"/>
    <numFmt numFmtId="171" formatCode="0.0000%"/>
  </numFmts>
  <fonts count="17" x14ac:knownFonts="1">
    <font>
      <sz val="11"/>
      <color theme="1"/>
      <name val="Calibri"/>
      <family val="2"/>
      <scheme val="minor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7" fillId="0" borderId="0"/>
    <xf numFmtId="9" fontId="15" fillId="0" borderId="0" applyFont="0" applyFill="0" applyBorder="0" applyAlignment="0" applyProtection="0"/>
  </cellStyleXfs>
  <cellXfs count="271">
    <xf numFmtId="0" fontId="0" fillId="0" borderId="0" xfId="0"/>
    <xf numFmtId="0" fontId="1" fillId="2" borderId="0" xfId="0" applyFont="1" applyFill="1" applyAlignment="1" applyProtection="1">
      <alignment vertical="top" wrapText="1"/>
    </xf>
    <xf numFmtId="0" fontId="0" fillId="2" borderId="0" xfId="0" applyFill="1" applyBorder="1" applyProtection="1"/>
    <xf numFmtId="0" fontId="2" fillId="0" borderId="0" xfId="0" applyFont="1"/>
    <xf numFmtId="0" fontId="3" fillId="0" borderId="0" xfId="0" applyFont="1" applyAlignment="1">
      <alignment horizontal="right" vertical="top"/>
    </xf>
    <xf numFmtId="0" fontId="4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7" fillId="0" borderId="0" xfId="0" applyFont="1" applyProtection="1"/>
    <xf numFmtId="0" fontId="2" fillId="0" borderId="0" xfId="0" applyFont="1" applyProtection="1"/>
    <xf numFmtId="166" fontId="2" fillId="4" borderId="1" xfId="1" applyNumberFormat="1" applyFont="1" applyFill="1" applyBorder="1" applyProtection="1">
      <protection locked="0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quotePrefix="1" applyFont="1" applyBorder="1" applyAlignment="1" applyProtection="1">
      <alignment horizontal="center"/>
    </xf>
    <xf numFmtId="0" fontId="2" fillId="0" borderId="6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7" fontId="15" fillId="4" borderId="7" xfId="2" applyNumberFormat="1" applyFont="1" applyFill="1" applyBorder="1" applyAlignment="1" applyProtection="1">
      <alignment vertical="top"/>
      <protection locked="0"/>
    </xf>
    <xf numFmtId="0" fontId="0" fillId="0" borderId="7" xfId="0" applyFill="1" applyBorder="1" applyAlignment="1" applyProtection="1">
      <alignment vertical="center"/>
    </xf>
    <xf numFmtId="164" fontId="15" fillId="0" borderId="3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7" fontId="15" fillId="4" borderId="7" xfId="2" applyNumberFormat="1" applyFont="1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</xf>
    <xf numFmtId="44" fontId="0" fillId="0" borderId="7" xfId="0" applyNumberFormat="1" applyBorder="1" applyAlignment="1" applyProtection="1">
      <alignment vertical="center"/>
    </xf>
    <xf numFmtId="10" fontId="15" fillId="0" borderId="3" xfId="4" applyNumberFormat="1" applyFont="1" applyBorder="1" applyAlignment="1" applyProtection="1">
      <alignment vertical="center"/>
    </xf>
    <xf numFmtId="0" fontId="0" fillId="4" borderId="0" xfId="0" applyFill="1" applyAlignment="1" applyProtection="1">
      <alignment vertical="top"/>
      <protection locked="0"/>
    </xf>
    <xf numFmtId="0" fontId="0" fillId="0" borderId="0" xfId="0" applyFill="1" applyProtection="1"/>
    <xf numFmtId="0" fontId="2" fillId="5" borderId="8" xfId="0" applyFont="1" applyFill="1" applyBorder="1" applyAlignment="1" applyProtection="1">
      <alignment vertical="top"/>
      <protection locked="0"/>
    </xf>
    <xf numFmtId="0" fontId="0" fillId="5" borderId="9" xfId="0" applyFill="1" applyBorder="1" applyAlignment="1" applyProtection="1">
      <alignment vertical="top"/>
    </xf>
    <xf numFmtId="0" fontId="0" fillId="5" borderId="9" xfId="0" applyFill="1" applyBorder="1" applyAlignment="1" applyProtection="1">
      <alignment vertical="top"/>
      <protection locked="0"/>
    </xf>
    <xf numFmtId="167" fontId="15" fillId="5" borderId="1" xfId="2" applyNumberFormat="1" applyFont="1" applyFill="1" applyBorder="1" applyAlignment="1" applyProtection="1">
      <alignment vertical="top"/>
      <protection locked="0"/>
    </xf>
    <xf numFmtId="0" fontId="0" fillId="5" borderId="1" xfId="0" applyFill="1" applyBorder="1" applyAlignment="1" applyProtection="1">
      <alignment vertical="center"/>
      <protection locked="0"/>
    </xf>
    <xf numFmtId="164" fontId="15" fillId="5" borderId="10" xfId="2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167" fontId="15" fillId="5" borderId="1" xfId="2" applyNumberFormat="1" applyFont="1" applyFill="1" applyBorder="1" applyAlignment="1" applyProtection="1">
      <alignment vertical="center"/>
      <protection locked="0"/>
    </xf>
    <xf numFmtId="0" fontId="0" fillId="5" borderId="10" xfId="0" applyFill="1" applyBorder="1" applyAlignment="1" applyProtection="1">
      <alignment vertical="center"/>
      <protection locked="0"/>
    </xf>
    <xf numFmtId="44" fontId="2" fillId="5" borderId="1" xfId="0" applyNumberFormat="1" applyFont="1" applyFill="1" applyBorder="1" applyAlignment="1" applyProtection="1">
      <alignment vertical="center"/>
    </xf>
    <xf numFmtId="10" fontId="2" fillId="5" borderId="10" xfId="4" applyNumberFormat="1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top" wrapText="1"/>
    </xf>
    <xf numFmtId="0" fontId="0" fillId="0" borderId="11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7" fillId="0" borderId="0" xfId="0" applyFont="1" applyAlignment="1" applyProtection="1">
      <alignment vertical="top"/>
    </xf>
    <xf numFmtId="0" fontId="2" fillId="5" borderId="8" xfId="0" applyFont="1" applyFill="1" applyBorder="1" applyAlignment="1" applyProtection="1">
      <alignment vertical="top" wrapText="1"/>
    </xf>
    <xf numFmtId="0" fontId="0" fillId="5" borderId="9" xfId="0" applyFill="1" applyBorder="1" applyProtection="1"/>
    <xf numFmtId="0" fontId="0" fillId="5" borderId="1" xfId="0" applyFill="1" applyBorder="1" applyProtection="1"/>
    <xf numFmtId="0" fontId="0" fillId="5" borderId="1" xfId="0" applyFill="1" applyBorder="1" applyAlignment="1" applyProtection="1">
      <alignment vertical="center"/>
    </xf>
    <xf numFmtId="44" fontId="2" fillId="5" borderId="10" xfId="0" applyNumberFormat="1" applyFont="1" applyFill="1" applyBorder="1" applyAlignment="1" applyProtection="1">
      <alignment vertical="center"/>
    </xf>
    <xf numFmtId="0" fontId="0" fillId="5" borderId="10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6" borderId="7" xfId="0" applyNumberFormat="1" applyFill="1" applyBorder="1" applyAlignment="1" applyProtection="1">
      <alignment vertical="center"/>
    </xf>
    <xf numFmtId="1" fontId="0" fillId="6" borderId="3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5" borderId="1" xfId="0" applyFill="1" applyBorder="1" applyAlignment="1" applyProtection="1">
      <alignment vertical="top"/>
    </xf>
    <xf numFmtId="0" fontId="2" fillId="5" borderId="0" xfId="0" applyFont="1" applyFill="1" applyAlignment="1" applyProtection="1">
      <alignment vertical="center"/>
    </xf>
    <xf numFmtId="0" fontId="2" fillId="5" borderId="1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7" fontId="15" fillId="4" borderId="7" xfId="2" applyNumberFormat="1" applyFill="1" applyBorder="1" applyAlignment="1" applyProtection="1">
      <alignment vertical="top"/>
      <protection locked="0"/>
    </xf>
    <xf numFmtId="164" fontId="15" fillId="0" borderId="3" xfId="2" applyBorder="1" applyAlignment="1" applyProtection="1">
      <alignment vertical="center"/>
    </xf>
    <xf numFmtId="10" fontId="15" fillId="0" borderId="3" xfId="4" applyNumberFormat="1" applyBorder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1" fontId="0" fillId="0" borderId="3" xfId="0" applyNumberFormat="1" applyFill="1" applyBorder="1" applyAlignment="1" applyProtection="1">
      <alignment vertical="center"/>
    </xf>
    <xf numFmtId="167" fontId="15" fillId="0" borderId="7" xfId="2" applyNumberFormat="1" applyFill="1" applyBorder="1" applyAlignment="1" applyProtection="1">
      <alignment vertical="top"/>
      <protection locked="0"/>
    </xf>
    <xf numFmtId="44" fontId="0" fillId="0" borderId="0" xfId="0" applyNumberFormat="1" applyProtection="1"/>
    <xf numFmtId="0" fontId="7" fillId="0" borderId="0" xfId="3" applyProtection="1"/>
    <xf numFmtId="0" fontId="7" fillId="0" borderId="0" xfId="3" applyFont="1" applyAlignment="1" applyProtection="1">
      <alignment vertical="top"/>
    </xf>
    <xf numFmtId="0" fontId="7" fillId="0" borderId="0" xfId="3" applyAlignment="1" applyProtection="1">
      <alignment vertical="top"/>
    </xf>
    <xf numFmtId="0" fontId="7" fillId="3" borderId="0" xfId="3" applyFill="1" applyAlignment="1" applyProtection="1">
      <alignment vertical="top"/>
      <protection locked="0"/>
    </xf>
    <xf numFmtId="0" fontId="7" fillId="0" borderId="0" xfId="3" applyFill="1" applyAlignment="1" applyProtection="1">
      <alignment vertical="top"/>
    </xf>
    <xf numFmtId="1" fontId="7" fillId="7" borderId="7" xfId="3" applyNumberFormat="1" applyFill="1" applyBorder="1" applyAlignment="1" applyProtection="1">
      <alignment vertical="center"/>
    </xf>
    <xf numFmtId="0" fontId="7" fillId="0" borderId="0" xfId="3" applyAlignment="1" applyProtection="1">
      <alignment vertical="center"/>
    </xf>
    <xf numFmtId="44" fontId="7" fillId="0" borderId="7" xfId="3" applyNumberFormat="1" applyBorder="1" applyAlignment="1" applyProtection="1">
      <alignment vertical="center"/>
    </xf>
    <xf numFmtId="0" fontId="7" fillId="8" borderId="12" xfId="0" applyFont="1" applyFill="1" applyBorder="1" applyProtection="1"/>
    <xf numFmtId="0" fontId="0" fillId="8" borderId="13" xfId="0" applyFill="1" applyBorder="1" applyAlignment="1" applyProtection="1">
      <alignment vertical="top"/>
    </xf>
    <xf numFmtId="0" fontId="0" fillId="8" borderId="13" xfId="0" applyFill="1" applyBorder="1" applyAlignment="1" applyProtection="1">
      <alignment vertical="top"/>
      <protection locked="0"/>
    </xf>
    <xf numFmtId="167" fontId="15" fillId="8" borderId="14" xfId="2" applyNumberFormat="1" applyFill="1" applyBorder="1" applyAlignment="1" applyProtection="1">
      <alignment vertical="top"/>
      <protection locked="0"/>
    </xf>
    <xf numFmtId="0" fontId="0" fillId="8" borderId="15" xfId="0" applyFill="1" applyBorder="1" applyAlignment="1" applyProtection="1">
      <alignment vertical="center"/>
      <protection locked="0"/>
    </xf>
    <xf numFmtId="164" fontId="15" fillId="8" borderId="13" xfId="2" applyFill="1" applyBorder="1" applyAlignment="1" applyProtection="1">
      <alignment vertical="center"/>
    </xf>
    <xf numFmtId="0" fontId="0" fillId="8" borderId="13" xfId="0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  <protection locked="0"/>
    </xf>
    <xf numFmtId="44" fontId="0" fillId="8" borderId="14" xfId="0" applyNumberFormat="1" applyFill="1" applyBorder="1" applyAlignment="1" applyProtection="1">
      <alignment vertical="center"/>
    </xf>
    <xf numFmtId="10" fontId="15" fillId="8" borderId="16" xfId="4" applyNumberForma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top"/>
    </xf>
    <xf numFmtId="9" fontId="0" fillId="0" borderId="7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44" fontId="2" fillId="0" borderId="11" xfId="0" applyNumberFormat="1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9" fontId="2" fillId="0" borderId="7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4" fontId="2" fillId="0" borderId="7" xfId="0" applyNumberFormat="1" applyFont="1" applyFill="1" applyBorder="1" applyAlignment="1" applyProtection="1">
      <alignment vertical="center"/>
    </xf>
    <xf numFmtId="10" fontId="2" fillId="0" borderId="3" xfId="4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horizontal="left" vertical="top" indent="1"/>
    </xf>
    <xf numFmtId="9" fontId="0" fillId="0" borderId="7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44" fontId="7" fillId="0" borderId="11" xfId="0" applyNumberFormat="1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center"/>
    </xf>
    <xf numFmtId="9" fontId="7" fillId="0" borderId="7" xfId="0" applyNumberFormat="1" applyFont="1" applyFill="1" applyBorder="1" applyAlignment="1" applyProtection="1">
      <alignment vertical="center"/>
      <protection locked="0"/>
    </xf>
    <xf numFmtId="44" fontId="7" fillId="0" borderId="3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44" fontId="7" fillId="0" borderId="7" xfId="0" applyNumberFormat="1" applyFont="1" applyFill="1" applyBorder="1" applyAlignment="1" applyProtection="1">
      <alignment vertical="center"/>
    </xf>
    <xf numFmtId="10" fontId="7" fillId="0" borderId="3" xfId="4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top" wrapText="1" indent="1"/>
    </xf>
    <xf numFmtId="0" fontId="0" fillId="0" borderId="7" xfId="0" applyFill="1" applyBorder="1" applyAlignment="1" applyProtection="1">
      <alignment vertical="top"/>
    </xf>
    <xf numFmtId="44" fontId="16" fillId="0" borderId="11" xfId="0" applyNumberFormat="1" applyFont="1" applyFill="1" applyBorder="1" applyAlignment="1" applyProtection="1">
      <alignment vertical="center"/>
    </xf>
    <xf numFmtId="44" fontId="16" fillId="0" borderId="3" xfId="0" applyNumberFormat="1" applyFont="1" applyFill="1" applyBorder="1" applyAlignment="1" applyProtection="1">
      <alignment vertical="center"/>
    </xf>
    <xf numFmtId="44" fontId="16" fillId="0" borderId="7" xfId="0" applyNumberFormat="1" applyFont="1" applyFill="1" applyBorder="1" applyAlignment="1" applyProtection="1">
      <alignment vertical="center"/>
    </xf>
    <xf numFmtId="10" fontId="16" fillId="0" borderId="3" xfId="4" applyNumberFormat="1" applyFont="1" applyFill="1" applyBorder="1" applyAlignment="1" applyProtection="1">
      <alignment vertical="center"/>
    </xf>
    <xf numFmtId="0" fontId="0" fillId="9" borderId="0" xfId="0" applyFill="1" applyAlignment="1" applyProtection="1">
      <alignment vertical="top"/>
    </xf>
    <xf numFmtId="0" fontId="0" fillId="9" borderId="5" xfId="0" applyFill="1" applyBorder="1" applyAlignment="1" applyProtection="1">
      <alignment vertical="top"/>
    </xf>
    <xf numFmtId="0" fontId="0" fillId="9" borderId="17" xfId="0" applyFill="1" applyBorder="1" applyAlignment="1" applyProtection="1">
      <alignment vertical="center"/>
    </xf>
    <xf numFmtId="44" fontId="2" fillId="9" borderId="18" xfId="0" applyNumberFormat="1" applyFont="1" applyFill="1" applyBorder="1" applyAlignment="1" applyProtection="1">
      <alignment vertical="center"/>
    </xf>
    <xf numFmtId="0" fontId="2" fillId="9" borderId="5" xfId="0" applyFont="1" applyFill="1" applyBorder="1" applyAlignment="1" applyProtection="1">
      <alignment vertical="center"/>
    </xf>
    <xf numFmtId="44" fontId="2" fillId="9" borderId="6" xfId="0" applyNumberFormat="1" applyFont="1" applyFill="1" applyBorder="1" applyAlignment="1" applyProtection="1">
      <alignment vertical="center"/>
    </xf>
    <xf numFmtId="0" fontId="2" fillId="9" borderId="17" xfId="0" applyFont="1" applyFill="1" applyBorder="1" applyAlignment="1" applyProtection="1">
      <alignment vertical="center"/>
    </xf>
    <xf numFmtId="44" fontId="2" fillId="9" borderId="5" xfId="0" applyNumberFormat="1" applyFont="1" applyFill="1" applyBorder="1" applyAlignment="1" applyProtection="1">
      <alignment vertical="center"/>
    </xf>
    <xf numFmtId="10" fontId="2" fillId="9" borderId="6" xfId="4" applyNumberFormat="1" applyFont="1" applyFill="1" applyBorder="1" applyAlignment="1" applyProtection="1">
      <alignment vertical="center"/>
    </xf>
    <xf numFmtId="0" fontId="7" fillId="8" borderId="12" xfId="3" applyFont="1" applyFill="1" applyBorder="1" applyProtection="1"/>
    <xf numFmtId="0" fontId="7" fillId="8" borderId="13" xfId="3" applyFill="1" applyBorder="1" applyAlignment="1" applyProtection="1">
      <alignment vertical="top"/>
    </xf>
    <xf numFmtId="0" fontId="7" fillId="8" borderId="13" xfId="3" applyFill="1" applyBorder="1" applyAlignment="1" applyProtection="1">
      <alignment vertical="top"/>
      <protection locked="0"/>
    </xf>
    <xf numFmtId="0" fontId="7" fillId="8" borderId="15" xfId="3" applyFill="1" applyBorder="1" applyAlignment="1" applyProtection="1">
      <alignment vertical="center"/>
      <protection locked="0"/>
    </xf>
    <xf numFmtId="0" fontId="7" fillId="8" borderId="13" xfId="3" applyFill="1" applyBorder="1" applyAlignment="1" applyProtection="1">
      <alignment vertical="center"/>
    </xf>
    <xf numFmtId="0" fontId="7" fillId="8" borderId="14" xfId="3" applyFill="1" applyBorder="1" applyAlignment="1" applyProtection="1">
      <alignment vertical="center"/>
      <protection locked="0"/>
    </xf>
    <xf numFmtId="44" fontId="7" fillId="8" borderId="14" xfId="3" applyNumberFormat="1" applyFill="1" applyBorder="1" applyAlignment="1" applyProtection="1">
      <alignment vertical="center"/>
    </xf>
    <xf numFmtId="0" fontId="2" fillId="0" borderId="0" xfId="3" applyFont="1" applyFill="1" applyAlignment="1" applyProtection="1">
      <alignment vertical="top"/>
    </xf>
    <xf numFmtId="9" fontId="7" fillId="0" borderId="7" xfId="3" applyNumberFormat="1" applyFill="1" applyBorder="1" applyAlignment="1" applyProtection="1">
      <alignment vertical="top"/>
    </xf>
    <xf numFmtId="9" fontId="7" fillId="0" borderId="0" xfId="3" applyNumberFormat="1" applyFill="1" applyBorder="1" applyAlignment="1" applyProtection="1">
      <alignment vertical="center"/>
    </xf>
    <xf numFmtId="44" fontId="2" fillId="0" borderId="11" xfId="3" applyNumberFormat="1" applyFont="1" applyFill="1" applyBorder="1" applyAlignment="1" applyProtection="1">
      <alignment vertical="center"/>
    </xf>
    <xf numFmtId="0" fontId="2" fillId="0" borderId="7" xfId="3" applyFont="1" applyFill="1" applyBorder="1" applyAlignment="1" applyProtection="1">
      <alignment vertical="center"/>
    </xf>
    <xf numFmtId="9" fontId="2" fillId="0" borderId="7" xfId="3" applyNumberFormat="1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center"/>
    </xf>
    <xf numFmtId="44" fontId="2" fillId="0" borderId="7" xfId="3" applyNumberFormat="1" applyFont="1" applyFill="1" applyBorder="1" applyAlignment="1" applyProtection="1">
      <alignment vertical="center"/>
    </xf>
    <xf numFmtId="0" fontId="7" fillId="0" borderId="0" xfId="3" applyFont="1" applyFill="1" applyAlignment="1" applyProtection="1">
      <alignment horizontal="left" vertical="top" indent="1"/>
    </xf>
    <xf numFmtId="9" fontId="7" fillId="0" borderId="7" xfId="3" applyNumberFormat="1" applyFill="1" applyBorder="1" applyAlignment="1" applyProtection="1">
      <alignment vertical="top"/>
      <protection locked="0"/>
    </xf>
    <xf numFmtId="44" fontId="7" fillId="0" borderId="11" xfId="3" applyNumberFormat="1" applyFont="1" applyFill="1" applyBorder="1" applyAlignment="1" applyProtection="1">
      <alignment vertical="center"/>
    </xf>
    <xf numFmtId="0" fontId="7" fillId="0" borderId="7" xfId="3" applyFont="1" applyFill="1" applyBorder="1" applyAlignment="1" applyProtection="1">
      <alignment vertical="center"/>
    </xf>
    <xf numFmtId="9" fontId="7" fillId="0" borderId="7" xfId="3" applyNumberFormat="1" applyFont="1" applyFill="1" applyBorder="1" applyAlignment="1" applyProtection="1">
      <alignment vertical="top"/>
      <protection locked="0"/>
    </xf>
    <xf numFmtId="9" fontId="7" fillId="0" borderId="7" xfId="3" applyNumberFormat="1" applyFont="1" applyFill="1" applyBorder="1" applyAlignment="1" applyProtection="1">
      <alignment vertical="center"/>
    </xf>
    <xf numFmtId="44" fontId="7" fillId="0" borderId="3" xfId="3" applyNumberFormat="1" applyFont="1" applyFill="1" applyBorder="1" applyAlignment="1" applyProtection="1">
      <alignment vertical="center"/>
    </xf>
    <xf numFmtId="0" fontId="7" fillId="0" borderId="0" xfId="3" applyFont="1" applyFill="1" applyBorder="1" applyAlignment="1" applyProtection="1">
      <alignment vertical="center"/>
    </xf>
    <xf numFmtId="44" fontId="7" fillId="0" borderId="7" xfId="3" applyNumberFormat="1" applyFont="1" applyFill="1" applyBorder="1" applyAlignment="1" applyProtection="1">
      <alignment vertical="center"/>
    </xf>
    <xf numFmtId="0" fontId="2" fillId="0" borderId="0" xfId="3" applyFont="1" applyAlignment="1" applyProtection="1">
      <alignment horizontal="left" vertical="top" wrapText="1" indent="1"/>
    </xf>
    <xf numFmtId="0" fontId="7" fillId="0" borderId="7" xfId="3" applyFill="1" applyBorder="1" applyAlignment="1" applyProtection="1">
      <alignment vertical="top"/>
    </xf>
    <xf numFmtId="0" fontId="7" fillId="0" borderId="0" xfId="3" applyFill="1" applyBorder="1" applyAlignment="1" applyProtection="1">
      <alignment vertical="center"/>
    </xf>
    <xf numFmtId="44" fontId="16" fillId="0" borderId="11" xfId="3" applyNumberFormat="1" applyFont="1" applyFill="1" applyBorder="1" applyAlignment="1" applyProtection="1">
      <alignment vertical="center"/>
    </xf>
    <xf numFmtId="44" fontId="16" fillId="0" borderId="3" xfId="3" applyNumberFormat="1" applyFont="1" applyFill="1" applyBorder="1" applyAlignment="1" applyProtection="1">
      <alignment vertical="center"/>
    </xf>
    <xf numFmtId="44" fontId="16" fillId="0" borderId="7" xfId="3" applyNumberFormat="1" applyFont="1" applyFill="1" applyBorder="1" applyAlignment="1" applyProtection="1">
      <alignment vertical="center"/>
    </xf>
    <xf numFmtId="0" fontId="7" fillId="9" borderId="0" xfId="3" applyFill="1" applyAlignment="1" applyProtection="1">
      <alignment vertical="top"/>
    </xf>
    <xf numFmtId="0" fontId="7" fillId="9" borderId="7" xfId="3" applyFill="1" applyBorder="1" applyAlignment="1" applyProtection="1">
      <alignment vertical="top"/>
    </xf>
    <xf numFmtId="0" fontId="7" fillId="9" borderId="0" xfId="3" applyFill="1" applyBorder="1" applyAlignment="1" applyProtection="1">
      <alignment vertical="center"/>
    </xf>
    <xf numFmtId="44" fontId="2" fillId="9" borderId="11" xfId="3" applyNumberFormat="1" applyFont="1" applyFill="1" applyBorder="1" applyAlignment="1" applyProtection="1">
      <alignment vertical="center"/>
    </xf>
    <xf numFmtId="0" fontId="2" fillId="9" borderId="7" xfId="3" applyFont="1" applyFill="1" applyBorder="1" applyAlignment="1" applyProtection="1">
      <alignment vertical="center"/>
    </xf>
    <xf numFmtId="44" fontId="2" fillId="9" borderId="3" xfId="3" applyNumberFormat="1" applyFont="1" applyFill="1" applyBorder="1" applyAlignment="1" applyProtection="1">
      <alignment vertical="center"/>
    </xf>
    <xf numFmtId="0" fontId="2" fillId="9" borderId="0" xfId="3" applyFont="1" applyFill="1" applyBorder="1" applyAlignment="1" applyProtection="1">
      <alignment vertical="center"/>
    </xf>
    <xf numFmtId="44" fontId="2" fillId="9" borderId="7" xfId="3" applyNumberFormat="1" applyFont="1" applyFill="1" applyBorder="1" applyAlignment="1" applyProtection="1">
      <alignment vertical="center"/>
    </xf>
    <xf numFmtId="10" fontId="2" fillId="9" borderId="3" xfId="4" applyNumberFormat="1" applyFont="1" applyFill="1" applyBorder="1" applyAlignment="1" applyProtection="1">
      <alignment vertical="center"/>
    </xf>
    <xf numFmtId="167" fontId="15" fillId="8" borderId="15" xfId="2" applyNumberFormat="1" applyFill="1" applyBorder="1" applyAlignment="1" applyProtection="1">
      <alignment vertical="top"/>
      <protection locked="0"/>
    </xf>
    <xf numFmtId="0" fontId="7" fillId="8" borderId="13" xfId="3" applyFill="1" applyBorder="1" applyAlignment="1" applyProtection="1">
      <alignment vertical="center"/>
      <protection locked="0"/>
    </xf>
    <xf numFmtId="164" fontId="15" fillId="8" borderId="19" xfId="2" applyFill="1" applyBorder="1" applyAlignment="1" applyProtection="1">
      <alignment vertical="center"/>
    </xf>
    <xf numFmtId="0" fontId="7" fillId="8" borderId="15" xfId="3" applyFill="1" applyBorder="1" applyAlignment="1" applyProtection="1">
      <alignment vertical="center"/>
    </xf>
    <xf numFmtId="164" fontId="15" fillId="8" borderId="14" xfId="2" applyFill="1" applyBorder="1" applyAlignment="1" applyProtection="1">
      <alignment vertical="center"/>
    </xf>
    <xf numFmtId="44" fontId="7" fillId="8" borderId="15" xfId="3" applyNumberFormat="1" applyFill="1" applyBorder="1" applyAlignment="1" applyProtection="1">
      <alignment vertical="center"/>
    </xf>
    <xf numFmtId="10" fontId="15" fillId="4" borderId="1" xfId="4" applyNumberFormat="1" applyFill="1" applyBorder="1" applyProtection="1">
      <protection locked="0"/>
    </xf>
    <xf numFmtId="0" fontId="11" fillId="0" borderId="0" xfId="0" applyFont="1" applyProtection="1"/>
    <xf numFmtId="0" fontId="0" fillId="6" borderId="0" xfId="0" applyFill="1" applyProtection="1"/>
    <xf numFmtId="44" fontId="15" fillId="4" borderId="7" xfId="2" applyNumberFormat="1" applyFont="1" applyFill="1" applyBorder="1" applyAlignment="1" applyProtection="1">
      <alignment vertical="center"/>
      <protection locked="0"/>
    </xf>
    <xf numFmtId="44" fontId="15" fillId="4" borderId="7" xfId="2" applyNumberFormat="1" applyFont="1" applyFill="1" applyBorder="1" applyAlignment="1" applyProtection="1">
      <alignment vertical="top"/>
      <protection locked="0"/>
    </xf>
    <xf numFmtId="0" fontId="0" fillId="4" borderId="0" xfId="0" applyFill="1" applyAlignment="1" applyProtection="1">
      <alignment vertical="top" wrapText="1"/>
    </xf>
    <xf numFmtId="44" fontId="15" fillId="4" borderId="7" xfId="2" applyNumberFormat="1" applyFill="1" applyBorder="1" applyAlignment="1" applyProtection="1">
      <alignment vertical="top"/>
      <protection locked="0"/>
    </xf>
    <xf numFmtId="44" fontId="15" fillId="7" borderId="7" xfId="2" applyNumberFormat="1" applyFont="1" applyFill="1" applyBorder="1" applyAlignment="1" applyProtection="1">
      <alignment vertical="top"/>
      <protection locked="0"/>
    </xf>
    <xf numFmtId="166" fontId="0" fillId="0" borderId="7" xfId="0" applyNumberFormat="1" applyFill="1" applyBorder="1" applyAlignment="1" applyProtection="1">
      <alignment vertical="center"/>
    </xf>
    <xf numFmtId="0" fontId="7" fillId="10" borderId="0" xfId="3" applyFont="1" applyFill="1" applyAlignment="1" applyProtection="1">
      <alignment vertical="top"/>
    </xf>
    <xf numFmtId="0" fontId="7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  <protection locked="0"/>
    </xf>
    <xf numFmtId="167" fontId="15" fillId="0" borderId="7" xfId="2" applyNumberFormat="1" applyFont="1" applyFill="1" applyBorder="1" applyAlignment="1" applyProtection="1">
      <alignment vertical="top"/>
      <protection locked="0"/>
    </xf>
    <xf numFmtId="164" fontId="15" fillId="0" borderId="3" xfId="2" applyFont="1" applyFill="1" applyBorder="1" applyAlignment="1" applyProtection="1">
      <alignment vertical="center"/>
    </xf>
    <xf numFmtId="167" fontId="15" fillId="0" borderId="7" xfId="2" applyNumberFormat="1" applyFont="1" applyFill="1" applyBorder="1" applyAlignment="1" applyProtection="1">
      <alignment vertical="center"/>
      <protection locked="0"/>
    </xf>
    <xf numFmtId="44" fontId="0" fillId="0" borderId="7" xfId="0" applyNumberFormat="1" applyFill="1" applyBorder="1" applyAlignment="1" applyProtection="1">
      <alignment vertical="center"/>
    </xf>
    <xf numFmtId="10" fontId="15" fillId="0" borderId="3" xfId="4" applyNumberFormat="1" applyFont="1" applyFill="1" applyBorder="1" applyAlignment="1" applyProtection="1">
      <alignment vertical="center"/>
    </xf>
    <xf numFmtId="164" fontId="15" fillId="0" borderId="3" xfId="2" applyFill="1" applyBorder="1" applyAlignment="1" applyProtection="1">
      <alignment vertical="center"/>
    </xf>
    <xf numFmtId="44" fontId="2" fillId="0" borderId="20" xfId="3" applyNumberFormat="1" applyFont="1" applyFill="1" applyBorder="1" applyAlignment="1" applyProtection="1">
      <alignment vertical="center"/>
    </xf>
    <xf numFmtId="44" fontId="2" fillId="0" borderId="20" xfId="0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0" fillId="0" borderId="0" xfId="0" applyFill="1"/>
    <xf numFmtId="15" fontId="3" fillId="0" borderId="0" xfId="0" applyNumberFormat="1" applyFont="1" applyFill="1" applyAlignment="1">
      <alignment vertical="top"/>
    </xf>
    <xf numFmtId="0" fontId="0" fillId="0" borderId="0" xfId="0" applyBorder="1"/>
    <xf numFmtId="168" fontId="15" fillId="4" borderId="7" xfId="2" applyNumberFormat="1" applyFont="1" applyFill="1" applyBorder="1" applyAlignment="1" applyProtection="1">
      <alignment vertical="top"/>
      <protection locked="0"/>
    </xf>
    <xf numFmtId="168" fontId="15" fillId="4" borderId="7" xfId="2" applyNumberFormat="1" applyFont="1" applyFill="1" applyBorder="1" applyAlignment="1" applyProtection="1">
      <alignment vertical="center"/>
      <protection locked="0"/>
    </xf>
    <xf numFmtId="167" fontId="0" fillId="4" borderId="7" xfId="2" applyNumberFormat="1" applyFont="1" applyFill="1" applyBorder="1" applyAlignment="1" applyProtection="1">
      <alignment vertical="top"/>
      <protection locked="0"/>
    </xf>
    <xf numFmtId="0" fontId="0" fillId="0" borderId="0" xfId="0" applyAlignment="1">
      <alignment horizontal="center"/>
    </xf>
    <xf numFmtId="171" fontId="15" fillId="4" borderId="1" xfId="4" applyNumberFormat="1" applyFill="1" applyBorder="1" applyProtection="1">
      <protection locked="0"/>
    </xf>
    <xf numFmtId="165" fontId="0" fillId="0" borderId="7" xfId="0" applyNumberFormat="1" applyFill="1" applyBorder="1" applyAlignment="1" applyProtection="1">
      <alignment vertical="center"/>
    </xf>
    <xf numFmtId="0" fontId="2" fillId="11" borderId="20" xfId="0" applyFont="1" applyFill="1" applyBorder="1" applyAlignment="1">
      <alignment horizontal="center" vertical="center" wrapText="1"/>
    </xf>
    <xf numFmtId="0" fontId="2" fillId="11" borderId="3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169" fontId="0" fillId="0" borderId="15" xfId="0" applyNumberFormat="1" applyBorder="1" applyAlignment="1">
      <alignment horizontal="center" vertical="center"/>
    </xf>
    <xf numFmtId="170" fontId="15" fillId="0" borderId="15" xfId="4" applyNumberFormat="1" applyFont="1" applyBorder="1" applyAlignment="1">
      <alignment horizontal="center" vertical="center"/>
    </xf>
    <xf numFmtId="170" fontId="15" fillId="0" borderId="35" xfId="4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69" fontId="0" fillId="0" borderId="36" xfId="0" applyNumberFormat="1" applyBorder="1" applyAlignment="1">
      <alignment horizontal="center" vertical="center"/>
    </xf>
    <xf numFmtId="170" fontId="15" fillId="0" borderId="36" xfId="4" applyNumberFormat="1" applyFont="1" applyBorder="1" applyAlignment="1">
      <alignment horizontal="center" vertical="center"/>
    </xf>
    <xf numFmtId="170" fontId="15" fillId="0" borderId="37" xfId="4" applyNumberFormat="1" applyFont="1" applyBorder="1" applyAlignment="1">
      <alignment horizontal="center" vertical="center"/>
    </xf>
    <xf numFmtId="169" fontId="0" fillId="0" borderId="25" xfId="0" applyNumberFormat="1" applyBorder="1" applyAlignment="1">
      <alignment horizontal="center" vertical="center"/>
    </xf>
    <xf numFmtId="170" fontId="15" fillId="0" borderId="25" xfId="4" applyNumberFormat="1" applyFont="1" applyBorder="1" applyAlignment="1">
      <alignment horizontal="center" vertical="center"/>
    </xf>
    <xf numFmtId="170" fontId="15" fillId="0" borderId="27" xfId="4" applyNumberFormat="1" applyFon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170" fontId="15" fillId="0" borderId="1" xfId="4" applyNumberFormat="1" applyFont="1" applyBorder="1" applyAlignment="1">
      <alignment horizontal="center" vertical="center"/>
    </xf>
    <xf numFmtId="170" fontId="15" fillId="0" borderId="29" xfId="4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9" fontId="0" fillId="0" borderId="1" xfId="0" applyNumberFormat="1" applyFill="1" applyBorder="1" applyAlignment="1">
      <alignment horizontal="center" vertical="center"/>
    </xf>
    <xf numFmtId="170" fontId="15" fillId="0" borderId="1" xfId="4" applyNumberFormat="1" applyFont="1" applyFill="1" applyBorder="1" applyAlignment="1">
      <alignment horizontal="center" vertical="center"/>
    </xf>
    <xf numFmtId="170" fontId="15" fillId="0" borderId="29" xfId="4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169" fontId="0" fillId="0" borderId="31" xfId="0" applyNumberFormat="1" applyBorder="1" applyAlignment="1">
      <alignment horizontal="center" vertical="center"/>
    </xf>
    <xf numFmtId="170" fontId="15" fillId="0" borderId="31" xfId="4" applyNumberFormat="1" applyFont="1" applyBorder="1" applyAlignment="1">
      <alignment horizontal="center" vertical="center"/>
    </xf>
    <xf numFmtId="170" fontId="15" fillId="0" borderId="32" xfId="4" applyNumberFormat="1" applyFon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center"/>
    </xf>
    <xf numFmtId="15" fontId="7" fillId="4" borderId="0" xfId="0" applyNumberFormat="1" applyFont="1" applyFill="1" applyAlignment="1">
      <alignment horizontal="right" vertical="top"/>
    </xf>
    <xf numFmtId="0" fontId="7" fillId="4" borderId="0" xfId="0" applyNumberFormat="1" applyFont="1" applyFill="1" applyAlignment="1">
      <alignment horizontal="right" vertical="top"/>
    </xf>
    <xf numFmtId="0" fontId="5" fillId="4" borderId="0" xfId="0" applyFont="1" applyFill="1" applyAlignment="1" applyProtection="1">
      <alignment horizontal="left" vertical="center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9" borderId="0" xfId="0" applyFont="1" applyFill="1" applyAlignment="1" applyProtection="1">
      <alignment horizontal="left" vertical="top" wrapText="1"/>
    </xf>
    <xf numFmtId="0" fontId="2" fillId="9" borderId="0" xfId="3" applyFont="1" applyFill="1" applyAlignment="1" applyProtection="1">
      <alignment horizontal="left" vertical="top" wrapText="1"/>
    </xf>
    <xf numFmtId="0" fontId="2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0" fillId="0" borderId="5" xfId="0" applyBorder="1" applyAlignment="1">
      <alignment wrapText="1"/>
    </xf>
    <xf numFmtId="0" fontId="2" fillId="0" borderId="3" xfId="0" applyFont="1" applyFill="1" applyBorder="1" applyAlignment="1" applyProtection="1">
      <alignment horizontal="center" wrapText="1"/>
    </xf>
    <xf numFmtId="0" fontId="0" fillId="0" borderId="6" xfId="0" applyBorder="1" applyAlignment="1">
      <alignment wrapText="1"/>
    </xf>
    <xf numFmtId="0" fontId="9" fillId="0" borderId="0" xfId="0" applyFont="1" applyAlignment="1" applyProtection="1">
      <alignment horizontal="left" vertical="top" wrapText="1" indent="1"/>
    </xf>
    <xf numFmtId="0" fontId="9" fillId="0" borderId="0" xfId="3" applyFont="1" applyAlignment="1" applyProtection="1">
      <alignment horizontal="left" vertical="top" wrapText="1" indent="1"/>
    </xf>
    <xf numFmtId="0" fontId="7" fillId="0" borderId="12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2" fillId="11" borderId="23" xfId="0" applyFont="1" applyFill="1" applyBorder="1" applyAlignment="1">
      <alignment horizontal="center" vertical="center" wrapText="1"/>
    </xf>
    <xf numFmtId="0" fontId="2" fillId="11" borderId="26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Rate%20Applications/2014%20COS%20Rate%20Rebasing/New%20Working%20Models%20August%202013/Revised_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 refreshError="1">
        <row r="16">
          <cell r="E16" t="str">
            <v>EB-2013-0116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0" tint="-0.14999847407452621"/>
    <pageSetUpPr fitToPage="1"/>
  </sheetPr>
  <dimension ref="A1:T90"/>
  <sheetViews>
    <sheetView showGridLines="0" workbookViewId="0">
      <selection activeCell="B9" sqref="B9:O9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">
        <v>93</v>
      </c>
      <c r="O1" s="234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v>8</v>
      </c>
      <c r="O2" s="235"/>
    </row>
    <row r="3" spans="1:20" s="2" customFormat="1" ht="15" customHeight="1" x14ac:dyDescent="0.25">
      <c r="C3" s="6"/>
      <c r="D3" s="6"/>
      <c r="E3" s="6"/>
      <c r="L3" s="3" t="s">
        <v>95</v>
      </c>
      <c r="N3" s="234" t="s">
        <v>96</v>
      </c>
      <c r="O3" s="234"/>
    </row>
    <row r="4" spans="1:20" s="2" customFormat="1" ht="9" customHeight="1" x14ac:dyDescent="0.25">
      <c r="L4" s="3"/>
      <c r="N4" s="4"/>
      <c r="O4"/>
    </row>
    <row r="5" spans="1:20" s="2" customFormat="1" x14ac:dyDescent="0.25">
      <c r="L5" s="3" t="s">
        <v>75</v>
      </c>
      <c r="N5" s="234">
        <v>41985</v>
      </c>
      <c r="O5" s="234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59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14.64</v>
      </c>
      <c r="G21" s="26">
        <v>1</v>
      </c>
      <c r="H21" s="27">
        <f>G21*F21</f>
        <v>14.64</v>
      </c>
      <c r="I21" s="28"/>
      <c r="J21" s="173">
        <v>16.850000000000001</v>
      </c>
      <c r="K21" s="30">
        <v>1</v>
      </c>
      <c r="L21" s="27">
        <f>K21*J21</f>
        <v>16.850000000000001</v>
      </c>
      <c r="M21" s="28"/>
      <c r="N21" s="31">
        <f>L21-H21</f>
        <v>2.2100000000000009</v>
      </c>
      <c r="O21" s="32">
        <f>IF((H21)=0,"",(N21/H21))</f>
        <v>0.15095628415300552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v>0.8495330863269237</v>
      </c>
      <c r="K24" s="30">
        <v>1</v>
      </c>
      <c r="L24" s="27">
        <f t="shared" si="1"/>
        <v>0.8495330863269237</v>
      </c>
      <c r="M24" s="28"/>
      <c r="N24" s="31">
        <f t="shared" si="2"/>
        <v>0.8495330863269237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100</v>
      </c>
      <c r="H25" s="27">
        <f t="shared" si="0"/>
        <v>0</v>
      </c>
      <c r="I25" s="28"/>
      <c r="J25" s="29">
        <v>1.9720869946651326E-4</v>
      </c>
      <c r="K25" s="26">
        <f>$F$16</f>
        <v>100</v>
      </c>
      <c r="L25" s="27">
        <f t="shared" si="1"/>
        <v>1.9720869946651325E-2</v>
      </c>
      <c r="M25" s="28"/>
      <c r="N25" s="31">
        <f t="shared" si="2"/>
        <v>1.9720869946651325E-2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100</v>
      </c>
      <c r="H26" s="27">
        <f t="shared" si="0"/>
        <v>-0.02</v>
      </c>
      <c r="I26" s="28"/>
      <c r="J26" s="173"/>
      <c r="K26" s="26">
        <f>$F$16</f>
        <v>100</v>
      </c>
      <c r="L26" s="27">
        <f t="shared" si="1"/>
        <v>0</v>
      </c>
      <c r="M26" s="28"/>
      <c r="N26" s="31">
        <f t="shared" si="2"/>
        <v>0.02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100</v>
      </c>
      <c r="H27" s="27">
        <f t="shared" si="0"/>
        <v>0</v>
      </c>
      <c r="I27" s="28"/>
      <c r="J27" s="29">
        <v>-7.1368536247813138E-3</v>
      </c>
      <c r="K27" s="26">
        <f>$F$16</f>
        <v>100</v>
      </c>
      <c r="L27" s="27">
        <f t="shared" si="1"/>
        <v>-0.71368536247813141</v>
      </c>
      <c r="M27" s="28"/>
      <c r="N27" s="31">
        <f t="shared" si="2"/>
        <v>-0.71368536247813141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v>1.3100000000000001E-2</v>
      </c>
      <c r="G28" s="26">
        <f>$F$16</f>
        <v>100</v>
      </c>
      <c r="H28" s="27">
        <f t="shared" si="0"/>
        <v>1.31</v>
      </c>
      <c r="I28" s="28"/>
      <c r="J28" s="29">
        <v>1.5100000000000001E-2</v>
      </c>
      <c r="K28" s="26">
        <f>$F$16</f>
        <v>100</v>
      </c>
      <c r="L28" s="27">
        <f t="shared" si="1"/>
        <v>1.51</v>
      </c>
      <c r="M28" s="28"/>
      <c r="N28" s="31">
        <f t="shared" si="2"/>
        <v>0.19999999999999996</v>
      </c>
      <c r="O28" s="32">
        <f t="shared" si="3"/>
        <v>0.15267175572519079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100</v>
      </c>
      <c r="H29" s="27">
        <f t="shared" si="0"/>
        <v>0</v>
      </c>
      <c r="I29" s="28"/>
      <c r="J29" s="29"/>
      <c r="K29" s="26">
        <f t="shared" ref="K29:K37" si="5">$F$16</f>
        <v>100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100</v>
      </c>
      <c r="H30" s="27">
        <f t="shared" si="0"/>
        <v>0</v>
      </c>
      <c r="I30" s="28"/>
      <c r="J30" s="29"/>
      <c r="K30" s="26">
        <f t="shared" si="5"/>
        <v>100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100</v>
      </c>
      <c r="H31" s="27">
        <f t="shared" si="0"/>
        <v>0</v>
      </c>
      <c r="I31" s="28"/>
      <c r="J31" s="29"/>
      <c r="K31" s="26">
        <f t="shared" si="5"/>
        <v>100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100</v>
      </c>
      <c r="H32" s="27">
        <f t="shared" si="0"/>
        <v>0</v>
      </c>
      <c r="I32" s="28"/>
      <c r="J32" s="29"/>
      <c r="K32" s="26">
        <f t="shared" si="5"/>
        <v>100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100</v>
      </c>
      <c r="H33" s="27">
        <f t="shared" si="0"/>
        <v>0</v>
      </c>
      <c r="I33" s="28"/>
      <c r="J33" s="29"/>
      <c r="K33" s="26">
        <f t="shared" si="5"/>
        <v>100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100</v>
      </c>
      <c r="H34" s="27">
        <f t="shared" si="0"/>
        <v>0</v>
      </c>
      <c r="I34" s="28"/>
      <c r="J34" s="29"/>
      <c r="K34" s="26">
        <f t="shared" si="5"/>
        <v>100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100</v>
      </c>
      <c r="H35" s="27">
        <f t="shared" si="0"/>
        <v>0</v>
      </c>
      <c r="I35" s="28"/>
      <c r="J35" s="29"/>
      <c r="K35" s="26">
        <f t="shared" si="5"/>
        <v>100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100</v>
      </c>
      <c r="H36" s="27">
        <f t="shared" si="0"/>
        <v>0</v>
      </c>
      <c r="I36" s="28"/>
      <c r="J36" s="29"/>
      <c r="K36" s="26">
        <f t="shared" si="5"/>
        <v>100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100</v>
      </c>
      <c r="H37" s="27">
        <f t="shared" si="0"/>
        <v>0</v>
      </c>
      <c r="I37" s="28"/>
      <c r="J37" s="29"/>
      <c r="K37" s="26">
        <f t="shared" si="5"/>
        <v>100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18.63</v>
      </c>
      <c r="I38" s="41"/>
      <c r="J38" s="42"/>
      <c r="K38" s="43"/>
      <c r="L38" s="40">
        <f>SUM(L21:L37)</f>
        <v>18.51556859379545</v>
      </c>
      <c r="M38" s="41"/>
      <c r="N38" s="44">
        <f t="shared" si="2"/>
        <v>-0.11443140620454884</v>
      </c>
      <c r="O38" s="45">
        <f t="shared" si="3"/>
        <v>-6.1423191736204421E-3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100</v>
      </c>
      <c r="H40" s="27">
        <f t="shared" ref="H40:H46" si="7">G40*F40</f>
        <v>-0.18</v>
      </c>
      <c r="I40" s="28"/>
      <c r="J40" s="29">
        <v>-8.2813333909562397E-4</v>
      </c>
      <c r="K40" s="26">
        <f>$F$16</f>
        <v>100</v>
      </c>
      <c r="L40" s="27">
        <f t="shared" ref="L40:L46" si="8">K40*J40</f>
        <v>-8.28133339095624E-2</v>
      </c>
      <c r="M40" s="28"/>
      <c r="N40" s="31">
        <f t="shared" ref="N40:N46" si="9">L40-H40</f>
        <v>9.7186666090437593E-2</v>
      </c>
      <c r="O40" s="32">
        <f t="shared" ref="O40:O45" si="10">IF((H40)=0,"",(N40/H40))</f>
        <v>-0.53992592272465334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100</v>
      </c>
      <c r="H41" s="27">
        <f t="shared" si="7"/>
        <v>0</v>
      </c>
      <c r="I41" s="47"/>
      <c r="J41" s="29"/>
      <c r="K41" s="26">
        <f>$F$16</f>
        <v>100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100</v>
      </c>
      <c r="H42" s="27">
        <f t="shared" si="7"/>
        <v>0</v>
      </c>
      <c r="I42" s="47"/>
      <c r="J42" s="29"/>
      <c r="K42" s="26">
        <f>$F$16</f>
        <v>100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100</v>
      </c>
      <c r="H43" s="27">
        <f t="shared" si="7"/>
        <v>0</v>
      </c>
      <c r="I43" s="47"/>
      <c r="J43" s="29"/>
      <c r="K43" s="26">
        <f>$F$16</f>
        <v>100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100</v>
      </c>
      <c r="H44" s="27">
        <f t="shared" si="7"/>
        <v>4.0000000000000001E-3</v>
      </c>
      <c r="I44" s="28"/>
      <c r="J44" s="195">
        <v>4.0000000000000003E-5</v>
      </c>
      <c r="K44" s="26">
        <f>$F$16</f>
        <v>100</v>
      </c>
      <c r="L44" s="27">
        <f t="shared" si="8"/>
        <v>4.0000000000000001E-3</v>
      </c>
      <c r="M44" s="28"/>
      <c r="N44" s="31">
        <f t="shared" si="9"/>
        <v>0</v>
      </c>
      <c r="O44" s="32">
        <f t="shared" si="10"/>
        <v>0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4.8000000000000114</v>
      </c>
      <c r="H45" s="183">
        <f t="shared" si="7"/>
        <v>0.44380800000000104</v>
      </c>
      <c r="I45" s="57"/>
      <c r="J45" s="184">
        <f>0.64*$F$55+0.18*$F$56+0.18*$F$57</f>
        <v>9.2460000000000001E-2</v>
      </c>
      <c r="K45" s="26">
        <f>$F$16*(1+$J$74)-$F$16</f>
        <v>4.7099999999999937</v>
      </c>
      <c r="L45" s="183">
        <f t="shared" si="8"/>
        <v>0.43548659999999945</v>
      </c>
      <c r="M45" s="57"/>
      <c r="N45" s="185">
        <f t="shared" si="9"/>
        <v>-8.3214000000015886E-3</v>
      </c>
      <c r="O45" s="186">
        <f t="shared" si="10"/>
        <v>-1.8750000000003535E-2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19.687808</v>
      </c>
      <c r="I47" s="41"/>
      <c r="J47" s="53"/>
      <c r="K47" s="55"/>
      <c r="L47" s="54">
        <f>SUM(L39:L46)+L38</f>
        <v>19.662241859885889</v>
      </c>
      <c r="M47" s="41"/>
      <c r="N47" s="44">
        <f t="shared" ref="N47:N65" si="11">L47-H47</f>
        <v>-2.5566140114111846E-2</v>
      </c>
      <c r="O47" s="45">
        <f t="shared" ref="O47:O65" si="12">IF((H47)=0,"",(N47/H47))</f>
        <v>-1.2985772775776687E-3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104.80000000000001</v>
      </c>
      <c r="H48" s="27">
        <f>G48*F48</f>
        <v>0.76504000000000005</v>
      </c>
      <c r="I48" s="28"/>
      <c r="J48" s="29">
        <v>7.5910048339565368E-3</v>
      </c>
      <c r="K48" s="59">
        <f>F16*(1+J74)</f>
        <v>104.71</v>
      </c>
      <c r="L48" s="27">
        <f>K48*J48</f>
        <v>0.79485411616358892</v>
      </c>
      <c r="M48" s="28"/>
      <c r="N48" s="31">
        <f t="shared" si="11"/>
        <v>2.9814116163588866E-2</v>
      </c>
      <c r="O48" s="32">
        <f t="shared" si="12"/>
        <v>3.8970663185701221E-2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104.80000000000001</v>
      </c>
      <c r="H49" s="27">
        <f>G49*F49</f>
        <v>0.59736000000000011</v>
      </c>
      <c r="I49" s="28"/>
      <c r="J49" s="29">
        <v>5.7169521807640556E-3</v>
      </c>
      <c r="K49" s="59">
        <f>K48</f>
        <v>104.71</v>
      </c>
      <c r="L49" s="27">
        <f>K49*J49</f>
        <v>0.59862206284780428</v>
      </c>
      <c r="M49" s="28"/>
      <c r="N49" s="31">
        <f t="shared" si="11"/>
        <v>1.2620628478041684E-3</v>
      </c>
      <c r="O49" s="32">
        <f t="shared" si="12"/>
        <v>2.1127341097565426E-3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21.050207999999998</v>
      </c>
      <c r="I50" s="62"/>
      <c r="J50" s="63"/>
      <c r="K50" s="64"/>
      <c r="L50" s="54">
        <f>SUM(L47:L49)</f>
        <v>21.055718038897282</v>
      </c>
      <c r="M50" s="62"/>
      <c r="N50" s="44">
        <f t="shared" si="11"/>
        <v>5.5100388972846304E-3</v>
      </c>
      <c r="O50" s="45">
        <f t="shared" si="12"/>
        <v>2.6175698108468244E-4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104.80000000000001</v>
      </c>
      <c r="H51" s="67">
        <f t="shared" ref="H51:H57" si="13">G51*F51</f>
        <v>0.46112000000000009</v>
      </c>
      <c r="I51" s="28"/>
      <c r="J51" s="66">
        <v>4.4000000000000003E-3</v>
      </c>
      <c r="K51" s="59">
        <f>K49</f>
        <v>104.71</v>
      </c>
      <c r="L51" s="67">
        <f t="shared" ref="L51:L57" si="14">K51*J51</f>
        <v>0.46072400000000002</v>
      </c>
      <c r="M51" s="28"/>
      <c r="N51" s="31">
        <f t="shared" si="11"/>
        <v>-3.9600000000006297E-4</v>
      </c>
      <c r="O51" s="68">
        <f t="shared" si="12"/>
        <v>-8.5877862595433484E-4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104.80000000000001</v>
      </c>
      <c r="H52" s="67">
        <f t="shared" si="13"/>
        <v>0.13624</v>
      </c>
      <c r="I52" s="28"/>
      <c r="J52" s="66">
        <v>1.2999999999999999E-3</v>
      </c>
      <c r="K52" s="59">
        <f>K49</f>
        <v>104.71</v>
      </c>
      <c r="L52" s="67">
        <f t="shared" si="14"/>
        <v>0.13612299999999999</v>
      </c>
      <c r="M52" s="28"/>
      <c r="N52" s="31">
        <f t="shared" si="11"/>
        <v>-1.1700000000000599E-4</v>
      </c>
      <c r="O52" s="68">
        <f t="shared" si="12"/>
        <v>-8.5877862595424247E-4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3"/>
        <v>0.25</v>
      </c>
      <c r="I53" s="28"/>
      <c r="J53" s="176">
        <v>0.25</v>
      </c>
      <c r="K53" s="30">
        <v>1</v>
      </c>
      <c r="L53" s="67">
        <f t="shared" si="14"/>
        <v>0.25</v>
      </c>
      <c r="M53" s="28"/>
      <c r="N53" s="31">
        <f t="shared" si="11"/>
        <v>0</v>
      </c>
      <c r="O53" s="68">
        <f t="shared" si="12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100</v>
      </c>
      <c r="H54" s="67">
        <f t="shared" si="13"/>
        <v>0.70000000000000007</v>
      </c>
      <c r="I54" s="28"/>
      <c r="J54" s="66">
        <v>7.0000000000000001E-3</v>
      </c>
      <c r="K54" s="70">
        <f>F16</f>
        <v>100</v>
      </c>
      <c r="L54" s="67">
        <f t="shared" si="14"/>
        <v>0.70000000000000007</v>
      </c>
      <c r="M54" s="28"/>
      <c r="N54" s="31">
        <f t="shared" si="11"/>
        <v>0</v>
      </c>
      <c r="O54" s="68">
        <f t="shared" si="12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64</v>
      </c>
      <c r="H55" s="67">
        <f t="shared" si="13"/>
        <v>4.8</v>
      </c>
      <c r="I55" s="28"/>
      <c r="J55" s="66">
        <v>7.4999999999999997E-2</v>
      </c>
      <c r="K55" s="69">
        <f>G55</f>
        <v>64</v>
      </c>
      <c r="L55" s="67">
        <f t="shared" si="14"/>
        <v>4.8</v>
      </c>
      <c r="M55" s="28"/>
      <c r="N55" s="31">
        <f t="shared" si="11"/>
        <v>0</v>
      </c>
      <c r="O55" s="68">
        <f t="shared" si="12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18</v>
      </c>
      <c r="H56" s="67">
        <f t="shared" si="13"/>
        <v>2.016</v>
      </c>
      <c r="I56" s="28"/>
      <c r="J56" s="66">
        <v>0.112</v>
      </c>
      <c r="K56" s="69">
        <f>G56</f>
        <v>18</v>
      </c>
      <c r="L56" s="67">
        <f t="shared" si="14"/>
        <v>2.016</v>
      </c>
      <c r="M56" s="28"/>
      <c r="N56" s="31">
        <f t="shared" si="11"/>
        <v>0</v>
      </c>
      <c r="O56" s="68">
        <f t="shared" si="12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18</v>
      </c>
      <c r="H57" s="67">
        <f t="shared" si="13"/>
        <v>2.4300000000000002</v>
      </c>
      <c r="I57" s="28"/>
      <c r="J57" s="66">
        <v>0.13500000000000001</v>
      </c>
      <c r="K57" s="69">
        <f>G57</f>
        <v>18</v>
      </c>
      <c r="L57" s="67">
        <f t="shared" si="14"/>
        <v>2.4300000000000002</v>
      </c>
      <c r="M57" s="28"/>
      <c r="N57" s="31">
        <f t="shared" si="11"/>
        <v>0</v>
      </c>
      <c r="O57" s="68">
        <f t="shared" si="12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100</v>
      </c>
      <c r="H58" s="67">
        <f>G58*F58</f>
        <v>8.6</v>
      </c>
      <c r="I58" s="79"/>
      <c r="J58" s="66">
        <v>8.5999999999999993E-2</v>
      </c>
      <c r="K58" s="78">
        <f>G58</f>
        <v>100</v>
      </c>
      <c r="L58" s="67">
        <f>K58*J58</f>
        <v>8.6</v>
      </c>
      <c r="M58" s="79"/>
      <c r="N58" s="80">
        <f t="shared" si="11"/>
        <v>0</v>
      </c>
      <c r="O58" s="68">
        <f t="shared" si="12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0</v>
      </c>
      <c r="H59" s="67">
        <f>G59*F59</f>
        <v>0</v>
      </c>
      <c r="I59" s="79"/>
      <c r="J59" s="66">
        <v>0.10100000000000001</v>
      </c>
      <c r="K59" s="78">
        <f>G59</f>
        <v>0</v>
      </c>
      <c r="L59" s="67">
        <f>K59*J59</f>
        <v>0</v>
      </c>
      <c r="M59" s="79"/>
      <c r="N59" s="80">
        <f t="shared" si="11"/>
        <v>0</v>
      </c>
      <c r="O59" s="68" t="str">
        <f t="shared" si="12"/>
        <v/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31.843567999999998</v>
      </c>
      <c r="I61" s="95"/>
      <c r="J61" s="96"/>
      <c r="K61" s="96"/>
      <c r="L61" s="189">
        <f>SUM(L51:L57,L50)</f>
        <v>31.848565038897284</v>
      </c>
      <c r="M61" s="97"/>
      <c r="N61" s="98">
        <f>L61-H61</f>
        <v>4.9970388972866431E-3</v>
      </c>
      <c r="O61" s="99">
        <f>IF((H61)=0,"",(N61/H61))</f>
        <v>1.5692459140529238E-4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4.1396638399999999</v>
      </c>
      <c r="I62" s="104"/>
      <c r="J62" s="105">
        <v>0.13</v>
      </c>
      <c r="K62" s="104"/>
      <c r="L62" s="106">
        <f>L61*J62</f>
        <v>4.1403134550566474</v>
      </c>
      <c r="M62" s="107"/>
      <c r="N62" s="108">
        <f t="shared" si="11"/>
        <v>6.4961505664751229E-4</v>
      </c>
      <c r="O62" s="109">
        <f t="shared" si="12"/>
        <v>1.5692459140535244E-4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35.983231839999995</v>
      </c>
      <c r="I63" s="104"/>
      <c r="J63" s="104"/>
      <c r="K63" s="104"/>
      <c r="L63" s="106">
        <f>L61+L62</f>
        <v>35.988878493953933</v>
      </c>
      <c r="M63" s="107"/>
      <c r="N63" s="108">
        <f t="shared" si="11"/>
        <v>5.6466539539385963E-3</v>
      </c>
      <c r="O63" s="109">
        <f t="shared" si="12"/>
        <v>1.5692459140542273E-4</v>
      </c>
      <c r="S63" s="72"/>
    </row>
    <row r="64" spans="2:19" ht="15.75" customHeight="1" x14ac:dyDescent="0.25">
      <c r="B64" s="248" t="s">
        <v>43</v>
      </c>
      <c r="C64" s="248"/>
      <c r="D64" s="248"/>
      <c r="E64" s="22"/>
      <c r="F64" s="111"/>
      <c r="G64" s="102"/>
      <c r="H64" s="112">
        <f>ROUND(-H63*10%,2)</f>
        <v>-3.6</v>
      </c>
      <c r="I64" s="104"/>
      <c r="J64" s="104"/>
      <c r="K64" s="104"/>
      <c r="L64" s="113">
        <f>ROUND(-L63*10%,2)</f>
        <v>-3.6</v>
      </c>
      <c r="M64" s="107"/>
      <c r="N64" s="114">
        <f t="shared" si="11"/>
        <v>0</v>
      </c>
      <c r="O64" s="115">
        <f t="shared" si="12"/>
        <v>0</v>
      </c>
    </row>
    <row r="65" spans="1:15" ht="15.75" thickBot="1" x14ac:dyDescent="0.3">
      <c r="B65" s="240" t="s">
        <v>44</v>
      </c>
      <c r="C65" s="240"/>
      <c r="D65" s="240"/>
      <c r="E65" s="116"/>
      <c r="F65" s="117"/>
      <c r="G65" s="118"/>
      <c r="H65" s="119">
        <f>H63+H64</f>
        <v>32.383231839999993</v>
      </c>
      <c r="I65" s="120"/>
      <c r="J65" s="120"/>
      <c r="K65" s="120"/>
      <c r="L65" s="121">
        <f>L63+L64</f>
        <v>32.388878493953932</v>
      </c>
      <c r="M65" s="122"/>
      <c r="N65" s="123">
        <f t="shared" si="11"/>
        <v>5.6466539539385963E-3</v>
      </c>
      <c r="O65" s="124">
        <f t="shared" si="12"/>
        <v>1.743696855779481E-4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31.197568</v>
      </c>
      <c r="I67" s="136"/>
      <c r="J67" s="137"/>
      <c r="K67" s="137"/>
      <c r="L67" s="188">
        <f>SUM(L58:L59,L50,L51:L54)</f>
        <v>31.202565038897284</v>
      </c>
      <c r="M67" s="138"/>
      <c r="N67" s="139">
        <f>L67-H67</f>
        <v>4.9970388972830904E-3</v>
      </c>
      <c r="O67" s="99">
        <f>IF((H67)=0,"",(N67/H67))</f>
        <v>1.6017398847509813E-4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4.0556838400000004</v>
      </c>
      <c r="I68" s="143"/>
      <c r="J68" s="144">
        <v>0.13</v>
      </c>
      <c r="K68" s="145"/>
      <c r="L68" s="146">
        <f>L67*J68</f>
        <v>4.056333455056647</v>
      </c>
      <c r="M68" s="147"/>
      <c r="N68" s="148">
        <f>L68-H68</f>
        <v>6.4961505664662411E-4</v>
      </c>
      <c r="O68" s="109">
        <f>IF((H68)=0,"",(N68/H68))</f>
        <v>1.6017398847505433E-4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35.253251840000004</v>
      </c>
      <c r="I69" s="143"/>
      <c r="J69" s="143"/>
      <c r="K69" s="143"/>
      <c r="L69" s="146">
        <f>L67+L68</f>
        <v>35.258898493953929</v>
      </c>
      <c r="M69" s="147"/>
      <c r="N69" s="148">
        <f>L69-H69</f>
        <v>5.6466539539243854E-3</v>
      </c>
      <c r="O69" s="109">
        <f>IF((H69)=0,"",(N69/H69))</f>
        <v>1.601739884749419E-4</v>
      </c>
    </row>
    <row r="70" spans="1:15" s="73" customFormat="1" ht="15.75" customHeight="1" x14ac:dyDescent="0.2">
      <c r="B70" s="249" t="s">
        <v>43</v>
      </c>
      <c r="C70" s="249"/>
      <c r="D70" s="249"/>
      <c r="E70" s="75"/>
      <c r="F70" s="150"/>
      <c r="G70" s="151"/>
      <c r="H70" s="152">
        <f>ROUND(-H69*10%,2)</f>
        <v>-3.53</v>
      </c>
      <c r="I70" s="143"/>
      <c r="J70" s="143"/>
      <c r="K70" s="143"/>
      <c r="L70" s="153">
        <f>ROUND(-L69*10%,2)</f>
        <v>-3.53</v>
      </c>
      <c r="M70" s="147"/>
      <c r="N70" s="154">
        <f>L70-H70</f>
        <v>0</v>
      </c>
      <c r="O70" s="115">
        <f>IF((H70)=0,"",(N70/H70))</f>
        <v>0</v>
      </c>
    </row>
    <row r="71" spans="1:15" s="73" customFormat="1" ht="13.5" thickBot="1" x14ac:dyDescent="0.25">
      <c r="B71" s="241" t="s">
        <v>46</v>
      </c>
      <c r="C71" s="241"/>
      <c r="D71" s="241"/>
      <c r="E71" s="155"/>
      <c r="F71" s="156"/>
      <c r="G71" s="157"/>
      <c r="H71" s="158">
        <f>SUM(H69:H70)</f>
        <v>31.723251840000003</v>
      </c>
      <c r="I71" s="159"/>
      <c r="J71" s="159"/>
      <c r="K71" s="159"/>
      <c r="L71" s="160">
        <f>SUM(L69:L70)</f>
        <v>31.728898493953928</v>
      </c>
      <c r="M71" s="161"/>
      <c r="N71" s="162">
        <f>L71-H71</f>
        <v>5.6466539539243854E-3</v>
      </c>
      <c r="O71" s="163">
        <f>IF((H71)=0,"",(N71/H71))</f>
        <v>1.7799732456193196E-4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71:D71"/>
    <mergeCell ref="D19:D20"/>
    <mergeCell ref="N19:N20"/>
    <mergeCell ref="O19:O20"/>
    <mergeCell ref="B64:D64"/>
    <mergeCell ref="B70:D70"/>
    <mergeCell ref="D12:O12"/>
    <mergeCell ref="F18:H18"/>
    <mergeCell ref="J18:L18"/>
    <mergeCell ref="N18:O18"/>
    <mergeCell ref="B65:D65"/>
    <mergeCell ref="B9:O9"/>
    <mergeCell ref="N1:O1"/>
    <mergeCell ref="N2:O2"/>
    <mergeCell ref="N3:O3"/>
    <mergeCell ref="N5:O5"/>
    <mergeCell ref="B8:O8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2 E66 E48:E49 E51:E60 E39:E46 E21:E24 E26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60" fitToHeight="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theme="0" tint="-0.14999847407452621"/>
    <pageSetUpPr fitToPage="1"/>
  </sheetPr>
  <dimension ref="A1:T90"/>
  <sheetViews>
    <sheetView showGridLines="0" workbookViewId="0">
      <selection activeCell="J24" sqref="J24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9.71093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P1" s="190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  <c r="P2" s="191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8-D</v>
      </c>
      <c r="O3" s="234"/>
      <c r="P3" s="190"/>
    </row>
    <row r="4" spans="1:20" s="2" customFormat="1" ht="9" customHeigh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34">
        <f>'Res (100kWh)'!$N$5:$O$5</f>
        <v>41985</v>
      </c>
      <c r="O5" s="234"/>
      <c r="P5" s="193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67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5000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21.69</v>
      </c>
      <c r="G21" s="26">
        <v>1</v>
      </c>
      <c r="H21" s="27">
        <f>G21*F21</f>
        <v>21.69</v>
      </c>
      <c r="I21" s="28"/>
      <c r="J21" s="173">
        <v>24.96</v>
      </c>
      <c r="K21" s="30">
        <v>1</v>
      </c>
      <c r="L21" s="27">
        <f>K21*J21</f>
        <v>24.96</v>
      </c>
      <c r="M21" s="28"/>
      <c r="N21" s="31">
        <f>L21-H21</f>
        <v>3.2699999999999996</v>
      </c>
      <c r="O21" s="32">
        <f>IF((H21)=0,"",(N21/H21))</f>
        <v>0.15076071922544948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7.85</v>
      </c>
      <c r="G22" s="26">
        <v>1</v>
      </c>
      <c r="H22" s="27">
        <f t="shared" ref="H22:H37" si="0">G22*F22</f>
        <v>7.85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-7.85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3.2</v>
      </c>
      <c r="G23" s="26">
        <v>1</v>
      </c>
      <c r="H23" s="27">
        <f t="shared" si="0"/>
        <v>3.2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-3.2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v>1.91</v>
      </c>
      <c r="K24" s="30">
        <v>1</v>
      </c>
      <c r="L24" s="27">
        <f t="shared" si="1"/>
        <v>1.91</v>
      </c>
      <c r="M24" s="28"/>
      <c r="N24" s="31">
        <f t="shared" si="2"/>
        <v>1.91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5000</v>
      </c>
      <c r="H25" s="27">
        <f t="shared" si="0"/>
        <v>0</v>
      </c>
      <c r="I25" s="28"/>
      <c r="J25" s="29">
        <v>8.8852477239052222E-4</v>
      </c>
      <c r="K25" s="26">
        <f>$F$16</f>
        <v>5000</v>
      </c>
      <c r="L25" s="27">
        <f t="shared" si="1"/>
        <v>4.4426238619526108</v>
      </c>
      <c r="M25" s="28"/>
      <c r="N25" s="31">
        <f t="shared" si="2"/>
        <v>4.4426238619526108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5000</v>
      </c>
      <c r="H26" s="27">
        <f t="shared" si="0"/>
        <v>-1</v>
      </c>
      <c r="I26" s="28"/>
      <c r="J26" s="173"/>
      <c r="K26" s="26">
        <f>$F$16</f>
        <v>5000</v>
      </c>
      <c r="L26" s="27">
        <f t="shared" si="1"/>
        <v>0</v>
      </c>
      <c r="M26" s="28"/>
      <c r="N26" s="31">
        <f t="shared" si="2"/>
        <v>1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5000</v>
      </c>
      <c r="H27" s="27">
        <f t="shared" si="0"/>
        <v>0</v>
      </c>
      <c r="I27" s="28"/>
      <c r="J27" s="29">
        <v>-7.1368536247813147E-3</v>
      </c>
      <c r="K27" s="26">
        <f>$F$16</f>
        <v>5000</v>
      </c>
      <c r="L27" s="27">
        <f t="shared" si="1"/>
        <v>-35.68426812390657</v>
      </c>
      <c r="M27" s="28"/>
      <c r="N27" s="31">
        <f t="shared" si="2"/>
        <v>-35.68426812390657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v>1.67E-2</v>
      </c>
      <c r="G28" s="26">
        <f>$F$16</f>
        <v>5000</v>
      </c>
      <c r="H28" s="27">
        <f t="shared" si="0"/>
        <v>83.5</v>
      </c>
      <c r="I28" s="28"/>
      <c r="J28" s="29">
        <v>1.9199999999999998E-2</v>
      </c>
      <c r="K28" s="26">
        <f>$F$16</f>
        <v>5000</v>
      </c>
      <c r="L28" s="27">
        <f t="shared" si="1"/>
        <v>95.999999999999986</v>
      </c>
      <c r="M28" s="28"/>
      <c r="N28" s="31">
        <f t="shared" si="2"/>
        <v>12.499999999999986</v>
      </c>
      <c r="O28" s="32">
        <f t="shared" si="3"/>
        <v>0.14970059880239503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5000</v>
      </c>
      <c r="H29" s="27">
        <f t="shared" si="0"/>
        <v>0</v>
      </c>
      <c r="I29" s="28"/>
      <c r="J29" s="29"/>
      <c r="K29" s="26">
        <f t="shared" ref="K29:K37" si="5">$F$16</f>
        <v>5000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5000</v>
      </c>
      <c r="H30" s="27">
        <f t="shared" si="0"/>
        <v>0</v>
      </c>
      <c r="I30" s="28"/>
      <c r="J30" s="29"/>
      <c r="K30" s="26">
        <f t="shared" si="5"/>
        <v>5000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5000</v>
      </c>
      <c r="H31" s="27">
        <f t="shared" si="0"/>
        <v>0</v>
      </c>
      <c r="I31" s="28"/>
      <c r="J31" s="29"/>
      <c r="K31" s="26">
        <f t="shared" si="5"/>
        <v>5000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5000</v>
      </c>
      <c r="H32" s="27">
        <f t="shared" si="0"/>
        <v>0</v>
      </c>
      <c r="I32" s="28"/>
      <c r="J32" s="29"/>
      <c r="K32" s="26">
        <f t="shared" si="5"/>
        <v>5000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5000</v>
      </c>
      <c r="H33" s="27">
        <f t="shared" si="0"/>
        <v>0</v>
      </c>
      <c r="I33" s="28"/>
      <c r="J33" s="29"/>
      <c r="K33" s="26">
        <f t="shared" si="5"/>
        <v>5000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5000</v>
      </c>
      <c r="H34" s="27">
        <f t="shared" si="0"/>
        <v>0</v>
      </c>
      <c r="I34" s="28"/>
      <c r="J34" s="29"/>
      <c r="K34" s="26">
        <f t="shared" si="5"/>
        <v>5000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5000</v>
      </c>
      <c r="H35" s="27">
        <f t="shared" si="0"/>
        <v>0</v>
      </c>
      <c r="I35" s="28"/>
      <c r="J35" s="29"/>
      <c r="K35" s="26">
        <f t="shared" si="5"/>
        <v>5000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5000</v>
      </c>
      <c r="H36" s="27">
        <f t="shared" si="0"/>
        <v>0</v>
      </c>
      <c r="I36" s="28"/>
      <c r="J36" s="29"/>
      <c r="K36" s="26">
        <f t="shared" si="5"/>
        <v>5000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5000</v>
      </c>
      <c r="H37" s="27">
        <f t="shared" si="0"/>
        <v>0</v>
      </c>
      <c r="I37" s="28"/>
      <c r="J37" s="29"/>
      <c r="K37" s="26">
        <f t="shared" si="5"/>
        <v>5000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115.24000000000001</v>
      </c>
      <c r="I38" s="41"/>
      <c r="J38" s="42"/>
      <c r="K38" s="43"/>
      <c r="L38" s="40">
        <f>SUM(L21:L37)</f>
        <v>91.628355738046025</v>
      </c>
      <c r="M38" s="41"/>
      <c r="N38" s="44">
        <f t="shared" si="2"/>
        <v>-23.611644261953984</v>
      </c>
      <c r="O38" s="45">
        <f t="shared" si="3"/>
        <v>-0.20489104704923622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5000</v>
      </c>
      <c r="H40" s="27">
        <f t="shared" ref="H40:H46" si="7">G40*F40</f>
        <v>-9</v>
      </c>
      <c r="I40" s="28"/>
      <c r="J40" s="29">
        <v>2.2956161777014765E-4</v>
      </c>
      <c r="K40" s="26">
        <f>$F$16</f>
        <v>5000</v>
      </c>
      <c r="L40" s="27">
        <f t="shared" ref="L40:L46" si="8">K40*J40</f>
        <v>1.1478080888507383</v>
      </c>
      <c r="M40" s="28"/>
      <c r="N40" s="31">
        <f t="shared" ref="N40:N65" si="9">L40-H40</f>
        <v>10.147808088850738</v>
      </c>
      <c r="O40" s="32">
        <f t="shared" ref="O40:O45" si="10">IF((H40)=0,"",(N40/H40))</f>
        <v>-1.1275342320945265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5000</v>
      </c>
      <c r="H41" s="27">
        <f t="shared" si="7"/>
        <v>0</v>
      </c>
      <c r="I41" s="47"/>
      <c r="J41" s="29"/>
      <c r="K41" s="26">
        <f>$F$16</f>
        <v>5000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5000</v>
      </c>
      <c r="H42" s="27">
        <f t="shared" si="7"/>
        <v>0</v>
      </c>
      <c r="I42" s="47"/>
      <c r="J42" s="29"/>
      <c r="K42" s="26">
        <f>$F$16</f>
        <v>5000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5000</v>
      </c>
      <c r="H43" s="27">
        <f t="shared" si="7"/>
        <v>0</v>
      </c>
      <c r="I43" s="47"/>
      <c r="J43" s="29"/>
      <c r="K43" s="26">
        <f>$F$16</f>
        <v>5000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5000</v>
      </c>
      <c r="H44" s="27">
        <f t="shared" si="7"/>
        <v>0.2</v>
      </c>
      <c r="I44" s="28"/>
      <c r="J44" s="196">
        <v>4.0000000000000003E-5</v>
      </c>
      <c r="K44" s="26">
        <f>$F$16</f>
        <v>5000</v>
      </c>
      <c r="L44" s="27">
        <f t="shared" si="8"/>
        <v>0.2</v>
      </c>
      <c r="M44" s="28"/>
      <c r="N44" s="31">
        <f t="shared" si="9"/>
        <v>0</v>
      </c>
      <c r="O44" s="32">
        <f t="shared" si="10"/>
        <v>0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240</v>
      </c>
      <c r="H45" s="183">
        <f t="shared" si="7"/>
        <v>22.1904</v>
      </c>
      <c r="I45" s="57"/>
      <c r="J45" s="184">
        <f>0.64*$F$55+0.18*$F$56+0.18*$F$57</f>
        <v>9.2460000000000001E-2</v>
      </c>
      <c r="K45" s="26">
        <f>$F$16*(1+$J$74)-$F$16</f>
        <v>235.5</v>
      </c>
      <c r="L45" s="183">
        <f t="shared" si="8"/>
        <v>21.774329999999999</v>
      </c>
      <c r="M45" s="57"/>
      <c r="N45" s="185">
        <f t="shared" si="9"/>
        <v>-0.41607000000000127</v>
      </c>
      <c r="O45" s="186">
        <f t="shared" si="10"/>
        <v>-1.8750000000000058E-2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129.4204</v>
      </c>
      <c r="I47" s="41"/>
      <c r="J47" s="53"/>
      <c r="K47" s="55"/>
      <c r="L47" s="54">
        <f>SUM(L39:L46)+L38</f>
        <v>115.54049382689676</v>
      </c>
      <c r="M47" s="41"/>
      <c r="N47" s="44">
        <f t="shared" si="9"/>
        <v>-13.879906173103237</v>
      </c>
      <c r="O47" s="45">
        <f t="shared" ref="O47:O65" si="11">IF((H47)=0,"",(N47/H47))</f>
        <v>-0.10724666415111711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6.8999999999999999E-3</v>
      </c>
      <c r="G48" s="58">
        <f>F16*(1+F74)</f>
        <v>5240</v>
      </c>
      <c r="H48" s="27">
        <f>G48*F48</f>
        <v>36.155999999999999</v>
      </c>
      <c r="I48" s="28"/>
      <c r="J48" s="29">
        <v>7.157233129159021E-3</v>
      </c>
      <c r="K48" s="59">
        <f>F16*(1+J74)</f>
        <v>5235.5</v>
      </c>
      <c r="L48" s="27">
        <f>K48*J48</f>
        <v>37.471694047712056</v>
      </c>
      <c r="M48" s="28"/>
      <c r="N48" s="31">
        <f t="shared" si="9"/>
        <v>1.3156940477120571</v>
      </c>
      <c r="O48" s="32">
        <f t="shared" si="11"/>
        <v>3.638936961256934E-2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5.1999999999999998E-3</v>
      </c>
      <c r="G49" s="58">
        <f>G48</f>
        <v>5240</v>
      </c>
      <c r="H49" s="27">
        <f>G49*F49</f>
        <v>27.247999999999998</v>
      </c>
      <c r="I49" s="28"/>
      <c r="J49" s="29">
        <v>5.1776170693712204E-3</v>
      </c>
      <c r="K49" s="59">
        <f>K48</f>
        <v>5235.5</v>
      </c>
      <c r="L49" s="27">
        <f>K49*J49</f>
        <v>27.107414166693026</v>
      </c>
      <c r="M49" s="28"/>
      <c r="N49" s="31">
        <f t="shared" si="9"/>
        <v>-0.14058583330697161</v>
      </c>
      <c r="O49" s="32">
        <f t="shared" si="11"/>
        <v>-5.1594918271789351E-3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192.8244</v>
      </c>
      <c r="I50" s="62"/>
      <c r="J50" s="63"/>
      <c r="K50" s="64"/>
      <c r="L50" s="54">
        <f>SUM(L47:L49)</f>
        <v>180.11960204130185</v>
      </c>
      <c r="M50" s="62"/>
      <c r="N50" s="44">
        <f t="shared" si="9"/>
        <v>-12.704797958698151</v>
      </c>
      <c r="O50" s="45">
        <f t="shared" si="11"/>
        <v>-6.5887916460251661E-2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5240</v>
      </c>
      <c r="H51" s="67">
        <f t="shared" ref="H51:H57" si="12">G51*F51</f>
        <v>23.056000000000001</v>
      </c>
      <c r="I51" s="28"/>
      <c r="J51" s="66">
        <v>4.4000000000000003E-3</v>
      </c>
      <c r="K51" s="59">
        <f>K49</f>
        <v>5235.5</v>
      </c>
      <c r="L51" s="67">
        <f t="shared" ref="L51:L57" si="13">K51*J51</f>
        <v>23.036200000000001</v>
      </c>
      <c r="M51" s="28"/>
      <c r="N51" s="31">
        <f t="shared" si="9"/>
        <v>-1.980000000000004E-2</v>
      </c>
      <c r="O51" s="68">
        <f t="shared" si="11"/>
        <v>-8.5877862595420019E-4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5240</v>
      </c>
      <c r="H52" s="67">
        <f t="shared" si="12"/>
        <v>6.8119999999999994</v>
      </c>
      <c r="I52" s="28"/>
      <c r="J52" s="66">
        <v>1.2999999999999999E-3</v>
      </c>
      <c r="K52" s="59">
        <f>K49</f>
        <v>5235.5</v>
      </c>
      <c r="L52" s="67">
        <f t="shared" si="13"/>
        <v>6.8061499999999997</v>
      </c>
      <c r="M52" s="28"/>
      <c r="N52" s="31">
        <f t="shared" si="9"/>
        <v>-5.8499999999996888E-3</v>
      </c>
      <c r="O52" s="68">
        <f t="shared" si="11"/>
        <v>-8.5877862595415291E-4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2"/>
        <v>0.25</v>
      </c>
      <c r="I53" s="28"/>
      <c r="J53" s="176">
        <v>0.25</v>
      </c>
      <c r="K53" s="30">
        <v>1</v>
      </c>
      <c r="L53" s="67">
        <f t="shared" si="13"/>
        <v>0.25</v>
      </c>
      <c r="M53" s="28"/>
      <c r="N53" s="31">
        <f t="shared" si="9"/>
        <v>0</v>
      </c>
      <c r="O53" s="68">
        <f t="shared" si="11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5000</v>
      </c>
      <c r="H54" s="67">
        <f t="shared" si="12"/>
        <v>35</v>
      </c>
      <c r="I54" s="28"/>
      <c r="J54" s="66">
        <v>7.0000000000000001E-3</v>
      </c>
      <c r="K54" s="70">
        <f>F16</f>
        <v>5000</v>
      </c>
      <c r="L54" s="67">
        <f t="shared" si="13"/>
        <v>35</v>
      </c>
      <c r="M54" s="28"/>
      <c r="N54" s="31">
        <f t="shared" si="9"/>
        <v>0</v>
      </c>
      <c r="O54" s="68">
        <f t="shared" si="11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3200</v>
      </c>
      <c r="H55" s="67">
        <f t="shared" si="12"/>
        <v>240</v>
      </c>
      <c r="I55" s="28"/>
      <c r="J55" s="66">
        <v>7.4999999999999997E-2</v>
      </c>
      <c r="K55" s="69">
        <f>G55</f>
        <v>3200</v>
      </c>
      <c r="L55" s="67">
        <f t="shared" si="13"/>
        <v>240</v>
      </c>
      <c r="M55" s="28"/>
      <c r="N55" s="31">
        <f t="shared" si="9"/>
        <v>0</v>
      </c>
      <c r="O55" s="68">
        <f t="shared" si="11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900</v>
      </c>
      <c r="H56" s="67">
        <f t="shared" si="12"/>
        <v>100.8</v>
      </c>
      <c r="I56" s="28"/>
      <c r="J56" s="66">
        <v>0.112</v>
      </c>
      <c r="K56" s="69">
        <f>G56</f>
        <v>900</v>
      </c>
      <c r="L56" s="67">
        <f t="shared" si="13"/>
        <v>100.8</v>
      </c>
      <c r="M56" s="28"/>
      <c r="N56" s="31">
        <f t="shared" si="9"/>
        <v>0</v>
      </c>
      <c r="O56" s="68">
        <f t="shared" si="11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900</v>
      </c>
      <c r="H57" s="67">
        <f t="shared" si="12"/>
        <v>121.50000000000001</v>
      </c>
      <c r="I57" s="28"/>
      <c r="J57" s="66">
        <v>0.13500000000000001</v>
      </c>
      <c r="K57" s="69">
        <f>G57</f>
        <v>900</v>
      </c>
      <c r="L57" s="67">
        <f t="shared" si="13"/>
        <v>121.50000000000001</v>
      </c>
      <c r="M57" s="28"/>
      <c r="N57" s="31">
        <f t="shared" si="9"/>
        <v>0</v>
      </c>
      <c r="O57" s="68">
        <f t="shared" si="11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9"/>
        <v>0</v>
      </c>
      <c r="O58" s="68">
        <f t="shared" si="11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4400</v>
      </c>
      <c r="H59" s="67">
        <f>G59*F59</f>
        <v>444.40000000000003</v>
      </c>
      <c r="I59" s="79"/>
      <c r="J59" s="66">
        <v>0.10100000000000001</v>
      </c>
      <c r="K59" s="78">
        <f>G59</f>
        <v>4400</v>
      </c>
      <c r="L59" s="67">
        <f>K59*J59</f>
        <v>444.40000000000003</v>
      </c>
      <c r="M59" s="79"/>
      <c r="N59" s="80">
        <f t="shared" si="9"/>
        <v>0</v>
      </c>
      <c r="O59" s="68">
        <f t="shared" si="11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720.24239999999998</v>
      </c>
      <c r="I61" s="95"/>
      <c r="J61" s="96"/>
      <c r="K61" s="96"/>
      <c r="L61" s="189">
        <f>SUM(L51:L57,L50)</f>
        <v>707.51195204130192</v>
      </c>
      <c r="M61" s="97"/>
      <c r="N61" s="98">
        <f>L61-H61</f>
        <v>-12.730447958698051</v>
      </c>
      <c r="O61" s="99">
        <f>IF((H61)=0,"",(N61/H61))</f>
        <v>-1.7675227060636879E-2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93.631512000000001</v>
      </c>
      <c r="I62" s="104"/>
      <c r="J62" s="105">
        <v>0.13</v>
      </c>
      <c r="K62" s="104"/>
      <c r="L62" s="106">
        <f>L61*J62</f>
        <v>91.97655376536926</v>
      </c>
      <c r="M62" s="107"/>
      <c r="N62" s="108">
        <f t="shared" si="9"/>
        <v>-1.6549582346307403</v>
      </c>
      <c r="O62" s="109">
        <f t="shared" si="11"/>
        <v>-1.767522706063681E-2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813.87391200000002</v>
      </c>
      <c r="I63" s="104"/>
      <c r="J63" s="104"/>
      <c r="K63" s="104"/>
      <c r="L63" s="106">
        <f>L61+L62</f>
        <v>799.48850580667113</v>
      </c>
      <c r="M63" s="107"/>
      <c r="N63" s="108">
        <f t="shared" si="9"/>
        <v>-14.38540619332889</v>
      </c>
      <c r="O63" s="109">
        <f t="shared" si="11"/>
        <v>-1.7675227060636994E-2</v>
      </c>
      <c r="S63" s="72"/>
    </row>
    <row r="64" spans="2:19" ht="15.75" customHeight="1" x14ac:dyDescent="0.25">
      <c r="B64" s="248" t="s">
        <v>43</v>
      </c>
      <c r="C64" s="248"/>
      <c r="D64" s="248"/>
      <c r="E64" s="22"/>
      <c r="F64" s="111"/>
      <c r="G64" s="102"/>
      <c r="H64" s="112">
        <f>ROUND(-H63*10%,2)</f>
        <v>-81.39</v>
      </c>
      <c r="I64" s="104"/>
      <c r="J64" s="104"/>
      <c r="K64" s="104"/>
      <c r="L64" s="113">
        <f>ROUND(-L63*10%,2)</f>
        <v>-79.95</v>
      </c>
      <c r="M64" s="107"/>
      <c r="N64" s="114">
        <f t="shared" si="9"/>
        <v>1.4399999999999977</v>
      </c>
      <c r="O64" s="115">
        <f t="shared" si="11"/>
        <v>-1.7692591227423487E-2</v>
      </c>
    </row>
    <row r="65" spans="1:15" ht="15.75" thickBot="1" x14ac:dyDescent="0.3">
      <c r="B65" s="240" t="s">
        <v>44</v>
      </c>
      <c r="C65" s="240"/>
      <c r="D65" s="240"/>
      <c r="E65" s="116"/>
      <c r="F65" s="117"/>
      <c r="G65" s="118"/>
      <c r="H65" s="119">
        <f>H63+H64</f>
        <v>732.48391200000003</v>
      </c>
      <c r="I65" s="120"/>
      <c r="J65" s="120"/>
      <c r="K65" s="120"/>
      <c r="L65" s="121">
        <f>L63+L64</f>
        <v>719.53850580667108</v>
      </c>
      <c r="M65" s="122"/>
      <c r="N65" s="123">
        <f t="shared" si="9"/>
        <v>-12.945406193328949</v>
      </c>
      <c r="O65" s="124">
        <f t="shared" si="11"/>
        <v>-1.7673297640056495E-2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753.94240000000002</v>
      </c>
      <c r="I67" s="136"/>
      <c r="J67" s="137"/>
      <c r="K67" s="137"/>
      <c r="L67" s="188">
        <f>SUM(L58:L59,L50,L51:L54)</f>
        <v>741.21195204130186</v>
      </c>
      <c r="M67" s="138"/>
      <c r="N67" s="139">
        <f>L67-H67</f>
        <v>-12.730447958698164</v>
      </c>
      <c r="O67" s="99">
        <f>IF((H67)=0,"",(N67/H67))</f>
        <v>-1.6885173136168181E-2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98.012512000000001</v>
      </c>
      <c r="I68" s="143"/>
      <c r="J68" s="144">
        <v>0.13</v>
      </c>
      <c r="K68" s="145"/>
      <c r="L68" s="146">
        <f>L67*J68</f>
        <v>96.357553765369246</v>
      </c>
      <c r="M68" s="147"/>
      <c r="N68" s="148">
        <f>L68-H68</f>
        <v>-1.6549582346307545</v>
      </c>
      <c r="O68" s="109">
        <f>IF((H68)=0,"",(N68/H68))</f>
        <v>-1.6885173136168111E-2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851.95491200000004</v>
      </c>
      <c r="I69" s="143"/>
      <c r="J69" s="143"/>
      <c r="K69" s="143"/>
      <c r="L69" s="146">
        <f>L67+L68</f>
        <v>837.56950580667115</v>
      </c>
      <c r="M69" s="147"/>
      <c r="N69" s="148">
        <f>L69-H69</f>
        <v>-14.38540619332889</v>
      </c>
      <c r="O69" s="109">
        <f>IF((H69)=0,"",(N69/H69))</f>
        <v>-1.6885173136168139E-2</v>
      </c>
    </row>
    <row r="70" spans="1:15" s="73" customFormat="1" ht="15.75" customHeight="1" x14ac:dyDescent="0.2">
      <c r="B70" s="249" t="s">
        <v>43</v>
      </c>
      <c r="C70" s="249"/>
      <c r="D70" s="249"/>
      <c r="E70" s="75"/>
      <c r="F70" s="150"/>
      <c r="G70" s="151"/>
      <c r="H70" s="152">
        <f>ROUND(-H69*10%,2)</f>
        <v>-85.2</v>
      </c>
      <c r="I70" s="143"/>
      <c r="J70" s="143"/>
      <c r="K70" s="143"/>
      <c r="L70" s="153">
        <f>ROUND(-L69*10%,2)</f>
        <v>-83.76</v>
      </c>
      <c r="M70" s="147"/>
      <c r="N70" s="154">
        <f>L70-H70</f>
        <v>1.4399999999999977</v>
      </c>
      <c r="O70" s="115">
        <f>IF((H70)=0,"",(N70/H70))</f>
        <v>-1.6901408450704199E-2</v>
      </c>
    </row>
    <row r="71" spans="1:15" s="73" customFormat="1" ht="13.5" thickBot="1" x14ac:dyDescent="0.25">
      <c r="B71" s="241" t="s">
        <v>46</v>
      </c>
      <c r="C71" s="241"/>
      <c r="D71" s="241"/>
      <c r="E71" s="155"/>
      <c r="F71" s="156"/>
      <c r="G71" s="157"/>
      <c r="H71" s="158">
        <f>SUM(H69:H70)</f>
        <v>766.75491199999999</v>
      </c>
      <c r="I71" s="159"/>
      <c r="J71" s="159"/>
      <c r="K71" s="159"/>
      <c r="L71" s="160">
        <f>SUM(L69:L70)</f>
        <v>753.80950580667115</v>
      </c>
      <c r="M71" s="161"/>
      <c r="N71" s="162">
        <f>L71-H71</f>
        <v>-12.945406193328836</v>
      </c>
      <c r="O71" s="163">
        <f>IF((H71)=0,"",(N71/H71))</f>
        <v>-1.688336910625339E-2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8:O8"/>
    <mergeCell ref="N1:O1"/>
    <mergeCell ref="N2:O2"/>
    <mergeCell ref="N3:O3"/>
    <mergeCell ref="N5:O5"/>
    <mergeCell ref="B64:D64"/>
    <mergeCell ref="B65:D65"/>
    <mergeCell ref="B70:D70"/>
    <mergeCell ref="B71:D71"/>
    <mergeCell ref="B9:O9"/>
    <mergeCell ref="D12:O12"/>
    <mergeCell ref="F18:H18"/>
    <mergeCell ref="J18:L18"/>
    <mergeCell ref="N18:O18"/>
    <mergeCell ref="D19:D20"/>
    <mergeCell ref="N19:N20"/>
    <mergeCell ref="O19:O20"/>
  </mergeCells>
  <dataValidations count="4">
    <dataValidation type="list" allowBlank="1" showInputMessage="1" showErrorMessage="1" sqref="E48:E49 E51:E57 E60 E39:E46 E21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theme="0" tint="-0.14999847407452621"/>
    <pageSetUpPr fitToPage="1"/>
  </sheetPr>
  <dimension ref="A1:T90"/>
  <sheetViews>
    <sheetView showGridLines="0" tabSelected="1" workbookViewId="0">
      <selection activeCell="J24" sqref="J24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0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3.42578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9.71093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P1" s="190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  <c r="P2" s="191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8-D</v>
      </c>
      <c r="O3" s="234"/>
      <c r="P3" s="190"/>
    </row>
    <row r="4" spans="1:20" s="2" customFormat="1" ht="9" customHeigh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34">
        <f>'Res (100kWh)'!$N$5:$O$5</f>
        <v>41985</v>
      </c>
      <c r="O5" s="234"/>
      <c r="P5" s="193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67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10000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21.69</v>
      </c>
      <c r="G21" s="26">
        <v>1</v>
      </c>
      <c r="H21" s="27">
        <f>G21*F21</f>
        <v>21.69</v>
      </c>
      <c r="I21" s="28"/>
      <c r="J21" s="173">
        <v>24.96</v>
      </c>
      <c r="K21" s="30">
        <v>1</v>
      </c>
      <c r="L21" s="27">
        <f>K21*J21</f>
        <v>24.96</v>
      </c>
      <c r="M21" s="28"/>
      <c r="N21" s="31">
        <f>L21-H21</f>
        <v>3.2699999999999996</v>
      </c>
      <c r="O21" s="32">
        <f>IF((H21)=0,"",(N21/H21))</f>
        <v>0.15076071922544948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7.85</v>
      </c>
      <c r="G22" s="26">
        <v>1</v>
      </c>
      <c r="H22" s="27">
        <f t="shared" ref="H22:H37" si="0">G22*F22</f>
        <v>7.85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-7.85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3.2</v>
      </c>
      <c r="G23" s="26">
        <v>1</v>
      </c>
      <c r="H23" s="27">
        <f t="shared" si="0"/>
        <v>3.2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-3.2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v>1.91</v>
      </c>
      <c r="K24" s="30">
        <v>1</v>
      </c>
      <c r="L24" s="27">
        <f t="shared" si="1"/>
        <v>1.91</v>
      </c>
      <c r="M24" s="28"/>
      <c r="N24" s="31">
        <f t="shared" si="2"/>
        <v>1.91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10000</v>
      </c>
      <c r="H25" s="27">
        <f t="shared" si="0"/>
        <v>0</v>
      </c>
      <c r="I25" s="28"/>
      <c r="J25" s="29">
        <v>8.8852477239052222E-4</v>
      </c>
      <c r="K25" s="26">
        <f>$F$16</f>
        <v>10000</v>
      </c>
      <c r="L25" s="27">
        <f t="shared" si="1"/>
        <v>8.8852477239052217</v>
      </c>
      <c r="M25" s="28"/>
      <c r="N25" s="31">
        <f t="shared" si="2"/>
        <v>8.8852477239052217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10000</v>
      </c>
      <c r="H26" s="27">
        <f t="shared" si="0"/>
        <v>-2</v>
      </c>
      <c r="I26" s="28"/>
      <c r="J26" s="173"/>
      <c r="K26" s="26">
        <f>$F$16</f>
        <v>10000</v>
      </c>
      <c r="L26" s="27">
        <f t="shared" si="1"/>
        <v>0</v>
      </c>
      <c r="M26" s="28"/>
      <c r="N26" s="31">
        <f t="shared" si="2"/>
        <v>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10000</v>
      </c>
      <c r="H27" s="27">
        <f t="shared" si="0"/>
        <v>0</v>
      </c>
      <c r="I27" s="28"/>
      <c r="J27" s="29">
        <v>-7.1368536247813147E-3</v>
      </c>
      <c r="K27" s="26">
        <f>$F$16</f>
        <v>10000</v>
      </c>
      <c r="L27" s="27">
        <f t="shared" si="1"/>
        <v>-71.36853624781314</v>
      </c>
      <c r="M27" s="28"/>
      <c r="N27" s="31">
        <f t="shared" si="2"/>
        <v>-71.36853624781314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v>1.67E-2</v>
      </c>
      <c r="G28" s="26">
        <f>$F$16</f>
        <v>10000</v>
      </c>
      <c r="H28" s="27">
        <f t="shared" si="0"/>
        <v>167</v>
      </c>
      <c r="I28" s="28"/>
      <c r="J28" s="29">
        <v>1.9199999999999998E-2</v>
      </c>
      <c r="K28" s="26">
        <f>$F$16</f>
        <v>10000</v>
      </c>
      <c r="L28" s="27">
        <f t="shared" si="1"/>
        <v>191.99999999999997</v>
      </c>
      <c r="M28" s="28"/>
      <c r="N28" s="31">
        <f t="shared" si="2"/>
        <v>24.999999999999972</v>
      </c>
      <c r="O28" s="32">
        <f t="shared" si="3"/>
        <v>0.14970059880239503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10000</v>
      </c>
      <c r="H29" s="27">
        <f t="shared" si="0"/>
        <v>0</v>
      </c>
      <c r="I29" s="28"/>
      <c r="J29" s="29"/>
      <c r="K29" s="26">
        <f t="shared" ref="K29:K37" si="5">$F$16</f>
        <v>10000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10000</v>
      </c>
      <c r="H30" s="27">
        <f t="shared" si="0"/>
        <v>0</v>
      </c>
      <c r="I30" s="28"/>
      <c r="J30" s="29"/>
      <c r="K30" s="26">
        <f t="shared" si="5"/>
        <v>10000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10000</v>
      </c>
      <c r="H31" s="27">
        <f t="shared" si="0"/>
        <v>0</v>
      </c>
      <c r="I31" s="28"/>
      <c r="J31" s="29"/>
      <c r="K31" s="26">
        <f t="shared" si="5"/>
        <v>10000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10000</v>
      </c>
      <c r="H32" s="27">
        <f t="shared" si="0"/>
        <v>0</v>
      </c>
      <c r="I32" s="28"/>
      <c r="J32" s="29"/>
      <c r="K32" s="26">
        <f t="shared" si="5"/>
        <v>10000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10000</v>
      </c>
      <c r="H33" s="27">
        <f t="shared" si="0"/>
        <v>0</v>
      </c>
      <c r="I33" s="28"/>
      <c r="J33" s="29"/>
      <c r="K33" s="26">
        <f t="shared" si="5"/>
        <v>10000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10000</v>
      </c>
      <c r="H34" s="27">
        <f t="shared" si="0"/>
        <v>0</v>
      </c>
      <c r="I34" s="28"/>
      <c r="J34" s="29"/>
      <c r="K34" s="26">
        <f t="shared" si="5"/>
        <v>10000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10000</v>
      </c>
      <c r="H35" s="27">
        <f t="shared" si="0"/>
        <v>0</v>
      </c>
      <c r="I35" s="28"/>
      <c r="J35" s="29"/>
      <c r="K35" s="26">
        <f t="shared" si="5"/>
        <v>10000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10000</v>
      </c>
      <c r="H36" s="27">
        <f t="shared" si="0"/>
        <v>0</v>
      </c>
      <c r="I36" s="28"/>
      <c r="J36" s="29"/>
      <c r="K36" s="26">
        <f t="shared" si="5"/>
        <v>10000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10000</v>
      </c>
      <c r="H37" s="27">
        <f t="shared" si="0"/>
        <v>0</v>
      </c>
      <c r="I37" s="28"/>
      <c r="J37" s="29"/>
      <c r="K37" s="26">
        <f t="shared" si="5"/>
        <v>10000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197.74</v>
      </c>
      <c r="I38" s="41"/>
      <c r="J38" s="42"/>
      <c r="K38" s="43"/>
      <c r="L38" s="40">
        <f>SUM(L21:L37)</f>
        <v>156.38671147609205</v>
      </c>
      <c r="M38" s="41"/>
      <c r="N38" s="44">
        <f t="shared" si="2"/>
        <v>-41.353288523907963</v>
      </c>
      <c r="O38" s="45">
        <f t="shared" si="3"/>
        <v>-0.20912960718068152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10000</v>
      </c>
      <c r="H40" s="27">
        <f t="shared" ref="H40:H46" si="7">G40*F40</f>
        <v>-18</v>
      </c>
      <c r="I40" s="28"/>
      <c r="J40" s="29">
        <v>2.2956161777014765E-4</v>
      </c>
      <c r="K40" s="26">
        <f>$F$16</f>
        <v>10000</v>
      </c>
      <c r="L40" s="27">
        <f t="shared" ref="L40:L46" si="8">K40*J40</f>
        <v>2.2956161777014765</v>
      </c>
      <c r="M40" s="28"/>
      <c r="N40" s="31">
        <f t="shared" ref="N40:N65" si="9">L40-H40</f>
        <v>20.295616177701476</v>
      </c>
      <c r="O40" s="32">
        <f t="shared" ref="O40:O45" si="10">IF((H40)=0,"",(N40/H40))</f>
        <v>-1.1275342320945265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10000</v>
      </c>
      <c r="H41" s="27">
        <f t="shared" si="7"/>
        <v>0</v>
      </c>
      <c r="I41" s="47"/>
      <c r="J41" s="29"/>
      <c r="K41" s="26">
        <f>$F$16</f>
        <v>10000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10000</v>
      </c>
      <c r="H42" s="27">
        <f t="shared" si="7"/>
        <v>0</v>
      </c>
      <c r="I42" s="47"/>
      <c r="J42" s="29"/>
      <c r="K42" s="26">
        <f>$F$16</f>
        <v>10000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10000</v>
      </c>
      <c r="H43" s="27">
        <f t="shared" si="7"/>
        <v>0</v>
      </c>
      <c r="I43" s="47"/>
      <c r="J43" s="29"/>
      <c r="K43" s="26">
        <f>$F$16</f>
        <v>10000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10000</v>
      </c>
      <c r="H44" s="27">
        <f t="shared" si="7"/>
        <v>0.4</v>
      </c>
      <c r="I44" s="28"/>
      <c r="J44" s="196">
        <v>4.0000000000000003E-5</v>
      </c>
      <c r="K44" s="26">
        <f>$F$16</f>
        <v>10000</v>
      </c>
      <c r="L44" s="27">
        <f t="shared" si="8"/>
        <v>0.4</v>
      </c>
      <c r="M44" s="28"/>
      <c r="N44" s="31">
        <f t="shared" si="9"/>
        <v>0</v>
      </c>
      <c r="O44" s="32">
        <f t="shared" si="10"/>
        <v>0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480</v>
      </c>
      <c r="H45" s="183">
        <f t="shared" si="7"/>
        <v>44.380800000000001</v>
      </c>
      <c r="I45" s="57"/>
      <c r="J45" s="184">
        <f>0.64*$F$55+0.18*$F$56+0.18*$F$57</f>
        <v>9.2460000000000001E-2</v>
      </c>
      <c r="K45" s="26">
        <f>$F$16*(1+$J$74)-$F$16</f>
        <v>471</v>
      </c>
      <c r="L45" s="183">
        <f t="shared" si="8"/>
        <v>43.548659999999998</v>
      </c>
      <c r="M45" s="57"/>
      <c r="N45" s="185">
        <f t="shared" si="9"/>
        <v>-0.83214000000000254</v>
      </c>
      <c r="O45" s="186">
        <f t="shared" si="10"/>
        <v>-1.8750000000000058E-2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225.3108</v>
      </c>
      <c r="I47" s="41"/>
      <c r="J47" s="53"/>
      <c r="K47" s="55"/>
      <c r="L47" s="54">
        <f>SUM(L39:L46)+L38</f>
        <v>203.42098765379353</v>
      </c>
      <c r="M47" s="41"/>
      <c r="N47" s="44">
        <f t="shared" si="9"/>
        <v>-21.889812346206469</v>
      </c>
      <c r="O47" s="45">
        <f t="shared" ref="O47:O65" si="11">IF((H47)=0,"",(N47/H47))</f>
        <v>-9.7153853016395439E-2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6.8999999999999999E-3</v>
      </c>
      <c r="G48" s="58">
        <f>F16*(1+F74)</f>
        <v>10480</v>
      </c>
      <c r="H48" s="27">
        <f>G48*F48</f>
        <v>72.311999999999998</v>
      </c>
      <c r="I48" s="28"/>
      <c r="J48" s="29">
        <v>7.157233129159021E-3</v>
      </c>
      <c r="K48" s="59">
        <f>F16*(1+J74)</f>
        <v>10471</v>
      </c>
      <c r="L48" s="27">
        <f>K48*J48</f>
        <v>74.943388095424112</v>
      </c>
      <c r="M48" s="28"/>
      <c r="N48" s="31">
        <f t="shared" si="9"/>
        <v>2.6313880954241142</v>
      </c>
      <c r="O48" s="32">
        <f t="shared" si="11"/>
        <v>3.638936961256934E-2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5.1999999999999998E-3</v>
      </c>
      <c r="G49" s="58">
        <f>G48</f>
        <v>10480</v>
      </c>
      <c r="H49" s="27">
        <f>G49*F49</f>
        <v>54.495999999999995</v>
      </c>
      <c r="I49" s="28"/>
      <c r="J49" s="29">
        <v>5.1776170693712204E-3</v>
      </c>
      <c r="K49" s="59">
        <f>K48</f>
        <v>10471</v>
      </c>
      <c r="L49" s="27">
        <f>K49*J49</f>
        <v>54.214828333386052</v>
      </c>
      <c r="M49" s="28"/>
      <c r="N49" s="31">
        <f t="shared" si="9"/>
        <v>-0.28117166661394322</v>
      </c>
      <c r="O49" s="32">
        <f t="shared" si="11"/>
        <v>-5.1594918271789351E-3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352.11879999999996</v>
      </c>
      <c r="I50" s="62"/>
      <c r="J50" s="63"/>
      <c r="K50" s="64"/>
      <c r="L50" s="54">
        <f>SUM(L47:L49)</f>
        <v>332.57920408260367</v>
      </c>
      <c r="M50" s="62"/>
      <c r="N50" s="44">
        <f t="shared" si="9"/>
        <v>-19.539595917396298</v>
      </c>
      <c r="O50" s="45">
        <f t="shared" si="11"/>
        <v>-5.5491487297458411E-2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10480</v>
      </c>
      <c r="H51" s="67">
        <f t="shared" ref="H51:H57" si="12">G51*F51</f>
        <v>46.112000000000002</v>
      </c>
      <c r="I51" s="28"/>
      <c r="J51" s="66">
        <v>4.4000000000000003E-3</v>
      </c>
      <c r="K51" s="59">
        <f>K49</f>
        <v>10471</v>
      </c>
      <c r="L51" s="67">
        <f t="shared" ref="L51:L57" si="13">K51*J51</f>
        <v>46.072400000000002</v>
      </c>
      <c r="M51" s="28"/>
      <c r="N51" s="31">
        <f t="shared" si="9"/>
        <v>-3.960000000000008E-2</v>
      </c>
      <c r="O51" s="68">
        <f t="shared" si="11"/>
        <v>-8.5877862595420019E-4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10480</v>
      </c>
      <c r="H52" s="67">
        <f t="shared" si="12"/>
        <v>13.623999999999999</v>
      </c>
      <c r="I52" s="28"/>
      <c r="J52" s="66">
        <v>1.2999999999999999E-3</v>
      </c>
      <c r="K52" s="59">
        <f>K49</f>
        <v>10471</v>
      </c>
      <c r="L52" s="67">
        <f t="shared" si="13"/>
        <v>13.612299999999999</v>
      </c>
      <c r="M52" s="28"/>
      <c r="N52" s="31">
        <f t="shared" si="9"/>
        <v>-1.1699999999999378E-2</v>
      </c>
      <c r="O52" s="68">
        <f t="shared" si="11"/>
        <v>-8.5877862595415291E-4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2"/>
        <v>0.25</v>
      </c>
      <c r="I53" s="28"/>
      <c r="J53" s="176">
        <v>0.25</v>
      </c>
      <c r="K53" s="30">
        <v>1</v>
      </c>
      <c r="L53" s="67">
        <f t="shared" si="13"/>
        <v>0.25</v>
      </c>
      <c r="M53" s="28"/>
      <c r="N53" s="31">
        <f t="shared" si="9"/>
        <v>0</v>
      </c>
      <c r="O53" s="68">
        <f t="shared" si="11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10000</v>
      </c>
      <c r="H54" s="67">
        <f t="shared" si="12"/>
        <v>70</v>
      </c>
      <c r="I54" s="28"/>
      <c r="J54" s="66">
        <v>7.0000000000000001E-3</v>
      </c>
      <c r="K54" s="70">
        <f>F16</f>
        <v>10000</v>
      </c>
      <c r="L54" s="67">
        <f t="shared" si="13"/>
        <v>70</v>
      </c>
      <c r="M54" s="28"/>
      <c r="N54" s="31">
        <f t="shared" si="9"/>
        <v>0</v>
      </c>
      <c r="O54" s="68">
        <f t="shared" si="11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6400</v>
      </c>
      <c r="H55" s="67">
        <f t="shared" si="12"/>
        <v>480</v>
      </c>
      <c r="I55" s="28"/>
      <c r="J55" s="66">
        <v>7.4999999999999997E-2</v>
      </c>
      <c r="K55" s="69">
        <f>G55</f>
        <v>6400</v>
      </c>
      <c r="L55" s="67">
        <f t="shared" si="13"/>
        <v>480</v>
      </c>
      <c r="M55" s="28"/>
      <c r="N55" s="31">
        <f t="shared" si="9"/>
        <v>0</v>
      </c>
      <c r="O55" s="68">
        <f t="shared" si="11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1800</v>
      </c>
      <c r="H56" s="67">
        <f t="shared" si="12"/>
        <v>201.6</v>
      </c>
      <c r="I56" s="28"/>
      <c r="J56" s="66">
        <v>0.112</v>
      </c>
      <c r="K56" s="69">
        <f>G56</f>
        <v>1800</v>
      </c>
      <c r="L56" s="67">
        <f t="shared" si="13"/>
        <v>201.6</v>
      </c>
      <c r="M56" s="28"/>
      <c r="N56" s="31">
        <f t="shared" si="9"/>
        <v>0</v>
      </c>
      <c r="O56" s="68">
        <f t="shared" si="11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1800</v>
      </c>
      <c r="H57" s="67">
        <f t="shared" si="12"/>
        <v>243.00000000000003</v>
      </c>
      <c r="I57" s="28"/>
      <c r="J57" s="66">
        <v>0.13500000000000001</v>
      </c>
      <c r="K57" s="69">
        <f>G57</f>
        <v>1800</v>
      </c>
      <c r="L57" s="67">
        <f t="shared" si="13"/>
        <v>243.00000000000003</v>
      </c>
      <c r="M57" s="28"/>
      <c r="N57" s="31">
        <f t="shared" si="9"/>
        <v>0</v>
      </c>
      <c r="O57" s="68">
        <f t="shared" si="11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9"/>
        <v>0</v>
      </c>
      <c r="O58" s="68">
        <f t="shared" si="11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9400</v>
      </c>
      <c r="H59" s="67">
        <f>G59*F59</f>
        <v>949.40000000000009</v>
      </c>
      <c r="I59" s="79"/>
      <c r="J59" s="66">
        <v>0.10100000000000001</v>
      </c>
      <c r="K59" s="78">
        <f>G59</f>
        <v>9400</v>
      </c>
      <c r="L59" s="67">
        <f>K59*J59</f>
        <v>949.40000000000009</v>
      </c>
      <c r="M59" s="79"/>
      <c r="N59" s="80">
        <f t="shared" si="9"/>
        <v>0</v>
      </c>
      <c r="O59" s="68">
        <f t="shared" si="11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1406.7048</v>
      </c>
      <c r="I61" s="95"/>
      <c r="J61" s="96"/>
      <c r="K61" s="96"/>
      <c r="L61" s="189">
        <f>SUM(L51:L57,L50)</f>
        <v>1387.1139040826038</v>
      </c>
      <c r="M61" s="97"/>
      <c r="N61" s="98">
        <f>L61-H61</f>
        <v>-19.59089591739621</v>
      </c>
      <c r="O61" s="99">
        <f>IF((H61)=0,"",(N61/H61))</f>
        <v>-1.3926799650784024E-2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182.871624</v>
      </c>
      <c r="I62" s="104"/>
      <c r="J62" s="105">
        <v>0.13</v>
      </c>
      <c r="K62" s="104"/>
      <c r="L62" s="106">
        <f>L61*J62</f>
        <v>180.3248075307385</v>
      </c>
      <c r="M62" s="107"/>
      <c r="N62" s="108">
        <f t="shared" si="9"/>
        <v>-2.5468164692615005</v>
      </c>
      <c r="O62" s="109">
        <f t="shared" si="11"/>
        <v>-1.3926799650783988E-2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1589.5764239999999</v>
      </c>
      <c r="I63" s="104"/>
      <c r="J63" s="104"/>
      <c r="K63" s="104"/>
      <c r="L63" s="106">
        <f>L61+L62</f>
        <v>1567.4387116133423</v>
      </c>
      <c r="M63" s="107"/>
      <c r="N63" s="108">
        <f t="shared" si="9"/>
        <v>-22.13771238665754</v>
      </c>
      <c r="O63" s="109">
        <f t="shared" si="11"/>
        <v>-1.3926799650783913E-2</v>
      </c>
      <c r="S63" s="72"/>
    </row>
    <row r="64" spans="2:19" ht="15.75" customHeight="1" x14ac:dyDescent="0.25">
      <c r="B64" s="248" t="s">
        <v>43</v>
      </c>
      <c r="C64" s="248"/>
      <c r="D64" s="248"/>
      <c r="E64" s="22"/>
      <c r="F64" s="111"/>
      <c r="G64" s="102"/>
      <c r="H64" s="112">
        <f>ROUND(-H63*10%,2)</f>
        <v>-158.96</v>
      </c>
      <c r="I64" s="104"/>
      <c r="J64" s="104"/>
      <c r="K64" s="104"/>
      <c r="L64" s="113">
        <f>ROUND(-L63*10%,2)</f>
        <v>-156.74</v>
      </c>
      <c r="M64" s="107"/>
      <c r="N64" s="114">
        <f t="shared" si="9"/>
        <v>2.2199999999999989</v>
      </c>
      <c r="O64" s="115">
        <f t="shared" si="11"/>
        <v>-1.3965777554101652E-2</v>
      </c>
    </row>
    <row r="65" spans="1:15" ht="15.75" thickBot="1" x14ac:dyDescent="0.3">
      <c r="B65" s="240" t="s">
        <v>44</v>
      </c>
      <c r="C65" s="240"/>
      <c r="D65" s="240"/>
      <c r="E65" s="116"/>
      <c r="F65" s="117"/>
      <c r="G65" s="118"/>
      <c r="H65" s="119">
        <f>H63+H64</f>
        <v>1430.6164239999998</v>
      </c>
      <c r="I65" s="120"/>
      <c r="J65" s="120"/>
      <c r="K65" s="120"/>
      <c r="L65" s="121">
        <f>L63+L64</f>
        <v>1410.6987116133423</v>
      </c>
      <c r="M65" s="122"/>
      <c r="N65" s="123">
        <f t="shared" si="9"/>
        <v>-19.917712386657513</v>
      </c>
      <c r="O65" s="124">
        <f t="shared" si="11"/>
        <v>-1.3922468701266297E-2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1483.1048000000003</v>
      </c>
      <c r="I67" s="136"/>
      <c r="J67" s="137"/>
      <c r="K67" s="137"/>
      <c r="L67" s="188">
        <f>SUM(L58:L59,L50,L51:L54)</f>
        <v>1463.5139040826039</v>
      </c>
      <c r="M67" s="138"/>
      <c r="N67" s="139">
        <f>L67-H67</f>
        <v>-19.590895917396438</v>
      </c>
      <c r="O67" s="99">
        <f>IF((H67)=0,"",(N67/H67))</f>
        <v>-1.3209380697437182E-2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192.80362400000004</v>
      </c>
      <c r="I68" s="143"/>
      <c r="J68" s="144">
        <v>0.13</v>
      </c>
      <c r="K68" s="145"/>
      <c r="L68" s="146">
        <f>L67*J68</f>
        <v>190.25680753073851</v>
      </c>
      <c r="M68" s="147"/>
      <c r="N68" s="148">
        <f>L68-H68</f>
        <v>-2.5468164692615289</v>
      </c>
      <c r="O68" s="109">
        <f>IF((H68)=0,"",(N68/H68))</f>
        <v>-1.3209380697437141E-2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1675.9084240000004</v>
      </c>
      <c r="I69" s="143"/>
      <c r="J69" s="143"/>
      <c r="K69" s="143"/>
      <c r="L69" s="146">
        <f>L67+L68</f>
        <v>1653.7707116133424</v>
      </c>
      <c r="M69" s="147"/>
      <c r="N69" s="148">
        <f>L69-H69</f>
        <v>-22.137712386657995</v>
      </c>
      <c r="O69" s="109">
        <f>IF((H69)=0,"",(N69/H69))</f>
        <v>-1.3209380697437195E-2</v>
      </c>
    </row>
    <row r="70" spans="1:15" s="73" customFormat="1" ht="15.75" customHeight="1" x14ac:dyDescent="0.2">
      <c r="B70" s="249" t="s">
        <v>43</v>
      </c>
      <c r="C70" s="249"/>
      <c r="D70" s="249"/>
      <c r="E70" s="75"/>
      <c r="F70" s="150"/>
      <c r="G70" s="151"/>
      <c r="H70" s="152">
        <f>ROUND(-H69*10%,2)</f>
        <v>-167.59</v>
      </c>
      <c r="I70" s="143"/>
      <c r="J70" s="143"/>
      <c r="K70" s="143"/>
      <c r="L70" s="153">
        <f>ROUND(-L69*10%,2)</f>
        <v>-165.38</v>
      </c>
      <c r="M70" s="147"/>
      <c r="N70" s="154">
        <f>L70-H70</f>
        <v>2.210000000000008</v>
      </c>
      <c r="O70" s="115">
        <f>IF((H70)=0,"",(N70/H70))</f>
        <v>-1.3186944328420597E-2</v>
      </c>
    </row>
    <row r="71" spans="1:15" s="73" customFormat="1" ht="13.5" thickBot="1" x14ac:dyDescent="0.25">
      <c r="B71" s="241" t="s">
        <v>46</v>
      </c>
      <c r="C71" s="241"/>
      <c r="D71" s="241"/>
      <c r="E71" s="155"/>
      <c r="F71" s="156"/>
      <c r="G71" s="157"/>
      <c r="H71" s="158">
        <f>SUM(H69:H70)</f>
        <v>1508.3184240000005</v>
      </c>
      <c r="I71" s="159"/>
      <c r="J71" s="159"/>
      <c r="K71" s="159"/>
      <c r="L71" s="160">
        <f>SUM(L69:L70)</f>
        <v>1488.3907116133423</v>
      </c>
      <c r="M71" s="161"/>
      <c r="N71" s="162">
        <f>L71-H71</f>
        <v>-19.927712386658186</v>
      </c>
      <c r="O71" s="163">
        <f>IF((H71)=0,"",(N71/H71))</f>
        <v>-1.3211873613404977E-2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8:O8"/>
    <mergeCell ref="N1:O1"/>
    <mergeCell ref="N2:O2"/>
    <mergeCell ref="N3:O3"/>
    <mergeCell ref="N5:O5"/>
    <mergeCell ref="B64:D64"/>
    <mergeCell ref="B65:D65"/>
    <mergeCell ref="B70:D70"/>
    <mergeCell ref="B71:D71"/>
    <mergeCell ref="B9:O9"/>
    <mergeCell ref="D12:O12"/>
    <mergeCell ref="F18:H18"/>
    <mergeCell ref="J18:L18"/>
    <mergeCell ref="N18:O18"/>
    <mergeCell ref="D19:D20"/>
    <mergeCell ref="N19:N20"/>
    <mergeCell ref="O19:O20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2 E66 E48:E49 E51:E60 E39:E46 E21:E24 E26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theme="0" tint="-0.14999847407452621"/>
    <pageSetUpPr fitToPage="1"/>
  </sheetPr>
  <dimension ref="A1:T90"/>
  <sheetViews>
    <sheetView showGridLines="0" topLeftCell="B12" workbookViewId="0">
      <selection activeCell="J24" sqref="J24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1.2851562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10.2851562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9.71093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P1" s="190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  <c r="P2" s="191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8-D</v>
      </c>
      <c r="O3" s="234"/>
      <c r="P3" s="190"/>
    </row>
    <row r="4" spans="1:20" s="2" customFormat="1" ht="9" customHeigh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34">
        <f>'Res (100kWh)'!$N$5:$O$5</f>
        <v>41985</v>
      </c>
      <c r="O5" s="234"/>
      <c r="P5" s="193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67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15000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21.69</v>
      </c>
      <c r="G21" s="26">
        <v>1</v>
      </c>
      <c r="H21" s="27">
        <f>G21*F21</f>
        <v>21.69</v>
      </c>
      <c r="I21" s="28"/>
      <c r="J21" s="173">
        <v>24.96</v>
      </c>
      <c r="K21" s="30">
        <v>1</v>
      </c>
      <c r="L21" s="27">
        <f>K21*J21</f>
        <v>24.96</v>
      </c>
      <c r="M21" s="28"/>
      <c r="N21" s="31">
        <f>L21-H21</f>
        <v>3.2699999999999996</v>
      </c>
      <c r="O21" s="32">
        <f>IF((H21)=0,"",(N21/H21))</f>
        <v>0.15076071922544948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7.85</v>
      </c>
      <c r="G22" s="26">
        <v>1</v>
      </c>
      <c r="H22" s="27">
        <f t="shared" ref="H22:H37" si="0">G22*F22</f>
        <v>7.85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-7.85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3.2</v>
      </c>
      <c r="G23" s="26">
        <v>1</v>
      </c>
      <c r="H23" s="27">
        <f t="shared" si="0"/>
        <v>3.2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-3.2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v>1.91</v>
      </c>
      <c r="K24" s="30">
        <v>1</v>
      </c>
      <c r="L24" s="27">
        <f t="shared" si="1"/>
        <v>1.91</v>
      </c>
      <c r="M24" s="28"/>
      <c r="N24" s="31">
        <f t="shared" si="2"/>
        <v>1.91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15000</v>
      </c>
      <c r="H25" s="27">
        <f t="shared" si="0"/>
        <v>0</v>
      </c>
      <c r="I25" s="28"/>
      <c r="J25" s="29">
        <v>8.8852477239052222E-4</v>
      </c>
      <c r="K25" s="26">
        <f>$F$16</f>
        <v>15000</v>
      </c>
      <c r="L25" s="27">
        <f t="shared" si="1"/>
        <v>13.327871585857833</v>
      </c>
      <c r="M25" s="28"/>
      <c r="N25" s="31">
        <f t="shared" si="2"/>
        <v>13.327871585857833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15000</v>
      </c>
      <c r="H26" s="27">
        <f t="shared" si="0"/>
        <v>-3</v>
      </c>
      <c r="I26" s="28"/>
      <c r="J26" s="173"/>
      <c r="K26" s="26">
        <f>$F$16</f>
        <v>15000</v>
      </c>
      <c r="L26" s="27">
        <f t="shared" si="1"/>
        <v>0</v>
      </c>
      <c r="M26" s="28"/>
      <c r="N26" s="31">
        <f t="shared" si="2"/>
        <v>3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15000</v>
      </c>
      <c r="H27" s="27">
        <f t="shared" si="0"/>
        <v>0</v>
      </c>
      <c r="I27" s="28"/>
      <c r="J27" s="29">
        <v>-7.1368536247813147E-3</v>
      </c>
      <c r="K27" s="26">
        <f>$F$16</f>
        <v>15000</v>
      </c>
      <c r="L27" s="27">
        <f t="shared" si="1"/>
        <v>-107.05280437171972</v>
      </c>
      <c r="M27" s="28"/>
      <c r="N27" s="31">
        <f t="shared" si="2"/>
        <v>-107.05280437171972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v>1.67E-2</v>
      </c>
      <c r="G28" s="26">
        <f>$F$16</f>
        <v>15000</v>
      </c>
      <c r="H28" s="27">
        <f t="shared" si="0"/>
        <v>250.5</v>
      </c>
      <c r="I28" s="28"/>
      <c r="J28" s="29">
        <v>1.9199999999999998E-2</v>
      </c>
      <c r="K28" s="26">
        <f>$F$16</f>
        <v>15000</v>
      </c>
      <c r="L28" s="27">
        <f t="shared" si="1"/>
        <v>288</v>
      </c>
      <c r="M28" s="28"/>
      <c r="N28" s="31">
        <f t="shared" si="2"/>
        <v>37.5</v>
      </c>
      <c r="O28" s="32">
        <f t="shared" si="3"/>
        <v>0.1497005988023952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15000</v>
      </c>
      <c r="H29" s="27">
        <f t="shared" si="0"/>
        <v>0</v>
      </c>
      <c r="I29" s="28"/>
      <c r="J29" s="29"/>
      <c r="K29" s="26">
        <f t="shared" ref="K29:K37" si="5">$F$16</f>
        <v>15000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15000</v>
      </c>
      <c r="H30" s="27">
        <f t="shared" si="0"/>
        <v>0</v>
      </c>
      <c r="I30" s="28"/>
      <c r="J30" s="29"/>
      <c r="K30" s="26">
        <f t="shared" si="5"/>
        <v>15000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15000</v>
      </c>
      <c r="H31" s="27">
        <f t="shared" si="0"/>
        <v>0</v>
      </c>
      <c r="I31" s="28"/>
      <c r="J31" s="29"/>
      <c r="K31" s="26">
        <f t="shared" si="5"/>
        <v>15000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15000</v>
      </c>
      <c r="H32" s="27">
        <f t="shared" si="0"/>
        <v>0</v>
      </c>
      <c r="I32" s="28"/>
      <c r="J32" s="29"/>
      <c r="K32" s="26">
        <f t="shared" si="5"/>
        <v>15000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15000</v>
      </c>
      <c r="H33" s="27">
        <f t="shared" si="0"/>
        <v>0</v>
      </c>
      <c r="I33" s="28"/>
      <c r="J33" s="29"/>
      <c r="K33" s="26">
        <f t="shared" si="5"/>
        <v>15000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15000</v>
      </c>
      <c r="H34" s="27">
        <f t="shared" si="0"/>
        <v>0</v>
      </c>
      <c r="I34" s="28"/>
      <c r="J34" s="29"/>
      <c r="K34" s="26">
        <f t="shared" si="5"/>
        <v>15000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15000</v>
      </c>
      <c r="H35" s="27">
        <f t="shared" si="0"/>
        <v>0</v>
      </c>
      <c r="I35" s="28"/>
      <c r="J35" s="29"/>
      <c r="K35" s="26">
        <f t="shared" si="5"/>
        <v>15000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15000</v>
      </c>
      <c r="H36" s="27">
        <f t="shared" si="0"/>
        <v>0</v>
      </c>
      <c r="I36" s="28"/>
      <c r="J36" s="29"/>
      <c r="K36" s="26">
        <f t="shared" si="5"/>
        <v>15000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15000</v>
      </c>
      <c r="H37" s="27">
        <f t="shared" si="0"/>
        <v>0</v>
      </c>
      <c r="I37" s="28"/>
      <c r="J37" s="29"/>
      <c r="K37" s="26">
        <f t="shared" si="5"/>
        <v>15000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280.24</v>
      </c>
      <c r="I38" s="41"/>
      <c r="J38" s="42"/>
      <c r="K38" s="43"/>
      <c r="L38" s="40">
        <f>SUM(L21:L37)</f>
        <v>221.14506721413812</v>
      </c>
      <c r="M38" s="41"/>
      <c r="N38" s="44">
        <f t="shared" si="2"/>
        <v>-59.094932785861886</v>
      </c>
      <c r="O38" s="45">
        <f t="shared" si="3"/>
        <v>-0.21087258344940724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15000</v>
      </c>
      <c r="H40" s="27">
        <f t="shared" ref="H40:H46" si="7">G40*F40</f>
        <v>-27</v>
      </c>
      <c r="I40" s="28"/>
      <c r="J40" s="29">
        <v>2.2956161777014765E-4</v>
      </c>
      <c r="K40" s="26">
        <f>$F$16</f>
        <v>15000</v>
      </c>
      <c r="L40" s="27">
        <f t="shared" ref="L40:L46" si="8">K40*J40</f>
        <v>3.4434242665522148</v>
      </c>
      <c r="M40" s="28"/>
      <c r="N40" s="31">
        <f t="shared" ref="N40:N65" si="9">L40-H40</f>
        <v>30.443424266552213</v>
      </c>
      <c r="O40" s="32">
        <f t="shared" ref="O40:O45" si="10">IF((H40)=0,"",(N40/H40))</f>
        <v>-1.1275342320945265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15000</v>
      </c>
      <c r="H41" s="27">
        <f t="shared" si="7"/>
        <v>0</v>
      </c>
      <c r="I41" s="47"/>
      <c r="J41" s="29"/>
      <c r="K41" s="26">
        <f>$F$16</f>
        <v>15000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15000</v>
      </c>
      <c r="H42" s="27">
        <f t="shared" si="7"/>
        <v>0</v>
      </c>
      <c r="I42" s="47"/>
      <c r="J42" s="29"/>
      <c r="K42" s="26">
        <f>$F$16</f>
        <v>15000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15000</v>
      </c>
      <c r="H43" s="27">
        <f t="shared" si="7"/>
        <v>0</v>
      </c>
      <c r="I43" s="47"/>
      <c r="J43" s="29"/>
      <c r="K43" s="26">
        <f>$F$16</f>
        <v>15000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15000</v>
      </c>
      <c r="H44" s="27">
        <f t="shared" si="7"/>
        <v>0.60000000000000009</v>
      </c>
      <c r="I44" s="28"/>
      <c r="J44" s="196">
        <v>4.0000000000000003E-5</v>
      </c>
      <c r="K44" s="26">
        <f>$F$16</f>
        <v>15000</v>
      </c>
      <c r="L44" s="27">
        <f t="shared" si="8"/>
        <v>0.60000000000000009</v>
      </c>
      <c r="M44" s="28"/>
      <c r="N44" s="31">
        <f t="shared" si="9"/>
        <v>0</v>
      </c>
      <c r="O44" s="32">
        <f t="shared" si="10"/>
        <v>0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720</v>
      </c>
      <c r="H45" s="183">
        <f t="shared" si="7"/>
        <v>66.571200000000005</v>
      </c>
      <c r="I45" s="57"/>
      <c r="J45" s="184">
        <f>0.64*$F$55+0.18*$F$56+0.18*$F$57</f>
        <v>9.2460000000000001E-2</v>
      </c>
      <c r="K45" s="26">
        <f>$F$16*(1+$J$74)-$F$16</f>
        <v>706.49999999999818</v>
      </c>
      <c r="L45" s="183">
        <f t="shared" si="8"/>
        <v>65.322989999999834</v>
      </c>
      <c r="M45" s="57"/>
      <c r="N45" s="185">
        <f t="shared" si="9"/>
        <v>-1.2482100000001708</v>
      </c>
      <c r="O45" s="186">
        <f t="shared" si="10"/>
        <v>-1.8750000000002563E-2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321.20120000000003</v>
      </c>
      <c r="I47" s="41"/>
      <c r="J47" s="53"/>
      <c r="K47" s="55"/>
      <c r="L47" s="54">
        <f>SUM(L39:L46)+L38</f>
        <v>291.3014814806902</v>
      </c>
      <c r="M47" s="41"/>
      <c r="N47" s="44">
        <f t="shared" si="9"/>
        <v>-29.899718519309829</v>
      </c>
      <c r="O47" s="45">
        <f t="shared" ref="O47:O65" si="11">IF((H47)=0,"",(N47/H47))</f>
        <v>-9.3087194317175118E-2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6.8999999999999999E-3</v>
      </c>
      <c r="G48" s="58">
        <f>F16*(1+F74)</f>
        <v>15720</v>
      </c>
      <c r="H48" s="27">
        <f>G48*F48</f>
        <v>108.468</v>
      </c>
      <c r="I48" s="28"/>
      <c r="J48" s="29">
        <v>7.157233129159021E-3</v>
      </c>
      <c r="K48" s="59">
        <f>F16*(1+J74)</f>
        <v>15706.499999999998</v>
      </c>
      <c r="L48" s="27">
        <f>K48*J48</f>
        <v>112.41508214313615</v>
      </c>
      <c r="M48" s="28"/>
      <c r="N48" s="31">
        <f t="shared" si="9"/>
        <v>3.9470821431361429</v>
      </c>
      <c r="O48" s="32">
        <f t="shared" si="11"/>
        <v>3.6389369612569077E-2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5.1999999999999998E-3</v>
      </c>
      <c r="G49" s="58">
        <f>G48</f>
        <v>15720</v>
      </c>
      <c r="H49" s="27">
        <f>G49*F49</f>
        <v>81.744</v>
      </c>
      <c r="I49" s="28"/>
      <c r="J49" s="29">
        <v>5.1776170693712204E-3</v>
      </c>
      <c r="K49" s="59">
        <f>K48</f>
        <v>15706.499999999998</v>
      </c>
      <c r="L49" s="27">
        <f>K49*J49</f>
        <v>81.322242500079057</v>
      </c>
      <c r="M49" s="28"/>
      <c r="N49" s="31">
        <f t="shared" si="9"/>
        <v>-0.42175749992094325</v>
      </c>
      <c r="O49" s="32">
        <f t="shared" si="11"/>
        <v>-5.1594918271792821E-3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511.41320000000007</v>
      </c>
      <c r="I50" s="62"/>
      <c r="J50" s="63"/>
      <c r="K50" s="64"/>
      <c r="L50" s="54">
        <f>SUM(L47:L49)</f>
        <v>485.03880612390537</v>
      </c>
      <c r="M50" s="62"/>
      <c r="N50" s="44">
        <f t="shared" si="9"/>
        <v>-26.3743938760947</v>
      </c>
      <c r="O50" s="45">
        <f t="shared" si="11"/>
        <v>-5.1571593920717529E-2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15720</v>
      </c>
      <c r="H51" s="67">
        <f t="shared" ref="H51:H57" si="12">G51*F51</f>
        <v>69.168000000000006</v>
      </c>
      <c r="I51" s="28"/>
      <c r="J51" s="66">
        <v>4.4000000000000003E-3</v>
      </c>
      <c r="K51" s="59">
        <f>K49</f>
        <v>15706.499999999998</v>
      </c>
      <c r="L51" s="67">
        <f t="shared" ref="L51:L57" si="13">K51*J51</f>
        <v>69.108599999999996</v>
      </c>
      <c r="M51" s="28"/>
      <c r="N51" s="31">
        <f t="shared" si="9"/>
        <v>-5.9400000000010778E-2</v>
      </c>
      <c r="O51" s="68">
        <f t="shared" si="11"/>
        <v>-8.5877862595435425E-4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15720</v>
      </c>
      <c r="H52" s="67">
        <f t="shared" si="12"/>
        <v>20.436</v>
      </c>
      <c r="I52" s="28"/>
      <c r="J52" s="66">
        <v>1.2999999999999999E-3</v>
      </c>
      <c r="K52" s="59">
        <f>K49</f>
        <v>15706.499999999998</v>
      </c>
      <c r="L52" s="67">
        <f t="shared" si="13"/>
        <v>20.418449999999996</v>
      </c>
      <c r="M52" s="28"/>
      <c r="N52" s="31">
        <f t="shared" si="9"/>
        <v>-1.7550000000003507E-2</v>
      </c>
      <c r="O52" s="68">
        <f t="shared" si="11"/>
        <v>-8.5877862595437008E-4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2"/>
        <v>0.25</v>
      </c>
      <c r="I53" s="28"/>
      <c r="J53" s="176">
        <v>0.25</v>
      </c>
      <c r="K53" s="30">
        <v>1</v>
      </c>
      <c r="L53" s="67">
        <f t="shared" si="13"/>
        <v>0.25</v>
      </c>
      <c r="M53" s="28"/>
      <c r="N53" s="31">
        <f t="shared" si="9"/>
        <v>0</v>
      </c>
      <c r="O53" s="68">
        <f t="shared" si="11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15000</v>
      </c>
      <c r="H54" s="67">
        <f t="shared" si="12"/>
        <v>105</v>
      </c>
      <c r="I54" s="28"/>
      <c r="J54" s="66">
        <v>7.0000000000000001E-3</v>
      </c>
      <c r="K54" s="70">
        <f>F16</f>
        <v>15000</v>
      </c>
      <c r="L54" s="67">
        <f t="shared" si="13"/>
        <v>105</v>
      </c>
      <c r="M54" s="28"/>
      <c r="N54" s="31">
        <f t="shared" si="9"/>
        <v>0</v>
      </c>
      <c r="O54" s="68">
        <f t="shared" si="11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9600</v>
      </c>
      <c r="H55" s="67">
        <f t="shared" si="12"/>
        <v>720</v>
      </c>
      <c r="I55" s="28"/>
      <c r="J55" s="66">
        <v>7.4999999999999997E-2</v>
      </c>
      <c r="K55" s="69">
        <f>G55</f>
        <v>9600</v>
      </c>
      <c r="L55" s="67">
        <f t="shared" si="13"/>
        <v>720</v>
      </c>
      <c r="M55" s="28"/>
      <c r="N55" s="31">
        <f t="shared" si="9"/>
        <v>0</v>
      </c>
      <c r="O55" s="68">
        <f t="shared" si="11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2700</v>
      </c>
      <c r="H56" s="67">
        <f t="shared" si="12"/>
        <v>302.40000000000003</v>
      </c>
      <c r="I56" s="28"/>
      <c r="J56" s="66">
        <v>0.112</v>
      </c>
      <c r="K56" s="69">
        <f>G56</f>
        <v>2700</v>
      </c>
      <c r="L56" s="67">
        <f t="shared" si="13"/>
        <v>302.40000000000003</v>
      </c>
      <c r="M56" s="28"/>
      <c r="N56" s="31">
        <f t="shared" si="9"/>
        <v>0</v>
      </c>
      <c r="O56" s="68">
        <f t="shared" si="11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2700</v>
      </c>
      <c r="H57" s="67">
        <f t="shared" si="12"/>
        <v>364.5</v>
      </c>
      <c r="I57" s="28"/>
      <c r="J57" s="66">
        <v>0.13500000000000001</v>
      </c>
      <c r="K57" s="69">
        <f>G57</f>
        <v>2700</v>
      </c>
      <c r="L57" s="67">
        <f t="shared" si="13"/>
        <v>364.5</v>
      </c>
      <c r="M57" s="28"/>
      <c r="N57" s="31">
        <f t="shared" si="9"/>
        <v>0</v>
      </c>
      <c r="O57" s="68">
        <f t="shared" si="11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9"/>
        <v>0</v>
      </c>
      <c r="O58" s="68">
        <f t="shared" si="11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14400</v>
      </c>
      <c r="H59" s="67">
        <f>G59*F59</f>
        <v>1454.4</v>
      </c>
      <c r="I59" s="79"/>
      <c r="J59" s="66">
        <v>0.10100000000000001</v>
      </c>
      <c r="K59" s="78">
        <f>G59</f>
        <v>14400</v>
      </c>
      <c r="L59" s="67">
        <f>K59*J59</f>
        <v>1454.4</v>
      </c>
      <c r="M59" s="79"/>
      <c r="N59" s="80">
        <f t="shared" si="9"/>
        <v>0</v>
      </c>
      <c r="O59" s="68">
        <f t="shared" si="11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2093.1672000000003</v>
      </c>
      <c r="I61" s="95"/>
      <c r="J61" s="96"/>
      <c r="K61" s="96"/>
      <c r="L61" s="189">
        <f>SUM(L51:L57,L50)</f>
        <v>2066.7158561239053</v>
      </c>
      <c r="M61" s="97"/>
      <c r="N61" s="98">
        <f>L61-H61</f>
        <v>-26.451343876095052</v>
      </c>
      <c r="O61" s="99">
        <f>IF((H61)=0,"",(N61/H61))</f>
        <v>-1.2636995208072746E-2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272.11173600000006</v>
      </c>
      <c r="I62" s="104"/>
      <c r="J62" s="105">
        <v>0.13</v>
      </c>
      <c r="K62" s="104"/>
      <c r="L62" s="106">
        <f>L61*J62</f>
        <v>268.67306129610768</v>
      </c>
      <c r="M62" s="107"/>
      <c r="N62" s="108">
        <f t="shared" si="9"/>
        <v>-3.4386747038923886</v>
      </c>
      <c r="O62" s="109">
        <f t="shared" si="11"/>
        <v>-1.2636995208072863E-2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2365.2789360000006</v>
      </c>
      <c r="I63" s="104"/>
      <c r="J63" s="104"/>
      <c r="K63" s="104"/>
      <c r="L63" s="106">
        <f>L61+L62</f>
        <v>2335.3889174200131</v>
      </c>
      <c r="M63" s="107"/>
      <c r="N63" s="108">
        <f t="shared" si="9"/>
        <v>-29.890018579987554</v>
      </c>
      <c r="O63" s="109">
        <f t="shared" si="11"/>
        <v>-1.2636995208072807E-2</v>
      </c>
      <c r="S63" s="72"/>
    </row>
    <row r="64" spans="2:19" ht="15.75" customHeight="1" x14ac:dyDescent="0.25">
      <c r="B64" s="248" t="s">
        <v>43</v>
      </c>
      <c r="C64" s="248"/>
      <c r="D64" s="248"/>
      <c r="E64" s="22"/>
      <c r="F64" s="111"/>
      <c r="G64" s="102"/>
      <c r="H64" s="112">
        <f>ROUND(-H63*10%,2)</f>
        <v>-236.53</v>
      </c>
      <c r="I64" s="104"/>
      <c r="J64" s="104"/>
      <c r="K64" s="104"/>
      <c r="L64" s="113">
        <f>ROUND(-L63*10%,2)</f>
        <v>-233.54</v>
      </c>
      <c r="M64" s="107"/>
      <c r="N64" s="114">
        <f t="shared" si="9"/>
        <v>2.9900000000000091</v>
      </c>
      <c r="O64" s="115">
        <f t="shared" si="11"/>
        <v>-1.2641102608548636E-2</v>
      </c>
    </row>
    <row r="65" spans="1:15" ht="15.75" thickBot="1" x14ac:dyDescent="0.3">
      <c r="B65" s="240" t="s">
        <v>44</v>
      </c>
      <c r="C65" s="240"/>
      <c r="D65" s="240"/>
      <c r="E65" s="116"/>
      <c r="F65" s="117"/>
      <c r="G65" s="118"/>
      <c r="H65" s="119">
        <f>H63+H64</f>
        <v>2128.7489360000004</v>
      </c>
      <c r="I65" s="120"/>
      <c r="J65" s="120"/>
      <c r="K65" s="120"/>
      <c r="L65" s="121">
        <f>L63+L64</f>
        <v>2101.8489174200131</v>
      </c>
      <c r="M65" s="122"/>
      <c r="N65" s="123">
        <f t="shared" si="9"/>
        <v>-26.900018579987318</v>
      </c>
      <c r="O65" s="124">
        <f t="shared" si="11"/>
        <v>-1.2636538825726188E-2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2212.2672000000002</v>
      </c>
      <c r="I67" s="136"/>
      <c r="J67" s="137"/>
      <c r="K67" s="137"/>
      <c r="L67" s="188">
        <f>SUM(L58:L59,L50,L51:L54)</f>
        <v>2185.8158561239056</v>
      </c>
      <c r="M67" s="138"/>
      <c r="N67" s="139">
        <f>L67-H67</f>
        <v>-26.451343876094597</v>
      </c>
      <c r="O67" s="99">
        <f>IF((H67)=0,"",(N67/H67))</f>
        <v>-1.1956667746145039E-2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287.59473600000001</v>
      </c>
      <c r="I68" s="143"/>
      <c r="J68" s="144">
        <v>0.13</v>
      </c>
      <c r="K68" s="145"/>
      <c r="L68" s="146">
        <f>L67*J68</f>
        <v>284.15606129610774</v>
      </c>
      <c r="M68" s="147"/>
      <c r="N68" s="148">
        <f>L68-H68</f>
        <v>-3.4386747038922749</v>
      </c>
      <c r="O68" s="109">
        <f>IF((H68)=0,"",(N68/H68))</f>
        <v>-1.1956667746144961E-2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2499.8619360000002</v>
      </c>
      <c r="I69" s="143"/>
      <c r="J69" s="143"/>
      <c r="K69" s="143"/>
      <c r="L69" s="146">
        <f>L67+L68</f>
        <v>2469.9719174200136</v>
      </c>
      <c r="M69" s="147"/>
      <c r="N69" s="148">
        <f>L69-H69</f>
        <v>-29.890018579986645</v>
      </c>
      <c r="O69" s="109">
        <f>IF((H69)=0,"",(N69/H69))</f>
        <v>-1.1956667746144938E-2</v>
      </c>
    </row>
    <row r="70" spans="1:15" s="73" customFormat="1" ht="15.75" customHeight="1" x14ac:dyDescent="0.2">
      <c r="B70" s="249" t="s">
        <v>43</v>
      </c>
      <c r="C70" s="249"/>
      <c r="D70" s="249"/>
      <c r="E70" s="75"/>
      <c r="F70" s="150"/>
      <c r="G70" s="151"/>
      <c r="H70" s="152">
        <f>ROUND(-H69*10%,2)</f>
        <v>-249.99</v>
      </c>
      <c r="I70" s="143"/>
      <c r="J70" s="143"/>
      <c r="K70" s="143"/>
      <c r="L70" s="153">
        <f>ROUND(-L69*10%,2)</f>
        <v>-247</v>
      </c>
      <c r="M70" s="147"/>
      <c r="N70" s="154">
        <f>L70-H70</f>
        <v>2.9900000000000091</v>
      </c>
      <c r="O70" s="115">
        <f>IF((H70)=0,"",(N70/H70))</f>
        <v>-1.1960478419136802E-2</v>
      </c>
    </row>
    <row r="71" spans="1:15" s="73" customFormat="1" ht="13.5" thickBot="1" x14ac:dyDescent="0.25">
      <c r="B71" s="241" t="s">
        <v>46</v>
      </c>
      <c r="C71" s="241"/>
      <c r="D71" s="241"/>
      <c r="E71" s="155"/>
      <c r="F71" s="156"/>
      <c r="G71" s="157"/>
      <c r="H71" s="158">
        <f>SUM(H69:H70)</f>
        <v>2249.8719360000005</v>
      </c>
      <c r="I71" s="159"/>
      <c r="J71" s="159"/>
      <c r="K71" s="159"/>
      <c r="L71" s="160">
        <f>SUM(L69:L70)</f>
        <v>2222.9719174200136</v>
      </c>
      <c r="M71" s="161"/>
      <c r="N71" s="162">
        <f>L71-H71</f>
        <v>-26.900018579986863</v>
      </c>
      <c r="O71" s="163">
        <f>IF((H71)=0,"",(N71/H71))</f>
        <v>-1.1956244330871488E-2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8:O8"/>
    <mergeCell ref="N1:O1"/>
    <mergeCell ref="N2:O2"/>
    <mergeCell ref="N3:O3"/>
    <mergeCell ref="N5:O5"/>
    <mergeCell ref="B64:D64"/>
    <mergeCell ref="B65:D65"/>
    <mergeCell ref="B70:D70"/>
    <mergeCell ref="B71:D71"/>
    <mergeCell ref="B9:O9"/>
    <mergeCell ref="D12:O12"/>
    <mergeCell ref="F18:H18"/>
    <mergeCell ref="J18:L18"/>
    <mergeCell ref="N18:O18"/>
    <mergeCell ref="D19:D20"/>
    <mergeCell ref="N19:N20"/>
    <mergeCell ref="O19:O20"/>
  </mergeCells>
  <dataValidations count="4">
    <dataValidation type="list" allowBlank="1" showInputMessage="1" showErrorMessage="1" sqref="E48:E49 E51:E57 E60 E39:E46 E21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theme="0" tint="-0.14999847407452621"/>
    <pageSetUpPr fitToPage="1"/>
  </sheetPr>
  <dimension ref="A1:T89"/>
  <sheetViews>
    <sheetView showGridLines="0" topLeftCell="A1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1.57031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1.5703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0.140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21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P1" s="190"/>
      <c r="T1" s="2">
        <v>1</v>
      </c>
    </row>
    <row r="2" spans="1:20" s="2" customFormat="1" ht="18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  <c r="P2" s="191"/>
    </row>
    <row r="3" spans="1:20" s="2" customFormat="1" ht="15.75" x14ac:dyDescent="0.25">
      <c r="C3" s="6"/>
      <c r="D3" s="6"/>
      <c r="E3" s="6"/>
      <c r="L3" s="3" t="s">
        <v>95</v>
      </c>
      <c r="N3" s="234" t="str">
        <f>'Res (100kWh)'!$N$3:$O$3</f>
        <v>8-D</v>
      </c>
      <c r="O3" s="234"/>
      <c r="P3" s="190"/>
    </row>
    <row r="4" spans="1:20" s="2" customForma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34">
        <f>'Res (100kWh)'!$N$5:$O$5</f>
        <v>41985</v>
      </c>
      <c r="O5" s="234"/>
      <c r="P5" s="193"/>
    </row>
    <row r="6" spans="1:20" s="2" customFormat="1" x14ac:dyDescent="0.25">
      <c r="N6" s="7"/>
      <c r="O6"/>
      <c r="P6"/>
    </row>
    <row r="7" spans="1:20" x14ac:dyDescent="0.25">
      <c r="L7"/>
      <c r="M7"/>
      <c r="N7"/>
      <c r="O7"/>
      <c r="P7"/>
    </row>
    <row r="8" spans="1:20" ht="18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x14ac:dyDescent="0.25">
      <c r="L10"/>
      <c r="M10"/>
      <c r="N10"/>
      <c r="O10"/>
      <c r="P10"/>
    </row>
    <row r="11" spans="1:20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87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15.75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20000</v>
      </c>
      <c r="G16" s="13" t="s">
        <v>7</v>
      </c>
      <c r="H16" s="14">
        <v>60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x14ac:dyDescent="0.25">
      <c r="B21" s="22" t="s">
        <v>18</v>
      </c>
      <c r="C21" s="22"/>
      <c r="D21" s="23" t="s">
        <v>60</v>
      </c>
      <c r="E21" s="24"/>
      <c r="F21" s="174">
        <v>293.97000000000003</v>
      </c>
      <c r="G21" s="26">
        <v>1</v>
      </c>
      <c r="H21" s="27">
        <f>G21*F21</f>
        <v>293.97000000000003</v>
      </c>
      <c r="I21" s="28"/>
      <c r="J21" s="173">
        <v>343.63</v>
      </c>
      <c r="K21" s="30">
        <v>1</v>
      </c>
      <c r="L21" s="27">
        <f>K21*J21</f>
        <v>343.63</v>
      </c>
      <c r="M21" s="28"/>
      <c r="N21" s="31">
        <f>L21-H21</f>
        <v>49.659999999999968</v>
      </c>
      <c r="O21" s="32">
        <f>IF((H21)=0,"",(N21/H21))</f>
        <v>0.16892880225873377</v>
      </c>
    </row>
    <row r="22" spans="2:15" ht="30" x14ac:dyDescent="0.25">
      <c r="B22" s="65" t="s">
        <v>80</v>
      </c>
      <c r="C22" s="22"/>
      <c r="D22" s="56" t="s">
        <v>60</v>
      </c>
      <c r="E22" s="24"/>
      <c r="F22" s="173"/>
      <c r="G22" s="26">
        <v>1</v>
      </c>
      <c r="H22" s="27">
        <f t="shared" ref="H22:H37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0</v>
      </c>
      <c r="O23" s="32" t="str">
        <f t="shared" ref="O23:O38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70</v>
      </c>
      <c r="E25" s="24"/>
      <c r="F25" s="25"/>
      <c r="G25" s="178">
        <f>$H$16</f>
        <v>60</v>
      </c>
      <c r="H25" s="27">
        <f t="shared" si="0"/>
        <v>0</v>
      </c>
      <c r="I25" s="28"/>
      <c r="J25" s="29">
        <v>7.6628943054380921E-2</v>
      </c>
      <c r="K25" s="178">
        <f>$H$16</f>
        <v>60</v>
      </c>
      <c r="L25" s="27">
        <f t="shared" si="1"/>
        <v>4.5977365832628552</v>
      </c>
      <c r="M25" s="28"/>
      <c r="N25" s="31">
        <f t="shared" si="2"/>
        <v>4.5977365832628552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70</v>
      </c>
      <c r="E26" s="24"/>
      <c r="F26" s="25">
        <v>-2.4199999999999999E-2</v>
      </c>
      <c r="G26" s="178">
        <f>$H$16</f>
        <v>60</v>
      </c>
      <c r="H26" s="27">
        <f t="shared" si="0"/>
        <v>-1.452</v>
      </c>
      <c r="I26" s="28"/>
      <c r="J26" s="29"/>
      <c r="K26" s="178">
        <f>$H$16</f>
        <v>60</v>
      </c>
      <c r="L26" s="27">
        <f t="shared" si="1"/>
        <v>0</v>
      </c>
      <c r="M26" s="28"/>
      <c r="N26" s="31">
        <f t="shared" si="2"/>
        <v>1.452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70</v>
      </c>
      <c r="E27" s="24"/>
      <c r="F27" s="25"/>
      <c r="G27" s="178">
        <f>$H$16</f>
        <v>60</v>
      </c>
      <c r="H27" s="27">
        <f t="shared" si="0"/>
        <v>0</v>
      </c>
      <c r="I27" s="28"/>
      <c r="J27" s="29">
        <v>-2.883434819513544</v>
      </c>
      <c r="K27" s="178">
        <f>$H$16</f>
        <v>60</v>
      </c>
      <c r="L27" s="27">
        <f t="shared" si="1"/>
        <v>-173.00608917081263</v>
      </c>
      <c r="M27" s="28"/>
      <c r="N27" s="31">
        <f t="shared" si="2"/>
        <v>-173.00608917081263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70</v>
      </c>
      <c r="E28" s="24"/>
      <c r="F28" s="25">
        <v>2.0966</v>
      </c>
      <c r="G28" s="178">
        <f>$H$16</f>
        <v>60</v>
      </c>
      <c r="H28" s="27">
        <f t="shared" si="0"/>
        <v>125.79600000000001</v>
      </c>
      <c r="I28" s="28"/>
      <c r="J28" s="29">
        <v>2.4213</v>
      </c>
      <c r="K28" s="178">
        <f>$H$16</f>
        <v>60</v>
      </c>
      <c r="L28" s="27">
        <f t="shared" si="1"/>
        <v>145.27799999999999</v>
      </c>
      <c r="M28" s="28"/>
      <c r="N28" s="31">
        <f t="shared" si="2"/>
        <v>19.481999999999985</v>
      </c>
      <c r="O28" s="32">
        <f t="shared" si="3"/>
        <v>0.15486978918248581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20000</v>
      </c>
      <c r="H29" s="27">
        <f t="shared" si="0"/>
        <v>0</v>
      </c>
      <c r="I29" s="28"/>
      <c r="J29" s="29"/>
      <c r="K29" s="26">
        <f t="shared" ref="K29:K37" si="4">$F$16</f>
        <v>20000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20000</v>
      </c>
      <c r="H30" s="27">
        <f t="shared" si="0"/>
        <v>0</v>
      </c>
      <c r="I30" s="28"/>
      <c r="J30" s="29"/>
      <c r="K30" s="26">
        <f t="shared" si="4"/>
        <v>20000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5">$F$16</f>
        <v>20000</v>
      </c>
      <c r="H31" s="27">
        <f t="shared" si="0"/>
        <v>0</v>
      </c>
      <c r="I31" s="28"/>
      <c r="J31" s="29"/>
      <c r="K31" s="26">
        <f t="shared" si="4"/>
        <v>20000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20000</v>
      </c>
      <c r="H32" s="27">
        <f t="shared" si="0"/>
        <v>0</v>
      </c>
      <c r="I32" s="28"/>
      <c r="J32" s="29"/>
      <c r="K32" s="26">
        <f t="shared" si="4"/>
        <v>20000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20000</v>
      </c>
      <c r="H33" s="27">
        <f t="shared" si="0"/>
        <v>0</v>
      </c>
      <c r="I33" s="28"/>
      <c r="J33" s="29"/>
      <c r="K33" s="26">
        <f t="shared" si="4"/>
        <v>20000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20000</v>
      </c>
      <c r="H34" s="27">
        <f t="shared" si="0"/>
        <v>0</v>
      </c>
      <c r="I34" s="28"/>
      <c r="J34" s="29"/>
      <c r="K34" s="26">
        <f t="shared" si="4"/>
        <v>20000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20000</v>
      </c>
      <c r="H35" s="27">
        <f t="shared" si="0"/>
        <v>0</v>
      </c>
      <c r="I35" s="28"/>
      <c r="J35" s="29"/>
      <c r="K35" s="26">
        <f t="shared" si="4"/>
        <v>20000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20000</v>
      </c>
      <c r="H36" s="27">
        <f t="shared" si="0"/>
        <v>0</v>
      </c>
      <c r="I36" s="28"/>
      <c r="J36" s="29"/>
      <c r="K36" s="26">
        <f t="shared" si="4"/>
        <v>20000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5"/>
        <v>20000</v>
      </c>
      <c r="H37" s="27">
        <f t="shared" si="0"/>
        <v>0</v>
      </c>
      <c r="I37" s="28"/>
      <c r="J37" s="29"/>
      <c r="K37" s="26">
        <f t="shared" si="4"/>
        <v>20000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418.31400000000002</v>
      </c>
      <c r="I38" s="41"/>
      <c r="J38" s="42"/>
      <c r="K38" s="43"/>
      <c r="L38" s="40">
        <f>SUM(L21:L37)</f>
        <v>320.49964741245026</v>
      </c>
      <c r="M38" s="41"/>
      <c r="N38" s="44">
        <f t="shared" si="2"/>
        <v>-97.814352587549763</v>
      </c>
      <c r="O38" s="45">
        <f t="shared" si="3"/>
        <v>-0.23382997601693886</v>
      </c>
    </row>
    <row r="39" spans="2:15" x14ac:dyDescent="0.25">
      <c r="B39" s="46" t="s">
        <v>23</v>
      </c>
      <c r="C39" s="22"/>
      <c r="D39" s="56" t="s">
        <v>70</v>
      </c>
      <c r="E39" s="57"/>
      <c r="F39" s="29">
        <v>-0.72409999999999997</v>
      </c>
      <c r="G39" s="178">
        <f>G28</f>
        <v>60</v>
      </c>
      <c r="H39" s="27">
        <f t="shared" ref="H39:H45" si="6">G39*F39</f>
        <v>-43.445999999999998</v>
      </c>
      <c r="I39" s="28"/>
      <c r="J39" s="29">
        <v>0.60071527803124358</v>
      </c>
      <c r="K39" s="178">
        <f>H16</f>
        <v>60</v>
      </c>
      <c r="L39" s="27">
        <f t="shared" ref="L39:L45" si="7">K39*J39</f>
        <v>36.042916681874615</v>
      </c>
      <c r="M39" s="28"/>
      <c r="N39" s="31">
        <f t="shared" ref="N39:N45" si="8">L39-H39</f>
        <v>79.488916681874613</v>
      </c>
      <c r="O39" s="32">
        <f t="shared" ref="O39:O44" si="9">IF((H39)=0,"",(N39/H39))</f>
        <v>-1.8296026488485617</v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60</v>
      </c>
      <c r="H40" s="27">
        <f t="shared" si="6"/>
        <v>0</v>
      </c>
      <c r="I40" s="47"/>
      <c r="J40" s="29"/>
      <c r="K40" s="178">
        <f>H16</f>
        <v>60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idden="1" x14ac:dyDescent="0.25">
      <c r="B41" s="46"/>
      <c r="C41" s="22"/>
      <c r="D41" s="23" t="s">
        <v>70</v>
      </c>
      <c r="E41" s="24"/>
      <c r="F41" s="25"/>
      <c r="G41" s="178">
        <f>H16</f>
        <v>60</v>
      </c>
      <c r="H41" s="27">
        <f t="shared" si="6"/>
        <v>0</v>
      </c>
      <c r="I41" s="47"/>
      <c r="J41" s="29"/>
      <c r="K41" s="178">
        <f>H16</f>
        <v>60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t="32.25" customHeight="1" x14ac:dyDescent="0.25">
      <c r="B42" s="46" t="s">
        <v>74</v>
      </c>
      <c r="C42" s="22"/>
      <c r="D42" s="56" t="s">
        <v>70</v>
      </c>
      <c r="E42" s="24"/>
      <c r="F42" s="29">
        <v>0.32969999999999999</v>
      </c>
      <c r="G42" s="178">
        <f>H16</f>
        <v>60</v>
      </c>
      <c r="H42" s="27">
        <f t="shared" si="6"/>
        <v>19.782</v>
      </c>
      <c r="I42" s="47"/>
      <c r="J42" s="29">
        <v>0.72149692613746352</v>
      </c>
      <c r="K42" s="178">
        <f>H16</f>
        <v>60</v>
      </c>
      <c r="L42" s="27">
        <f t="shared" si="7"/>
        <v>43.289815568247811</v>
      </c>
      <c r="M42" s="48"/>
      <c r="N42" s="31">
        <f t="shared" si="8"/>
        <v>23.50781556824781</v>
      </c>
      <c r="O42" s="32">
        <f t="shared" si="9"/>
        <v>1.1883437250150546</v>
      </c>
    </row>
    <row r="43" spans="2:15" x14ac:dyDescent="0.25">
      <c r="B43" s="49" t="s">
        <v>24</v>
      </c>
      <c r="C43" s="22"/>
      <c r="D43" s="23" t="s">
        <v>70</v>
      </c>
      <c r="E43" s="24"/>
      <c r="F43" s="197">
        <v>1.3899999999999999E-2</v>
      </c>
      <c r="G43" s="178">
        <f>H16</f>
        <v>60</v>
      </c>
      <c r="H43" s="27">
        <f t="shared" si="6"/>
        <v>0.83399999999999996</v>
      </c>
      <c r="I43" s="28"/>
      <c r="J43" s="29">
        <v>1.4800000000000001E-2</v>
      </c>
      <c r="K43" s="178">
        <f>H16</f>
        <v>60</v>
      </c>
      <c r="L43" s="27">
        <f t="shared" si="7"/>
        <v>0.88800000000000001</v>
      </c>
      <c r="M43" s="28"/>
      <c r="N43" s="31">
        <f t="shared" si="8"/>
        <v>5.4000000000000048E-2</v>
      </c>
      <c r="O43" s="32">
        <f t="shared" si="9"/>
        <v>6.4748201438848976E-2</v>
      </c>
    </row>
    <row r="44" spans="2:15" s="34" customFormat="1" x14ac:dyDescent="0.25">
      <c r="B44" s="180" t="s">
        <v>25</v>
      </c>
      <c r="C44" s="24"/>
      <c r="D44" s="181" t="s">
        <v>61</v>
      </c>
      <c r="E44" s="24"/>
      <c r="F44" s="182">
        <f>IF(ISBLANK(D14)=TRUE, 0, IF(D14="TOU", 0.64*$F$54+0.18*$F$55+0.18*$F$56, IF(AND(D14="non-TOU", G58&gt;0), F58,F57)))</f>
        <v>7.4999999999999997E-2</v>
      </c>
      <c r="G44" s="26">
        <f>$F$16*(1+$F$73)-$F$16</f>
        <v>960</v>
      </c>
      <c r="H44" s="183">
        <f t="shared" si="6"/>
        <v>72</v>
      </c>
      <c r="I44" s="57"/>
      <c r="J44" s="184">
        <f>IF(ISBLANK(D14)=TRUE, 0, IF(D14="TOU", 0.64*$F$54+0.18*$F$55+0.18*$F$56, IF(AND(D14="non-TOU", K58&gt;0), J58,J57)))</f>
        <v>7.4999999999999997E-2</v>
      </c>
      <c r="K44" s="26">
        <f>$F$16*(1+$J$73)-$F$16</f>
        <v>942</v>
      </c>
      <c r="L44" s="183">
        <f t="shared" si="7"/>
        <v>70.649999999999991</v>
      </c>
      <c r="M44" s="57"/>
      <c r="N44" s="185">
        <f t="shared" si="8"/>
        <v>-1.3500000000000085</v>
      </c>
      <c r="O44" s="186">
        <f t="shared" si="9"/>
        <v>-1.8750000000000117E-2</v>
      </c>
    </row>
    <row r="45" spans="2:15" x14ac:dyDescent="0.25">
      <c r="B45" s="49" t="s">
        <v>26</v>
      </c>
      <c r="C45" s="22"/>
      <c r="D45" s="23" t="s">
        <v>60</v>
      </c>
      <c r="E45" s="24"/>
      <c r="F45" s="177"/>
      <c r="G45" s="26">
        <v>0</v>
      </c>
      <c r="H45" s="27">
        <f t="shared" si="6"/>
        <v>0</v>
      </c>
      <c r="I45" s="28"/>
      <c r="J45" s="177"/>
      <c r="K45" s="26">
        <v>0</v>
      </c>
      <c r="L45" s="27">
        <f t="shared" si="7"/>
        <v>0</v>
      </c>
      <c r="M45" s="28"/>
      <c r="N45" s="31">
        <f t="shared" si="8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SUM(H39:H45)+H38</f>
        <v>467.48400000000004</v>
      </c>
      <c r="I46" s="41"/>
      <c r="J46" s="53"/>
      <c r="K46" s="55"/>
      <c r="L46" s="54">
        <f>SUM(L39:L45)+L38</f>
        <v>471.3703796625727</v>
      </c>
      <c r="M46" s="41"/>
      <c r="N46" s="44">
        <f t="shared" ref="N46:N64" si="10">L46-H46</f>
        <v>3.886379662572665</v>
      </c>
      <c r="O46" s="45">
        <f t="shared" ref="O46:O64" si="11">IF((H46)=0,"",(N46/H46))</f>
        <v>8.3133961003428233E-3</v>
      </c>
    </row>
    <row r="47" spans="2:15" x14ac:dyDescent="0.25">
      <c r="B47" s="28" t="s">
        <v>28</v>
      </c>
      <c r="C47" s="28"/>
      <c r="D47" s="56" t="s">
        <v>70</v>
      </c>
      <c r="E47" s="57"/>
      <c r="F47" s="29">
        <v>2.7265000000000001</v>
      </c>
      <c r="G47" s="58">
        <f>H16</f>
        <v>60</v>
      </c>
      <c r="H47" s="27">
        <f>G47*F47</f>
        <v>163.59</v>
      </c>
      <c r="I47" s="28"/>
      <c r="J47" s="29">
        <v>2.8420722098333284</v>
      </c>
      <c r="K47" s="59">
        <f>H16</f>
        <v>60</v>
      </c>
      <c r="L47" s="27">
        <f>K47*J47</f>
        <v>170.52433258999972</v>
      </c>
      <c r="M47" s="28"/>
      <c r="N47" s="31">
        <f t="shared" si="10"/>
        <v>6.9343325899997126</v>
      </c>
      <c r="O47" s="32">
        <f t="shared" si="11"/>
        <v>4.2388487010206692E-2</v>
      </c>
    </row>
    <row r="48" spans="2:15" x14ac:dyDescent="0.25">
      <c r="B48" s="60" t="s">
        <v>29</v>
      </c>
      <c r="C48" s="28"/>
      <c r="D48" s="56" t="s">
        <v>70</v>
      </c>
      <c r="E48" s="57"/>
      <c r="F48" s="29">
        <v>2.0265</v>
      </c>
      <c r="G48" s="58">
        <f>G47</f>
        <v>60</v>
      </c>
      <c r="H48" s="27">
        <f>G48*F48</f>
        <v>121.59</v>
      </c>
      <c r="I48" s="28"/>
      <c r="J48" s="29">
        <v>2.0309202954608607</v>
      </c>
      <c r="K48" s="59">
        <f>K47</f>
        <v>60</v>
      </c>
      <c r="L48" s="27">
        <f>K48*J48</f>
        <v>121.85521772765165</v>
      </c>
      <c r="M48" s="28"/>
      <c r="N48" s="31">
        <f t="shared" si="10"/>
        <v>0.26521772765164542</v>
      </c>
      <c r="O48" s="32">
        <f t="shared" si="11"/>
        <v>2.1812462180413306E-3</v>
      </c>
    </row>
    <row r="49" spans="2:19" x14ac:dyDescent="0.25">
      <c r="B49" s="50" t="s">
        <v>30</v>
      </c>
      <c r="C49" s="36"/>
      <c r="D49" s="36"/>
      <c r="E49" s="36"/>
      <c r="F49" s="61"/>
      <c r="G49" s="53"/>
      <c r="H49" s="54">
        <f>SUM(H46:H48)</f>
        <v>752.6640000000001</v>
      </c>
      <c r="I49" s="62"/>
      <c r="J49" s="63"/>
      <c r="K49" s="64"/>
      <c r="L49" s="54">
        <f>SUM(L46:L48)</f>
        <v>763.74992998022401</v>
      </c>
      <c r="M49" s="62"/>
      <c r="N49" s="44">
        <f t="shared" si="10"/>
        <v>11.085929980223909</v>
      </c>
      <c r="O49" s="45">
        <f t="shared" si="11"/>
        <v>1.4728922839705245E-2</v>
      </c>
    </row>
    <row r="50" spans="2:19" x14ac:dyDescent="0.25">
      <c r="B50" s="65" t="s">
        <v>31</v>
      </c>
      <c r="C50" s="22"/>
      <c r="D50" s="23" t="s">
        <v>61</v>
      </c>
      <c r="E50" s="24"/>
      <c r="F50" s="66">
        <v>4.4000000000000003E-3</v>
      </c>
      <c r="G50" s="58">
        <f>F16*(1+F73)</f>
        <v>20960</v>
      </c>
      <c r="H50" s="67">
        <f t="shared" ref="H50:H56" si="12">G50*F50</f>
        <v>92.224000000000004</v>
      </c>
      <c r="I50" s="28"/>
      <c r="J50" s="66">
        <v>4.4000000000000003E-3</v>
      </c>
      <c r="K50" s="59">
        <f>F16*(1+J73)</f>
        <v>20942</v>
      </c>
      <c r="L50" s="67">
        <f t="shared" ref="L50:L56" si="13">K50*J50</f>
        <v>92.144800000000004</v>
      </c>
      <c r="M50" s="28"/>
      <c r="N50" s="31">
        <f t="shared" si="10"/>
        <v>-7.9200000000000159E-2</v>
      </c>
      <c r="O50" s="68">
        <f t="shared" si="11"/>
        <v>-8.5877862595420019E-4</v>
      </c>
    </row>
    <row r="51" spans="2:19" x14ac:dyDescent="0.25">
      <c r="B51" s="65" t="s">
        <v>32</v>
      </c>
      <c r="C51" s="22"/>
      <c r="D51" s="23" t="s">
        <v>61</v>
      </c>
      <c r="E51" s="24"/>
      <c r="F51" s="66">
        <v>1.2999999999999999E-3</v>
      </c>
      <c r="G51" s="58">
        <f>G50</f>
        <v>20960</v>
      </c>
      <c r="H51" s="67">
        <f t="shared" si="12"/>
        <v>27.247999999999998</v>
      </c>
      <c r="I51" s="28"/>
      <c r="J51" s="66">
        <v>1.2999999999999999E-3</v>
      </c>
      <c r="K51" s="59">
        <f>K50</f>
        <v>20942</v>
      </c>
      <c r="L51" s="67">
        <f t="shared" si="13"/>
        <v>27.224599999999999</v>
      </c>
      <c r="M51" s="28"/>
      <c r="N51" s="31">
        <f t="shared" si="10"/>
        <v>-2.3399999999998755E-2</v>
      </c>
      <c r="O51" s="68">
        <f t="shared" si="11"/>
        <v>-8.5877862595415291E-4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7">
        <f t="shared" si="12"/>
        <v>0.25</v>
      </c>
      <c r="I52" s="28"/>
      <c r="J52" s="176">
        <v>0.25</v>
      </c>
      <c r="K52" s="30">
        <v>1</v>
      </c>
      <c r="L52" s="67">
        <f t="shared" si="13"/>
        <v>0.25</v>
      </c>
      <c r="M52" s="28"/>
      <c r="N52" s="31">
        <f t="shared" si="10"/>
        <v>0</v>
      </c>
      <c r="O52" s="68">
        <f t="shared" si="11"/>
        <v>0</v>
      </c>
    </row>
    <row r="53" spans="2:19" x14ac:dyDescent="0.25">
      <c r="B53" s="22" t="s">
        <v>34</v>
      </c>
      <c r="C53" s="22"/>
      <c r="D53" s="23" t="s">
        <v>61</v>
      </c>
      <c r="E53" s="24"/>
      <c r="F53" s="66">
        <v>7.0000000000000001E-3</v>
      </c>
      <c r="G53" s="69">
        <f>F16</f>
        <v>20000</v>
      </c>
      <c r="H53" s="67">
        <f t="shared" si="12"/>
        <v>140</v>
      </c>
      <c r="I53" s="28"/>
      <c r="J53" s="66">
        <v>7.0000000000000001E-3</v>
      </c>
      <c r="K53" s="70">
        <f>F16</f>
        <v>20000</v>
      </c>
      <c r="L53" s="67">
        <f t="shared" si="13"/>
        <v>140</v>
      </c>
      <c r="M53" s="28"/>
      <c r="N53" s="31">
        <f t="shared" si="10"/>
        <v>0</v>
      </c>
      <c r="O53" s="68">
        <f t="shared" si="11"/>
        <v>0</v>
      </c>
    </row>
    <row r="54" spans="2:19" ht="15.75" thickBot="1" x14ac:dyDescent="0.3">
      <c r="B54" s="49" t="s">
        <v>73</v>
      </c>
      <c r="C54" s="22"/>
      <c r="D54" s="23" t="s">
        <v>61</v>
      </c>
      <c r="E54" s="24"/>
      <c r="F54" s="66">
        <v>8.2699999999999996E-2</v>
      </c>
      <c r="G54" s="69">
        <f>F16</f>
        <v>20000</v>
      </c>
      <c r="H54" s="67">
        <f t="shared" si="12"/>
        <v>1654</v>
      </c>
      <c r="I54" s="28"/>
      <c r="J54" s="66">
        <v>8.2699999999999996E-2</v>
      </c>
      <c r="K54" s="69">
        <f>G54</f>
        <v>20000</v>
      </c>
      <c r="L54" s="67">
        <f t="shared" si="13"/>
        <v>1654</v>
      </c>
      <c r="M54" s="28"/>
      <c r="N54" s="31">
        <f t="shared" si="10"/>
        <v>0</v>
      </c>
      <c r="O54" s="68">
        <f t="shared" si="11"/>
        <v>0</v>
      </c>
      <c r="S54" s="72"/>
    </row>
    <row r="55" spans="2:19" hidden="1" x14ac:dyDescent="0.25">
      <c r="B55" s="49" t="s">
        <v>36</v>
      </c>
      <c r="C55" s="22"/>
      <c r="D55" s="23"/>
      <c r="E55" s="24"/>
      <c r="F55" s="71">
        <v>0.104</v>
      </c>
      <c r="G55" s="69">
        <v>0</v>
      </c>
      <c r="H55" s="67">
        <f t="shared" si="12"/>
        <v>0</v>
      </c>
      <c r="I55" s="28"/>
      <c r="J55" s="66">
        <v>0.104</v>
      </c>
      <c r="K55" s="69">
        <v>0</v>
      </c>
      <c r="L55" s="67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hidden="1" x14ac:dyDescent="0.25">
      <c r="B56" s="12" t="s">
        <v>37</v>
      </c>
      <c r="C56" s="22"/>
      <c r="D56" s="23"/>
      <c r="E56" s="24"/>
      <c r="F56" s="71">
        <v>0.124</v>
      </c>
      <c r="G56" s="69">
        <v>0</v>
      </c>
      <c r="H56" s="67">
        <f t="shared" si="12"/>
        <v>0</v>
      </c>
      <c r="I56" s="28"/>
      <c r="J56" s="66">
        <v>0.124</v>
      </c>
      <c r="K56" s="69">
        <v>0</v>
      </c>
      <c r="L56" s="67">
        <f t="shared" si="13"/>
        <v>0</v>
      </c>
      <c r="M56" s="28"/>
      <c r="N56" s="31">
        <f t="shared" si="10"/>
        <v>0</v>
      </c>
      <c r="O56" s="68" t="str">
        <f t="shared" si="11"/>
        <v/>
      </c>
      <c r="S56" s="72"/>
    </row>
    <row r="57" spans="2:19" s="73" customFormat="1" hidden="1" x14ac:dyDescent="0.2">
      <c r="B57" s="179" t="s">
        <v>38</v>
      </c>
      <c r="C57" s="75"/>
      <c r="D57" s="76"/>
      <c r="E57" s="77"/>
      <c r="F57" s="71">
        <v>7.4999999999999997E-2</v>
      </c>
      <c r="G57" s="78">
        <v>0</v>
      </c>
      <c r="H57" s="67">
        <f>G57*F57</f>
        <v>0</v>
      </c>
      <c r="I57" s="79"/>
      <c r="J57" s="66">
        <v>7.4999999999999997E-2</v>
      </c>
      <c r="K57" s="78">
        <f>G57</f>
        <v>0</v>
      </c>
      <c r="L57" s="67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s="73" customFormat="1" ht="15.75" hidden="1" thickBot="1" x14ac:dyDescent="0.25">
      <c r="B58" s="179" t="s">
        <v>39</v>
      </c>
      <c r="C58" s="75"/>
      <c r="D58" s="76"/>
      <c r="E58" s="77"/>
      <c r="F58" s="71">
        <v>8.7999999999999995E-2</v>
      </c>
      <c r="G58" s="78">
        <v>0</v>
      </c>
      <c r="H58" s="67">
        <f>G58*F58</f>
        <v>0</v>
      </c>
      <c r="I58" s="79"/>
      <c r="J58" s="66">
        <v>8.7999999999999995E-2</v>
      </c>
      <c r="K58" s="78">
        <f>G58</f>
        <v>0</v>
      </c>
      <c r="L58" s="67">
        <f>K58*J58</f>
        <v>0</v>
      </c>
      <c r="M58" s="79"/>
      <c r="N58" s="80">
        <f t="shared" si="10"/>
        <v>0</v>
      </c>
      <c r="O58" s="68" t="str">
        <f t="shared" si="11"/>
        <v/>
      </c>
    </row>
    <row r="59" spans="2:19" ht="15.75" hidden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idden="1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2666.386</v>
      </c>
      <c r="I60" s="95"/>
      <c r="J60" s="96"/>
      <c r="K60" s="96"/>
      <c r="L60" s="94">
        <f>SUM(L50:L56,L49)</f>
        <v>2677.3693299802239</v>
      </c>
      <c r="M60" s="97"/>
      <c r="N60" s="98">
        <f>L60-H60</f>
        <v>10.983329980223971</v>
      </c>
      <c r="O60" s="99">
        <f>IF((H60)=0,"",(N60/H60))</f>
        <v>4.1191822865196456E-3</v>
      </c>
      <c r="S60" s="72"/>
    </row>
    <row r="61" spans="2:19" hidden="1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346.63018</v>
      </c>
      <c r="I61" s="104"/>
      <c r="J61" s="105">
        <v>0.13</v>
      </c>
      <c r="K61" s="104"/>
      <c r="L61" s="106">
        <f>L60*J61</f>
        <v>348.05801289742914</v>
      </c>
      <c r="M61" s="107"/>
      <c r="N61" s="108">
        <f t="shared" si="10"/>
        <v>1.4278328974291412</v>
      </c>
      <c r="O61" s="109">
        <f t="shared" si="11"/>
        <v>4.1191822865197176E-3</v>
      </c>
      <c r="S61" s="72"/>
    </row>
    <row r="62" spans="2:19" hidden="1" x14ac:dyDescent="0.25">
      <c r="B62" s="110" t="s">
        <v>42</v>
      </c>
      <c r="C62" s="22"/>
      <c r="D62" s="22"/>
      <c r="E62" s="22"/>
      <c r="F62" s="111"/>
      <c r="G62" s="102"/>
      <c r="H62" s="103">
        <f>H60+H61</f>
        <v>3013.0161800000001</v>
      </c>
      <c r="I62" s="104"/>
      <c r="J62" s="104"/>
      <c r="K62" s="104"/>
      <c r="L62" s="106">
        <f>L60+L61</f>
        <v>3025.4273428776532</v>
      </c>
      <c r="M62" s="107"/>
      <c r="N62" s="108">
        <f t="shared" si="10"/>
        <v>12.411162877653169</v>
      </c>
      <c r="O62" s="109">
        <f t="shared" si="11"/>
        <v>4.1191822865196724E-3</v>
      </c>
      <c r="S62" s="72"/>
    </row>
    <row r="63" spans="2:19" hidden="1" x14ac:dyDescent="0.25">
      <c r="B63" s="248" t="s">
        <v>43</v>
      </c>
      <c r="C63" s="248"/>
      <c r="D63" s="248"/>
      <c r="E63" s="22"/>
      <c r="F63" s="111"/>
      <c r="G63" s="102"/>
      <c r="H63" s="112">
        <f>ROUND(-H62*10%,2)</f>
        <v>-301.3</v>
      </c>
      <c r="I63" s="104"/>
      <c r="J63" s="104"/>
      <c r="K63" s="104"/>
      <c r="L63" s="113">
        <f>ROUND(-L62*10%,2)</f>
        <v>-302.54000000000002</v>
      </c>
      <c r="M63" s="107"/>
      <c r="N63" s="114">
        <f t="shared" si="10"/>
        <v>-1.2400000000000091</v>
      </c>
      <c r="O63" s="115">
        <f t="shared" si="11"/>
        <v>4.1154995021573486E-3</v>
      </c>
    </row>
    <row r="64" spans="2:19" ht="15.75" hidden="1" thickBot="1" x14ac:dyDescent="0.3">
      <c r="B64" s="240" t="s">
        <v>44</v>
      </c>
      <c r="C64" s="240"/>
      <c r="D64" s="240"/>
      <c r="E64" s="116"/>
      <c r="F64" s="117"/>
      <c r="G64" s="118"/>
      <c r="H64" s="119">
        <f>H62+H63</f>
        <v>2711.7161799999999</v>
      </c>
      <c r="I64" s="120"/>
      <c r="J64" s="120"/>
      <c r="K64" s="120"/>
      <c r="L64" s="121">
        <f>L62+L63</f>
        <v>2722.8873428776533</v>
      </c>
      <c r="M64" s="122"/>
      <c r="N64" s="123">
        <f t="shared" si="10"/>
        <v>11.171162877653387</v>
      </c>
      <c r="O64" s="124">
        <f t="shared" si="11"/>
        <v>4.1195914823406732E-3</v>
      </c>
    </row>
    <row r="65" spans="1:15" s="73" customFormat="1" ht="15.75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SUM(H54,H49,H50:H53)</f>
        <v>2666.3860000000004</v>
      </c>
      <c r="I66" s="136"/>
      <c r="J66" s="137"/>
      <c r="K66" s="137"/>
      <c r="L66" s="188">
        <f>SUM(L54,L49,L50:L53)</f>
        <v>2677.3693299802239</v>
      </c>
      <c r="M66" s="138"/>
      <c r="N66" s="139">
        <f>L66-H66</f>
        <v>10.983329980223516</v>
      </c>
      <c r="O66" s="99">
        <f>IF((H66)=0,"",(N66/H66))</f>
        <v>4.1191822865194738E-3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346.63018000000005</v>
      </c>
      <c r="I67" s="143"/>
      <c r="J67" s="144">
        <v>0.13</v>
      </c>
      <c r="K67" s="145"/>
      <c r="L67" s="146">
        <f>L66*J67</f>
        <v>348.05801289742914</v>
      </c>
      <c r="M67" s="147"/>
      <c r="N67" s="148">
        <f>L67-H67</f>
        <v>1.4278328974290844</v>
      </c>
      <c r="O67" s="109">
        <f>IF((H67)=0,"",(N67/H67))</f>
        <v>4.1191822865195528E-3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3013.0161800000005</v>
      </c>
      <c r="I68" s="143"/>
      <c r="J68" s="143"/>
      <c r="K68" s="143"/>
      <c r="L68" s="146">
        <f>L66+L67</f>
        <v>3025.4273428776532</v>
      </c>
      <c r="M68" s="147"/>
      <c r="N68" s="148">
        <f>L68-H68</f>
        <v>12.411162877652714</v>
      </c>
      <c r="O68" s="109">
        <f>IF((H68)=0,"",(N68/H68))</f>
        <v>4.1191822865195207E-3</v>
      </c>
    </row>
    <row r="69" spans="1:15" s="73" customFormat="1" ht="12.75" x14ac:dyDescent="0.2">
      <c r="B69" s="249" t="s">
        <v>43</v>
      </c>
      <c r="C69" s="249"/>
      <c r="D69" s="249"/>
      <c r="E69" s="75"/>
      <c r="F69" s="150"/>
      <c r="G69" s="151"/>
      <c r="H69" s="152">
        <f>ROUND(-H68*10%,2)</f>
        <v>-301.3</v>
      </c>
      <c r="I69" s="143"/>
      <c r="J69" s="143"/>
      <c r="K69" s="143"/>
      <c r="L69" s="153">
        <f>ROUND(-L68*10%,2)</f>
        <v>-302.54000000000002</v>
      </c>
      <c r="M69" s="147"/>
      <c r="N69" s="154">
        <f>L69-H69</f>
        <v>-1.2400000000000091</v>
      </c>
      <c r="O69" s="115">
        <f>IF((H69)=0,"",(N69/H69))</f>
        <v>4.1154995021573486E-3</v>
      </c>
    </row>
    <row r="70" spans="1:15" s="73" customFormat="1" ht="13.5" thickBot="1" x14ac:dyDescent="0.25">
      <c r="B70" s="241" t="s">
        <v>46</v>
      </c>
      <c r="C70" s="241"/>
      <c r="D70" s="241"/>
      <c r="E70" s="155"/>
      <c r="F70" s="156"/>
      <c r="G70" s="157"/>
      <c r="H70" s="158">
        <f>SUM(H68:H69)</f>
        <v>2711.7161800000003</v>
      </c>
      <c r="I70" s="159"/>
      <c r="J70" s="159"/>
      <c r="K70" s="159"/>
      <c r="L70" s="160">
        <f>SUM(L68:L69)</f>
        <v>2722.8873428776533</v>
      </c>
      <c r="M70" s="161"/>
      <c r="N70" s="162">
        <f>L70-H70</f>
        <v>11.171162877652932</v>
      </c>
      <c r="O70" s="163">
        <f>IF((H70)=0,"",(N70/H70))</f>
        <v>4.1195914823405049E-3</v>
      </c>
    </row>
    <row r="71" spans="1:15" s="73" customFormat="1" ht="15.75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x14ac:dyDescent="0.25">
      <c r="L72" s="72"/>
    </row>
    <row r="73" spans="1:15" x14ac:dyDescent="0.25">
      <c r="B73" s="13" t="s">
        <v>47</v>
      </c>
      <c r="F73" s="170">
        <v>4.8000000000000001E-2</v>
      </c>
      <c r="J73" s="170">
        <f>'Res (100kWh)'!$J$74</f>
        <v>4.7100000000000003E-2</v>
      </c>
    </row>
    <row r="75" spans="1:15" x14ac:dyDescent="0.25">
      <c r="A75" s="171" t="s">
        <v>48</v>
      </c>
    </row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N1:O1"/>
    <mergeCell ref="N2:O2"/>
    <mergeCell ref="F18:H18"/>
    <mergeCell ref="B9:O9"/>
    <mergeCell ref="J18:L18"/>
    <mergeCell ref="N3:O3"/>
    <mergeCell ref="N5:O5"/>
    <mergeCell ref="B8:O8"/>
    <mergeCell ref="N18:O18"/>
    <mergeCell ref="D12:O12"/>
    <mergeCell ref="B64:D64"/>
    <mergeCell ref="B70:D70"/>
    <mergeCell ref="D19:D20"/>
    <mergeCell ref="N19:N20"/>
    <mergeCell ref="O19:O20"/>
    <mergeCell ref="B63:D63"/>
    <mergeCell ref="B69:D69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47:E48 E39:E45 E50:E59 E21:E24 E26:E37">
      <formula1>#REF!</formula1>
    </dataValidation>
    <dataValidation type="list" allowBlank="1" showInputMessage="1" showErrorMessage="1" prompt="Select Charge Unit - monthly, per kWh, per kW" sqref="D47:D48 D39:D45 D65 D50:D59 D71 D21:D37">
      <formula1>"Monthly, per kWh, per kW"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8" fitToHeight="0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theme="0" tint="-0.14999847407452621"/>
    <pageSetUpPr fitToPage="1"/>
  </sheetPr>
  <dimension ref="A1:T89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1.57031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1.5703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0.140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21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P1" s="190"/>
      <c r="T1" s="2">
        <v>1</v>
      </c>
    </row>
    <row r="2" spans="1:20" s="2" customFormat="1" ht="18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  <c r="P2" s="191"/>
    </row>
    <row r="3" spans="1:20" s="2" customFormat="1" ht="15.75" x14ac:dyDescent="0.25">
      <c r="C3" s="6"/>
      <c r="D3" s="6"/>
      <c r="E3" s="6"/>
      <c r="L3" s="3" t="s">
        <v>95</v>
      </c>
      <c r="N3" s="234" t="str">
        <f>'Res (100kWh)'!$N$3:$O$3</f>
        <v>8-D</v>
      </c>
      <c r="O3" s="234"/>
      <c r="P3" s="190"/>
    </row>
    <row r="4" spans="1:20" s="2" customForma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34">
        <f>'Res (100kWh)'!$N$5:$O$5</f>
        <v>41985</v>
      </c>
      <c r="O5" s="234"/>
      <c r="P5" s="193"/>
    </row>
    <row r="6" spans="1:20" s="2" customFormat="1" x14ac:dyDescent="0.25">
      <c r="N6" s="7"/>
      <c r="O6"/>
      <c r="P6"/>
    </row>
    <row r="7" spans="1:20" x14ac:dyDescent="0.25">
      <c r="L7"/>
      <c r="M7"/>
      <c r="N7"/>
      <c r="O7"/>
      <c r="P7"/>
    </row>
    <row r="8" spans="1:20" ht="18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x14ac:dyDescent="0.25">
      <c r="L10"/>
      <c r="M10"/>
      <c r="N10"/>
      <c r="O10"/>
      <c r="P10"/>
    </row>
    <row r="11" spans="1:20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87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15.75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40000</v>
      </c>
      <c r="G16" s="13" t="s">
        <v>7</v>
      </c>
      <c r="H16" s="14">
        <v>100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x14ac:dyDescent="0.25">
      <c r="B21" s="22" t="s">
        <v>18</v>
      </c>
      <c r="C21" s="22"/>
      <c r="D21" s="23" t="s">
        <v>60</v>
      </c>
      <c r="E21" s="24"/>
      <c r="F21" s="174">
        <v>293.97000000000003</v>
      </c>
      <c r="G21" s="26">
        <v>1</v>
      </c>
      <c r="H21" s="27">
        <f>G21*F21</f>
        <v>293.97000000000003</v>
      </c>
      <c r="I21" s="28"/>
      <c r="J21" s="173">
        <v>343.63</v>
      </c>
      <c r="K21" s="30">
        <v>1</v>
      </c>
      <c r="L21" s="27">
        <f>K21*J21</f>
        <v>343.63</v>
      </c>
      <c r="M21" s="28"/>
      <c r="N21" s="31">
        <f>L21-H21</f>
        <v>49.659999999999968</v>
      </c>
      <c r="O21" s="32">
        <f>IF((H21)=0,"",(N21/H21))</f>
        <v>0.16892880225873377</v>
      </c>
    </row>
    <row r="22" spans="2:15" ht="30" x14ac:dyDescent="0.25">
      <c r="B22" s="65" t="s">
        <v>80</v>
      </c>
      <c r="C22" s="22"/>
      <c r="D22" s="56" t="s">
        <v>60</v>
      </c>
      <c r="E22" s="24"/>
      <c r="F22" s="173"/>
      <c r="G22" s="26">
        <v>1</v>
      </c>
      <c r="H22" s="27">
        <f t="shared" ref="H22:H37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64" si="2">L23-H23</f>
        <v>0</v>
      </c>
      <c r="O23" s="32" t="str">
        <f t="shared" ref="O23:O44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70</v>
      </c>
      <c r="E25" s="24"/>
      <c r="F25" s="25"/>
      <c r="G25" s="178">
        <f>$H$16</f>
        <v>100</v>
      </c>
      <c r="H25" s="27">
        <f t="shared" si="0"/>
        <v>0</v>
      </c>
      <c r="I25" s="28"/>
      <c r="J25" s="29">
        <v>7.6628943054380921E-2</v>
      </c>
      <c r="K25" s="178">
        <f>$H$16</f>
        <v>100</v>
      </c>
      <c r="L25" s="27">
        <f t="shared" si="1"/>
        <v>7.6628943054380922</v>
      </c>
      <c r="M25" s="28"/>
      <c r="N25" s="31">
        <f t="shared" si="2"/>
        <v>7.6628943054380922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70</v>
      </c>
      <c r="E26" s="24"/>
      <c r="F26" s="25">
        <v>-2.4199999999999999E-2</v>
      </c>
      <c r="G26" s="178">
        <f>$H$16</f>
        <v>100</v>
      </c>
      <c r="H26" s="27">
        <f t="shared" si="0"/>
        <v>-2.42</v>
      </c>
      <c r="I26" s="28"/>
      <c r="J26" s="29"/>
      <c r="K26" s="178">
        <f>$H$16</f>
        <v>100</v>
      </c>
      <c r="L26" s="27">
        <f t="shared" si="1"/>
        <v>0</v>
      </c>
      <c r="M26" s="28"/>
      <c r="N26" s="31">
        <f t="shared" si="2"/>
        <v>2.42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70</v>
      </c>
      <c r="E27" s="24"/>
      <c r="F27" s="25"/>
      <c r="G27" s="178">
        <f>$H$16</f>
        <v>100</v>
      </c>
      <c r="H27" s="27">
        <f t="shared" si="0"/>
        <v>0</v>
      </c>
      <c r="I27" s="28"/>
      <c r="J27" s="29">
        <v>-2.883434819513544</v>
      </c>
      <c r="K27" s="178">
        <f>$H$16</f>
        <v>100</v>
      </c>
      <c r="L27" s="27">
        <f t="shared" si="1"/>
        <v>-288.34348195135442</v>
      </c>
      <c r="M27" s="28"/>
      <c r="N27" s="31">
        <f t="shared" si="2"/>
        <v>-288.34348195135442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70</v>
      </c>
      <c r="E28" s="24"/>
      <c r="F28" s="25">
        <v>2.0966</v>
      </c>
      <c r="G28" s="178">
        <f>$H$16</f>
        <v>100</v>
      </c>
      <c r="H28" s="27">
        <f t="shared" si="0"/>
        <v>209.66</v>
      </c>
      <c r="I28" s="28"/>
      <c r="J28" s="29">
        <v>2.4213</v>
      </c>
      <c r="K28" s="178">
        <f>$H$16</f>
        <v>100</v>
      </c>
      <c r="L28" s="27">
        <f t="shared" si="1"/>
        <v>242.13</v>
      </c>
      <c r="M28" s="28"/>
      <c r="N28" s="31">
        <f t="shared" si="2"/>
        <v>32.47</v>
      </c>
      <c r="O28" s="32">
        <f t="shared" si="3"/>
        <v>0.15486978918248592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40000</v>
      </c>
      <c r="H29" s="27">
        <f t="shared" si="0"/>
        <v>0</v>
      </c>
      <c r="I29" s="28"/>
      <c r="J29" s="29"/>
      <c r="K29" s="26">
        <f t="shared" ref="K29:K37" si="4">$F$16</f>
        <v>40000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40000</v>
      </c>
      <c r="H30" s="27">
        <f t="shared" si="0"/>
        <v>0</v>
      </c>
      <c r="I30" s="28"/>
      <c r="J30" s="29"/>
      <c r="K30" s="26">
        <f t="shared" si="4"/>
        <v>40000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5">$F$16</f>
        <v>40000</v>
      </c>
      <c r="H31" s="27">
        <f t="shared" si="0"/>
        <v>0</v>
      </c>
      <c r="I31" s="28"/>
      <c r="J31" s="29"/>
      <c r="K31" s="26">
        <f t="shared" si="4"/>
        <v>40000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40000</v>
      </c>
      <c r="H32" s="27">
        <f t="shared" si="0"/>
        <v>0</v>
      </c>
      <c r="I32" s="28"/>
      <c r="J32" s="29"/>
      <c r="K32" s="26">
        <f t="shared" si="4"/>
        <v>40000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40000</v>
      </c>
      <c r="H33" s="27">
        <f t="shared" si="0"/>
        <v>0</v>
      </c>
      <c r="I33" s="28"/>
      <c r="J33" s="29"/>
      <c r="K33" s="26">
        <f t="shared" si="4"/>
        <v>40000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40000</v>
      </c>
      <c r="H34" s="27">
        <f t="shared" si="0"/>
        <v>0</v>
      </c>
      <c r="I34" s="28"/>
      <c r="J34" s="29"/>
      <c r="K34" s="26">
        <f t="shared" si="4"/>
        <v>40000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40000</v>
      </c>
      <c r="H35" s="27">
        <f t="shared" si="0"/>
        <v>0</v>
      </c>
      <c r="I35" s="28"/>
      <c r="J35" s="29"/>
      <c r="K35" s="26">
        <f t="shared" si="4"/>
        <v>40000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40000</v>
      </c>
      <c r="H36" s="27">
        <f t="shared" si="0"/>
        <v>0</v>
      </c>
      <c r="I36" s="28"/>
      <c r="J36" s="29"/>
      <c r="K36" s="26">
        <f t="shared" si="4"/>
        <v>40000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5"/>
        <v>40000</v>
      </c>
      <c r="H37" s="27">
        <f t="shared" si="0"/>
        <v>0</v>
      </c>
      <c r="I37" s="28"/>
      <c r="J37" s="29"/>
      <c r="K37" s="26">
        <f t="shared" si="4"/>
        <v>40000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501.21000000000004</v>
      </c>
      <c r="I38" s="41"/>
      <c r="J38" s="42"/>
      <c r="K38" s="43"/>
      <c r="L38" s="40">
        <f>SUM(L21:L37)</f>
        <v>305.07941235408367</v>
      </c>
      <c r="M38" s="41"/>
      <c r="N38" s="44">
        <f t="shared" si="2"/>
        <v>-196.13058764591636</v>
      </c>
      <c r="O38" s="45">
        <f t="shared" si="3"/>
        <v>-0.39131419494007769</v>
      </c>
    </row>
    <row r="39" spans="2:15" x14ac:dyDescent="0.25">
      <c r="B39" s="46" t="s">
        <v>23</v>
      </c>
      <c r="C39" s="22"/>
      <c r="D39" s="56" t="s">
        <v>70</v>
      </c>
      <c r="E39" s="57"/>
      <c r="F39" s="29">
        <v>-0.72409999999999997</v>
      </c>
      <c r="G39" s="178">
        <f>G28</f>
        <v>100</v>
      </c>
      <c r="H39" s="27">
        <f t="shared" ref="H39:H45" si="6">G39*F39</f>
        <v>-72.41</v>
      </c>
      <c r="I39" s="28"/>
      <c r="J39" s="29">
        <v>0.60071527803124358</v>
      </c>
      <c r="K39" s="178">
        <f>H16</f>
        <v>100</v>
      </c>
      <c r="L39" s="27">
        <f t="shared" ref="L39:L45" si="7">K39*J39</f>
        <v>60.071527803124361</v>
      </c>
      <c r="M39" s="28"/>
      <c r="N39" s="31">
        <f t="shared" si="2"/>
        <v>132.48152780312435</v>
      </c>
      <c r="O39" s="32">
        <f t="shared" si="3"/>
        <v>-1.8296026488485617</v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100</v>
      </c>
      <c r="H40" s="27">
        <f t="shared" si="6"/>
        <v>0</v>
      </c>
      <c r="I40" s="47"/>
      <c r="J40" s="29"/>
      <c r="K40" s="178">
        <f>H16</f>
        <v>100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idden="1" x14ac:dyDescent="0.25">
      <c r="B41" s="46"/>
      <c r="C41" s="22"/>
      <c r="D41" s="23" t="s">
        <v>70</v>
      </c>
      <c r="E41" s="24"/>
      <c r="F41" s="25"/>
      <c r="G41" s="178">
        <f>H16</f>
        <v>100</v>
      </c>
      <c r="H41" s="27">
        <f t="shared" si="6"/>
        <v>0</v>
      </c>
      <c r="I41" s="47"/>
      <c r="J41" s="29"/>
      <c r="K41" s="178">
        <f>H16</f>
        <v>100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32.25" customHeight="1" x14ac:dyDescent="0.25">
      <c r="B42" s="46" t="s">
        <v>74</v>
      </c>
      <c r="C42" s="22"/>
      <c r="D42" s="56" t="s">
        <v>70</v>
      </c>
      <c r="E42" s="24"/>
      <c r="F42" s="29">
        <v>0.32969999999999999</v>
      </c>
      <c r="G42" s="178">
        <f>H16</f>
        <v>100</v>
      </c>
      <c r="H42" s="27">
        <f t="shared" si="6"/>
        <v>32.97</v>
      </c>
      <c r="I42" s="47"/>
      <c r="J42" s="29">
        <v>0.72149692613746352</v>
      </c>
      <c r="K42" s="178">
        <f>H16</f>
        <v>100</v>
      </c>
      <c r="L42" s="27">
        <f t="shared" si="7"/>
        <v>72.149692613746353</v>
      </c>
      <c r="M42" s="48"/>
      <c r="N42" s="31">
        <f t="shared" si="2"/>
        <v>39.179692613746354</v>
      </c>
      <c r="O42" s="32">
        <f t="shared" si="3"/>
        <v>1.1883437250150548</v>
      </c>
    </row>
    <row r="43" spans="2:15" x14ac:dyDescent="0.25">
      <c r="B43" s="49" t="s">
        <v>24</v>
      </c>
      <c r="C43" s="22"/>
      <c r="D43" s="23" t="s">
        <v>70</v>
      </c>
      <c r="E43" s="24"/>
      <c r="F43" s="197">
        <v>1.3899999999999999E-2</v>
      </c>
      <c r="G43" s="178">
        <f>H16</f>
        <v>100</v>
      </c>
      <c r="H43" s="27">
        <f t="shared" si="6"/>
        <v>1.39</v>
      </c>
      <c r="I43" s="28"/>
      <c r="J43" s="29">
        <v>1.4800000000000001E-2</v>
      </c>
      <c r="K43" s="178">
        <f>H16</f>
        <v>100</v>
      </c>
      <c r="L43" s="27">
        <f t="shared" si="7"/>
        <v>1.48</v>
      </c>
      <c r="M43" s="28"/>
      <c r="N43" s="31">
        <f t="shared" si="2"/>
        <v>9.000000000000008E-2</v>
      </c>
      <c r="O43" s="32">
        <f t="shared" si="3"/>
        <v>6.4748201438848976E-2</v>
      </c>
    </row>
    <row r="44" spans="2:15" s="34" customFormat="1" x14ac:dyDescent="0.25">
      <c r="B44" s="180" t="s">
        <v>25</v>
      </c>
      <c r="C44" s="24"/>
      <c r="D44" s="181" t="s">
        <v>61</v>
      </c>
      <c r="E44" s="24"/>
      <c r="F44" s="182">
        <f>IF(ISBLANK(D14)=TRUE, 0, IF(D14="TOU", 0.64*$F$54+0.18*$F$55+0.18*$F$56, IF(AND(D14="non-TOU", G58&gt;0), F58,F57)))</f>
        <v>7.4999999999999997E-2</v>
      </c>
      <c r="G44" s="26">
        <f>$F$16*(1+$F$73)-$F$16</f>
        <v>1920</v>
      </c>
      <c r="H44" s="183">
        <f t="shared" si="6"/>
        <v>144</v>
      </c>
      <c r="I44" s="57"/>
      <c r="J44" s="184">
        <f>IF(ISBLANK(D14)=TRUE, 0, IF(D14="TOU", 0.64*$F$54+0.18*$F$55+0.18*$F$56, IF(AND(D14="non-TOU", K58&gt;0), J58,J57)))</f>
        <v>7.4999999999999997E-2</v>
      </c>
      <c r="K44" s="26">
        <f>$F$16*(1+$J$73)-$F$16</f>
        <v>1884</v>
      </c>
      <c r="L44" s="183">
        <f t="shared" si="7"/>
        <v>141.29999999999998</v>
      </c>
      <c r="M44" s="57"/>
      <c r="N44" s="185">
        <f t="shared" si="2"/>
        <v>-2.7000000000000171</v>
      </c>
      <c r="O44" s="186">
        <f t="shared" si="3"/>
        <v>-1.8750000000000117E-2</v>
      </c>
    </row>
    <row r="45" spans="2:15" x14ac:dyDescent="0.25">
      <c r="B45" s="49" t="s">
        <v>26</v>
      </c>
      <c r="C45" s="22"/>
      <c r="D45" s="23" t="s">
        <v>60</v>
      </c>
      <c r="E45" s="24"/>
      <c r="F45" s="177"/>
      <c r="G45" s="26">
        <v>0</v>
      </c>
      <c r="H45" s="27">
        <f t="shared" si="6"/>
        <v>0</v>
      </c>
      <c r="I45" s="28"/>
      <c r="J45" s="177"/>
      <c r="K45" s="26">
        <v>0</v>
      </c>
      <c r="L45" s="27">
        <f t="shared" si="7"/>
        <v>0</v>
      </c>
      <c r="M45" s="28"/>
      <c r="N45" s="31">
        <f t="shared" si="2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SUM(H39:H45)+H38</f>
        <v>607.16000000000008</v>
      </c>
      <c r="I46" s="41"/>
      <c r="J46" s="53"/>
      <c r="K46" s="55"/>
      <c r="L46" s="54">
        <f>SUM(L39:L45)+L38</f>
        <v>580.08063277095437</v>
      </c>
      <c r="M46" s="41"/>
      <c r="N46" s="44">
        <f t="shared" si="2"/>
        <v>-27.079367229045715</v>
      </c>
      <c r="O46" s="45">
        <f t="shared" ref="O46:O64" si="8">IF((H46)=0,"",(N46/H46))</f>
        <v>-4.460005143462302E-2</v>
      </c>
    </row>
    <row r="47" spans="2:15" x14ac:dyDescent="0.25">
      <c r="B47" s="28" t="s">
        <v>28</v>
      </c>
      <c r="C47" s="28"/>
      <c r="D47" s="56" t="s">
        <v>70</v>
      </c>
      <c r="E47" s="57"/>
      <c r="F47" s="29">
        <v>2.7265000000000001</v>
      </c>
      <c r="G47" s="58">
        <f>H16</f>
        <v>100</v>
      </c>
      <c r="H47" s="27">
        <f>G47*F47</f>
        <v>272.65000000000003</v>
      </c>
      <c r="I47" s="28"/>
      <c r="J47" s="29">
        <v>2.8420722098333284</v>
      </c>
      <c r="K47" s="59">
        <f>H16</f>
        <v>100</v>
      </c>
      <c r="L47" s="27">
        <f>K47*J47</f>
        <v>284.20722098333283</v>
      </c>
      <c r="M47" s="28"/>
      <c r="N47" s="31">
        <f t="shared" si="2"/>
        <v>11.557220983332797</v>
      </c>
      <c r="O47" s="32">
        <f t="shared" si="8"/>
        <v>4.2388487010206477E-2</v>
      </c>
    </row>
    <row r="48" spans="2:15" x14ac:dyDescent="0.25">
      <c r="B48" s="60" t="s">
        <v>29</v>
      </c>
      <c r="C48" s="28"/>
      <c r="D48" s="56" t="s">
        <v>70</v>
      </c>
      <c r="E48" s="57"/>
      <c r="F48" s="29">
        <v>2.0265</v>
      </c>
      <c r="G48" s="58">
        <f>G47</f>
        <v>100</v>
      </c>
      <c r="H48" s="27">
        <f>G48*F48</f>
        <v>202.65</v>
      </c>
      <c r="I48" s="28"/>
      <c r="J48" s="29">
        <v>2.0309202954608607</v>
      </c>
      <c r="K48" s="59">
        <f>K47</f>
        <v>100</v>
      </c>
      <c r="L48" s="27">
        <f>K48*J48</f>
        <v>203.09202954608608</v>
      </c>
      <c r="M48" s="28"/>
      <c r="N48" s="31">
        <f t="shared" si="2"/>
        <v>0.4420295460860757</v>
      </c>
      <c r="O48" s="32">
        <f t="shared" si="8"/>
        <v>2.1812462180413306E-3</v>
      </c>
    </row>
    <row r="49" spans="2:19" x14ac:dyDescent="0.25">
      <c r="B49" s="50" t="s">
        <v>30</v>
      </c>
      <c r="C49" s="36"/>
      <c r="D49" s="36"/>
      <c r="E49" s="36"/>
      <c r="F49" s="61"/>
      <c r="G49" s="53"/>
      <c r="H49" s="54">
        <f>SUM(H46:H48)</f>
        <v>1082.4600000000003</v>
      </c>
      <c r="I49" s="62"/>
      <c r="J49" s="63"/>
      <c r="K49" s="64"/>
      <c r="L49" s="54">
        <f>SUM(L46:L48)</f>
        <v>1067.3798833003732</v>
      </c>
      <c r="M49" s="62"/>
      <c r="N49" s="44">
        <f t="shared" si="2"/>
        <v>-15.080116699627069</v>
      </c>
      <c r="O49" s="45">
        <f t="shared" si="8"/>
        <v>-1.3931338524866568E-2</v>
      </c>
    </row>
    <row r="50" spans="2:19" x14ac:dyDescent="0.25">
      <c r="B50" s="65" t="s">
        <v>31</v>
      </c>
      <c r="C50" s="22"/>
      <c r="D50" s="23" t="s">
        <v>61</v>
      </c>
      <c r="E50" s="24"/>
      <c r="F50" s="66">
        <v>4.4000000000000003E-3</v>
      </c>
      <c r="G50" s="58">
        <f>F16*(1+F73)</f>
        <v>41920</v>
      </c>
      <c r="H50" s="67">
        <f t="shared" ref="H50:H56" si="9">G50*F50</f>
        <v>184.44800000000001</v>
      </c>
      <c r="I50" s="28"/>
      <c r="J50" s="66">
        <v>4.4000000000000003E-3</v>
      </c>
      <c r="K50" s="59">
        <f>F16*(1+J73)</f>
        <v>41884</v>
      </c>
      <c r="L50" s="67">
        <f t="shared" ref="L50:L56" si="10">K50*J50</f>
        <v>184.28960000000001</v>
      </c>
      <c r="M50" s="28"/>
      <c r="N50" s="31">
        <f t="shared" si="2"/>
        <v>-0.15840000000000032</v>
      </c>
      <c r="O50" s="68">
        <f t="shared" si="8"/>
        <v>-8.5877862595420019E-4</v>
      </c>
    </row>
    <row r="51" spans="2:19" x14ac:dyDescent="0.25">
      <c r="B51" s="65" t="s">
        <v>32</v>
      </c>
      <c r="C51" s="22"/>
      <c r="D51" s="23" t="s">
        <v>61</v>
      </c>
      <c r="E51" s="24"/>
      <c r="F51" s="66">
        <v>1.2999999999999999E-3</v>
      </c>
      <c r="G51" s="58">
        <f>G50</f>
        <v>41920</v>
      </c>
      <c r="H51" s="67">
        <f t="shared" si="9"/>
        <v>54.495999999999995</v>
      </c>
      <c r="I51" s="28"/>
      <c r="J51" s="66">
        <v>1.2999999999999999E-3</v>
      </c>
      <c r="K51" s="59">
        <f>K50</f>
        <v>41884</v>
      </c>
      <c r="L51" s="67">
        <f t="shared" si="10"/>
        <v>54.449199999999998</v>
      </c>
      <c r="M51" s="28"/>
      <c r="N51" s="31">
        <f t="shared" si="2"/>
        <v>-4.679999999999751E-2</v>
      </c>
      <c r="O51" s="68">
        <f t="shared" si="8"/>
        <v>-8.5877862595415291E-4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7">
        <f t="shared" si="9"/>
        <v>0.25</v>
      </c>
      <c r="I52" s="28"/>
      <c r="J52" s="176">
        <v>0.25</v>
      </c>
      <c r="K52" s="30">
        <v>1</v>
      </c>
      <c r="L52" s="67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25">
      <c r="B53" s="22" t="s">
        <v>34</v>
      </c>
      <c r="C53" s="22"/>
      <c r="D53" s="23" t="s">
        <v>61</v>
      </c>
      <c r="E53" s="24"/>
      <c r="F53" s="66">
        <v>7.0000000000000001E-3</v>
      </c>
      <c r="G53" s="69">
        <f>F16</f>
        <v>40000</v>
      </c>
      <c r="H53" s="67">
        <f t="shared" si="9"/>
        <v>280</v>
      </c>
      <c r="I53" s="28"/>
      <c r="J53" s="66">
        <v>7.0000000000000001E-3</v>
      </c>
      <c r="K53" s="70">
        <f>F16</f>
        <v>40000</v>
      </c>
      <c r="L53" s="67">
        <f t="shared" si="10"/>
        <v>280</v>
      </c>
      <c r="M53" s="28"/>
      <c r="N53" s="31">
        <f t="shared" si="2"/>
        <v>0</v>
      </c>
      <c r="O53" s="68">
        <f t="shared" si="8"/>
        <v>0</v>
      </c>
    </row>
    <row r="54" spans="2:19" ht="15.75" thickBot="1" x14ac:dyDescent="0.3">
      <c r="B54" s="49" t="s">
        <v>73</v>
      </c>
      <c r="C54" s="22"/>
      <c r="D54" s="23" t="s">
        <v>61</v>
      </c>
      <c r="E54" s="24"/>
      <c r="F54" s="66">
        <v>8.2699999999999996E-2</v>
      </c>
      <c r="G54" s="69">
        <f>F16</f>
        <v>40000</v>
      </c>
      <c r="H54" s="67">
        <f t="shared" si="9"/>
        <v>3308</v>
      </c>
      <c r="I54" s="28"/>
      <c r="J54" s="66">
        <v>8.2699999999999996E-2</v>
      </c>
      <c r="K54" s="69">
        <f>G54</f>
        <v>40000</v>
      </c>
      <c r="L54" s="67">
        <f t="shared" si="10"/>
        <v>3308</v>
      </c>
      <c r="M54" s="28"/>
      <c r="N54" s="31">
        <f t="shared" si="2"/>
        <v>0</v>
      </c>
      <c r="O54" s="68">
        <f t="shared" si="8"/>
        <v>0</v>
      </c>
      <c r="S54" s="72"/>
    </row>
    <row r="55" spans="2:19" ht="15.75" hidden="1" thickBot="1" x14ac:dyDescent="0.3">
      <c r="B55" s="49" t="s">
        <v>36</v>
      </c>
      <c r="C55" s="22"/>
      <c r="D55" s="23"/>
      <c r="E55" s="24"/>
      <c r="F55" s="71">
        <v>0.104</v>
      </c>
      <c r="G55" s="69">
        <v>0</v>
      </c>
      <c r="H55" s="67">
        <f t="shared" si="9"/>
        <v>0</v>
      </c>
      <c r="I55" s="28"/>
      <c r="J55" s="66">
        <v>0.104</v>
      </c>
      <c r="K55" s="69">
        <v>0</v>
      </c>
      <c r="L55" s="67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ht="15.75" hidden="1" thickBot="1" x14ac:dyDescent="0.3">
      <c r="B56" s="12" t="s">
        <v>37</v>
      </c>
      <c r="C56" s="22"/>
      <c r="D56" s="23"/>
      <c r="E56" s="24"/>
      <c r="F56" s="71">
        <v>0.124</v>
      </c>
      <c r="G56" s="69">
        <v>0</v>
      </c>
      <c r="H56" s="67">
        <f t="shared" si="9"/>
        <v>0</v>
      </c>
      <c r="I56" s="28"/>
      <c r="J56" s="66">
        <v>0.124</v>
      </c>
      <c r="K56" s="69">
        <v>0</v>
      </c>
      <c r="L56" s="67">
        <f t="shared" si="10"/>
        <v>0</v>
      </c>
      <c r="M56" s="28"/>
      <c r="N56" s="31">
        <f t="shared" si="2"/>
        <v>0</v>
      </c>
      <c r="O56" s="68" t="str">
        <f t="shared" si="8"/>
        <v/>
      </c>
      <c r="S56" s="72"/>
    </row>
    <row r="57" spans="2:19" s="73" customFormat="1" ht="15.75" hidden="1" thickBot="1" x14ac:dyDescent="0.25">
      <c r="B57" s="179" t="s">
        <v>38</v>
      </c>
      <c r="C57" s="75"/>
      <c r="D57" s="76"/>
      <c r="E57" s="77"/>
      <c r="F57" s="71">
        <v>7.4999999999999997E-2</v>
      </c>
      <c r="G57" s="78">
        <v>0</v>
      </c>
      <c r="H57" s="67">
        <f>G57*F57</f>
        <v>0</v>
      </c>
      <c r="I57" s="79"/>
      <c r="J57" s="66">
        <v>7.4999999999999997E-2</v>
      </c>
      <c r="K57" s="78">
        <f>G57</f>
        <v>0</v>
      </c>
      <c r="L57" s="67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s="73" customFormat="1" ht="15.75" hidden="1" thickBot="1" x14ac:dyDescent="0.25">
      <c r="B58" s="179" t="s">
        <v>39</v>
      </c>
      <c r="C58" s="75"/>
      <c r="D58" s="76"/>
      <c r="E58" s="77"/>
      <c r="F58" s="71">
        <v>8.7999999999999995E-2</v>
      </c>
      <c r="G58" s="78">
        <v>0</v>
      </c>
      <c r="H58" s="67">
        <f>G58*F58</f>
        <v>0</v>
      </c>
      <c r="I58" s="79"/>
      <c r="J58" s="66">
        <v>8.7999999999999995E-2</v>
      </c>
      <c r="K58" s="78">
        <f>G58</f>
        <v>0</v>
      </c>
      <c r="L58" s="67">
        <f>K58*J58</f>
        <v>0</v>
      </c>
      <c r="M58" s="79"/>
      <c r="N58" s="80">
        <f t="shared" si="2"/>
        <v>0</v>
      </c>
      <c r="O58" s="68" t="str">
        <f t="shared" si="8"/>
        <v/>
      </c>
    </row>
    <row r="59" spans="2:19" ht="15.75" hidden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t="15.75" hidden="1" thickBot="1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4909.6540000000005</v>
      </c>
      <c r="I60" s="95"/>
      <c r="J60" s="96"/>
      <c r="K60" s="96"/>
      <c r="L60" s="94">
        <f>SUM(L50:L56,L49)</f>
        <v>4894.368683300373</v>
      </c>
      <c r="M60" s="97"/>
      <c r="N60" s="98">
        <f>L60-H60</f>
        <v>-15.285316699627401</v>
      </c>
      <c r="O60" s="99">
        <f>IF((H60)=0,"",(N60/H60))</f>
        <v>-3.1133185148337133E-3</v>
      </c>
      <c r="S60" s="72"/>
    </row>
    <row r="61" spans="2:19" ht="15.75" hidden="1" thickBot="1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638.25502000000006</v>
      </c>
      <c r="I61" s="104"/>
      <c r="J61" s="105">
        <v>0.13</v>
      </c>
      <c r="K61" s="104"/>
      <c r="L61" s="106">
        <f>L60*J61</f>
        <v>636.26792882904851</v>
      </c>
      <c r="M61" s="107"/>
      <c r="N61" s="108">
        <f t="shared" si="2"/>
        <v>-1.987091170951544</v>
      </c>
      <c r="O61" s="109">
        <f t="shared" si="8"/>
        <v>-3.1133185148336847E-3</v>
      </c>
      <c r="S61" s="72"/>
    </row>
    <row r="62" spans="2:19" ht="15.75" hidden="1" thickBot="1" x14ac:dyDescent="0.3">
      <c r="B62" s="110" t="s">
        <v>42</v>
      </c>
      <c r="C62" s="22"/>
      <c r="D62" s="22"/>
      <c r="E62" s="22"/>
      <c r="F62" s="111"/>
      <c r="G62" s="102"/>
      <c r="H62" s="103">
        <f>H60+H61</f>
        <v>5547.909020000001</v>
      </c>
      <c r="I62" s="104"/>
      <c r="J62" s="104"/>
      <c r="K62" s="104"/>
      <c r="L62" s="106">
        <f>L60+L61</f>
        <v>5530.6366121294213</v>
      </c>
      <c r="M62" s="107"/>
      <c r="N62" s="108">
        <f t="shared" si="2"/>
        <v>-17.272407870579627</v>
      </c>
      <c r="O62" s="109">
        <f t="shared" si="8"/>
        <v>-3.1133185148338326E-3</v>
      </c>
      <c r="S62" s="72"/>
    </row>
    <row r="63" spans="2:19" ht="15.75" hidden="1" thickBot="1" x14ac:dyDescent="0.3">
      <c r="B63" s="248" t="s">
        <v>43</v>
      </c>
      <c r="C63" s="248"/>
      <c r="D63" s="248"/>
      <c r="E63" s="22"/>
      <c r="F63" s="111"/>
      <c r="G63" s="102"/>
      <c r="H63" s="112">
        <f>ROUND(-H62*10%,2)</f>
        <v>-554.79</v>
      </c>
      <c r="I63" s="104"/>
      <c r="J63" s="104"/>
      <c r="K63" s="104"/>
      <c r="L63" s="113">
        <f>ROUND(-L62*10%,2)</f>
        <v>-553.05999999999995</v>
      </c>
      <c r="M63" s="107"/>
      <c r="N63" s="114">
        <f t="shared" si="2"/>
        <v>1.7300000000000182</v>
      </c>
      <c r="O63" s="115">
        <f t="shared" si="8"/>
        <v>-3.1182970132843388E-3</v>
      </c>
    </row>
    <row r="64" spans="2:19" ht="15.75" hidden="1" thickBot="1" x14ac:dyDescent="0.3">
      <c r="B64" s="240" t="s">
        <v>44</v>
      </c>
      <c r="C64" s="240"/>
      <c r="D64" s="240"/>
      <c r="E64" s="116"/>
      <c r="F64" s="117"/>
      <c r="G64" s="118"/>
      <c r="H64" s="119">
        <f>H62+H63</f>
        <v>4993.119020000001</v>
      </c>
      <c r="I64" s="120"/>
      <c r="J64" s="120"/>
      <c r="K64" s="120"/>
      <c r="L64" s="121">
        <f>L62+L63</f>
        <v>4977.5766121294218</v>
      </c>
      <c r="M64" s="122"/>
      <c r="N64" s="123">
        <f t="shared" si="2"/>
        <v>-15.542407870579154</v>
      </c>
      <c r="O64" s="124">
        <f t="shared" si="8"/>
        <v>-3.1127653493385286E-3</v>
      </c>
    </row>
    <row r="65" spans="1:15" s="73" customFormat="1" ht="15.75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SUM(H54,H49,H50:H53)</f>
        <v>4909.6540000000005</v>
      </c>
      <c r="I66" s="136"/>
      <c r="J66" s="137"/>
      <c r="K66" s="137"/>
      <c r="L66" s="188">
        <f>SUM(L54,L49,L50:L53)</f>
        <v>4894.368683300373</v>
      </c>
      <c r="M66" s="138"/>
      <c r="N66" s="139">
        <f>L66-H66</f>
        <v>-15.285316699627401</v>
      </c>
      <c r="O66" s="99">
        <f>IF((H66)=0,"",(N66/H66))</f>
        <v>-3.1133185148337133E-3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638.25502000000006</v>
      </c>
      <c r="I67" s="143"/>
      <c r="J67" s="144">
        <v>0.13</v>
      </c>
      <c r="K67" s="145"/>
      <c r="L67" s="146">
        <f>L66*J67</f>
        <v>636.26792882904851</v>
      </c>
      <c r="M67" s="147"/>
      <c r="N67" s="148">
        <f>L67-H67</f>
        <v>-1.987091170951544</v>
      </c>
      <c r="O67" s="109">
        <f>IF((H67)=0,"",(N67/H67))</f>
        <v>-3.1133185148336847E-3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5547.909020000001</v>
      </c>
      <c r="I68" s="143"/>
      <c r="J68" s="143"/>
      <c r="K68" s="143"/>
      <c r="L68" s="146">
        <f>L66+L67</f>
        <v>5530.6366121294213</v>
      </c>
      <c r="M68" s="147"/>
      <c r="N68" s="148">
        <f>L68-H68</f>
        <v>-17.272407870579627</v>
      </c>
      <c r="O68" s="109">
        <f>IF((H68)=0,"",(N68/H68))</f>
        <v>-3.1133185148338326E-3</v>
      </c>
    </row>
    <row r="69" spans="1:15" s="73" customFormat="1" ht="12.75" x14ac:dyDescent="0.2">
      <c r="B69" s="249" t="s">
        <v>43</v>
      </c>
      <c r="C69" s="249"/>
      <c r="D69" s="249"/>
      <c r="E69" s="75"/>
      <c r="F69" s="150"/>
      <c r="G69" s="151"/>
      <c r="H69" s="152">
        <f>ROUND(-H68*10%,2)</f>
        <v>-554.79</v>
      </c>
      <c r="I69" s="143"/>
      <c r="J69" s="143"/>
      <c r="K69" s="143"/>
      <c r="L69" s="153">
        <f>ROUND(-L68*10%,2)</f>
        <v>-553.05999999999995</v>
      </c>
      <c r="M69" s="147"/>
      <c r="N69" s="154">
        <f>L69-H69</f>
        <v>1.7300000000000182</v>
      </c>
      <c r="O69" s="115">
        <f>IF((H69)=0,"",(N69/H69))</f>
        <v>-3.1182970132843388E-3</v>
      </c>
    </row>
    <row r="70" spans="1:15" s="73" customFormat="1" ht="13.5" thickBot="1" x14ac:dyDescent="0.25">
      <c r="B70" s="241" t="s">
        <v>46</v>
      </c>
      <c r="C70" s="241"/>
      <c r="D70" s="241"/>
      <c r="E70" s="155"/>
      <c r="F70" s="156"/>
      <c r="G70" s="157"/>
      <c r="H70" s="158">
        <f>SUM(H68:H69)</f>
        <v>4993.119020000001</v>
      </c>
      <c r="I70" s="159"/>
      <c r="J70" s="159"/>
      <c r="K70" s="159"/>
      <c r="L70" s="160">
        <f>SUM(L68:L69)</f>
        <v>4977.5766121294218</v>
      </c>
      <c r="M70" s="161"/>
      <c r="N70" s="162">
        <f>L70-H70</f>
        <v>-15.542407870579154</v>
      </c>
      <c r="O70" s="163">
        <f>IF((H70)=0,"",(N70/H70))</f>
        <v>-3.1127653493385286E-3</v>
      </c>
    </row>
    <row r="71" spans="1:15" s="73" customFormat="1" ht="15.75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x14ac:dyDescent="0.25">
      <c r="L72" s="72"/>
    </row>
    <row r="73" spans="1:15" x14ac:dyDescent="0.25">
      <c r="B73" s="13" t="s">
        <v>47</v>
      </c>
      <c r="F73" s="170">
        <v>4.8000000000000001E-2</v>
      </c>
      <c r="J73" s="170">
        <f>'Res (100kWh)'!$J$74</f>
        <v>4.7100000000000003E-2</v>
      </c>
    </row>
    <row r="75" spans="1:15" x14ac:dyDescent="0.25">
      <c r="A75" s="171" t="s">
        <v>48</v>
      </c>
    </row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8:O8"/>
    <mergeCell ref="N1:O1"/>
    <mergeCell ref="N2:O2"/>
    <mergeCell ref="N3:O3"/>
    <mergeCell ref="N5:O5"/>
    <mergeCell ref="B63:D63"/>
    <mergeCell ref="B64:D64"/>
    <mergeCell ref="B69:D69"/>
    <mergeCell ref="B70:D70"/>
    <mergeCell ref="B9:O9"/>
    <mergeCell ref="D12:O12"/>
    <mergeCell ref="F18:H18"/>
    <mergeCell ref="J18:L18"/>
    <mergeCell ref="N18:O18"/>
    <mergeCell ref="D19:D20"/>
    <mergeCell ref="N19:N20"/>
    <mergeCell ref="O19:O20"/>
  </mergeCells>
  <dataValidations disablePrompts="1" count="4">
    <dataValidation type="list" allowBlank="1" showInputMessage="1" showErrorMessage="1" sqref="E47:E48 E39:E45 E65 E50:E59 E71 E21:E24 E26:E37">
      <formula1>#REF!</formula1>
    </dataValidation>
    <dataValidation type="list" allowBlank="1" showInputMessage="1" showErrorMessage="1" prompt="Select Charge Unit - monthly, per kWh, per kW" sqref="D47:D48 D39:D45 D65 D50:D59 D71 D21:D37">
      <formula1>"Monthly, per kWh, per kW"</formula1>
    </dataValidation>
    <dataValidation type="list" allowBlank="1" showInputMessage="1" showErrorMessage="1" sqref="D14">
      <formula1>"TOU, non-TOU"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8" fitToHeight="0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theme="0" tint="-0.14999847407452621"/>
    <pageSetUpPr fitToPage="1"/>
  </sheetPr>
  <dimension ref="A1:T89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1.57031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1.5703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0.140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21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P1" s="190"/>
      <c r="T1" s="2">
        <v>1</v>
      </c>
    </row>
    <row r="2" spans="1:20" s="2" customFormat="1" ht="18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  <c r="P2" s="191"/>
    </row>
    <row r="3" spans="1:20" s="2" customFormat="1" ht="15.75" x14ac:dyDescent="0.25">
      <c r="C3" s="6"/>
      <c r="D3" s="6"/>
      <c r="E3" s="6"/>
      <c r="L3" s="3" t="s">
        <v>95</v>
      </c>
      <c r="N3" s="234" t="str">
        <f>'Res (100kWh)'!$N$3:$O$3</f>
        <v>8-D</v>
      </c>
      <c r="O3" s="234"/>
      <c r="P3" s="190"/>
    </row>
    <row r="4" spans="1:20" s="2" customForma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34">
        <f>'Res (100kWh)'!$N$5:$O$5</f>
        <v>41985</v>
      </c>
      <c r="O5" s="234"/>
      <c r="P5" s="193"/>
    </row>
    <row r="6" spans="1:20" s="2" customFormat="1" x14ac:dyDescent="0.25">
      <c r="N6" s="7"/>
      <c r="O6"/>
      <c r="P6"/>
    </row>
    <row r="7" spans="1:20" x14ac:dyDescent="0.25">
      <c r="L7"/>
      <c r="M7"/>
      <c r="N7"/>
      <c r="O7"/>
      <c r="P7"/>
    </row>
    <row r="8" spans="1:20" ht="18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x14ac:dyDescent="0.25">
      <c r="L10"/>
      <c r="M10"/>
      <c r="N10"/>
      <c r="O10"/>
      <c r="P10"/>
    </row>
    <row r="11" spans="1:20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87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15.75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192000</v>
      </c>
      <c r="G16" s="13" t="s">
        <v>7</v>
      </c>
      <c r="H16" s="14">
        <v>455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x14ac:dyDescent="0.25">
      <c r="B21" s="22" t="s">
        <v>18</v>
      </c>
      <c r="C21" s="22"/>
      <c r="D21" s="23" t="s">
        <v>60</v>
      </c>
      <c r="E21" s="24"/>
      <c r="F21" s="174">
        <v>293.97000000000003</v>
      </c>
      <c r="G21" s="26">
        <v>1</v>
      </c>
      <c r="H21" s="27">
        <f>G21*F21</f>
        <v>293.97000000000003</v>
      </c>
      <c r="I21" s="28"/>
      <c r="J21" s="173">
        <v>343.63</v>
      </c>
      <c r="K21" s="30">
        <v>1</v>
      </c>
      <c r="L21" s="27">
        <f>K21*J21</f>
        <v>343.63</v>
      </c>
      <c r="M21" s="28"/>
      <c r="N21" s="31">
        <f>L21-H21</f>
        <v>49.659999999999968</v>
      </c>
      <c r="O21" s="32">
        <f>IF((H21)=0,"",(N21/H21))</f>
        <v>0.16892880225873377</v>
      </c>
    </row>
    <row r="22" spans="2:15" ht="30" x14ac:dyDescent="0.25">
      <c r="B22" s="65" t="s">
        <v>80</v>
      </c>
      <c r="C22" s="22"/>
      <c r="D22" s="56" t="s">
        <v>60</v>
      </c>
      <c r="E22" s="24"/>
      <c r="F22" s="173"/>
      <c r="G22" s="26">
        <v>1</v>
      </c>
      <c r="H22" s="27">
        <f t="shared" ref="H22:H37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64" si="2">L23-H23</f>
        <v>0</v>
      </c>
      <c r="O23" s="32" t="str">
        <f t="shared" ref="O23:O44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70</v>
      </c>
      <c r="E25" s="24"/>
      <c r="F25" s="25"/>
      <c r="G25" s="178">
        <f>$H$16</f>
        <v>455</v>
      </c>
      <c r="H25" s="27">
        <f t="shared" ref="H25" si="4">G25*F25</f>
        <v>0</v>
      </c>
      <c r="I25" s="28"/>
      <c r="J25" s="29">
        <v>7.6628943054380921E-2</v>
      </c>
      <c r="K25" s="178">
        <f>$H$16</f>
        <v>455</v>
      </c>
      <c r="L25" s="27">
        <f t="shared" ref="L25" si="5">K25*J25</f>
        <v>34.866169089743316</v>
      </c>
      <c r="M25" s="28"/>
      <c r="N25" s="31">
        <f t="shared" ref="N25" si="6">L25-H25</f>
        <v>34.866169089743316</v>
      </c>
      <c r="O25" s="32" t="str">
        <f t="shared" ref="O25" si="7">IF((H25)=0,"",(N25/H25))</f>
        <v/>
      </c>
    </row>
    <row r="26" spans="2:15" x14ac:dyDescent="0.25">
      <c r="B26" s="46" t="s">
        <v>65</v>
      </c>
      <c r="C26" s="22"/>
      <c r="D26" s="23" t="s">
        <v>70</v>
      </c>
      <c r="E26" s="24"/>
      <c r="F26" s="25">
        <v>-2.4199999999999999E-2</v>
      </c>
      <c r="G26" s="178">
        <f>$H$16</f>
        <v>455</v>
      </c>
      <c r="H26" s="27">
        <f t="shared" si="0"/>
        <v>-11.010999999999999</v>
      </c>
      <c r="I26" s="28"/>
      <c r="J26" s="29"/>
      <c r="K26" s="178">
        <f>$H$16</f>
        <v>455</v>
      </c>
      <c r="L26" s="27">
        <f t="shared" si="1"/>
        <v>0</v>
      </c>
      <c r="M26" s="28"/>
      <c r="N26" s="31">
        <f t="shared" si="2"/>
        <v>11.010999999999999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70</v>
      </c>
      <c r="E27" s="24"/>
      <c r="F27" s="25"/>
      <c r="G27" s="178">
        <f>$H$16</f>
        <v>455</v>
      </c>
      <c r="H27" s="27">
        <f t="shared" si="0"/>
        <v>0</v>
      </c>
      <c r="I27" s="28"/>
      <c r="J27" s="29">
        <v>-2.883434819513544</v>
      </c>
      <c r="K27" s="178">
        <f>$H$16</f>
        <v>455</v>
      </c>
      <c r="L27" s="27">
        <f t="shared" si="1"/>
        <v>-1311.9628428786625</v>
      </c>
      <c r="M27" s="28"/>
      <c r="N27" s="31">
        <f t="shared" si="2"/>
        <v>-1311.9628428786625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70</v>
      </c>
      <c r="E28" s="24"/>
      <c r="F28" s="25">
        <v>2.0966</v>
      </c>
      <c r="G28" s="178">
        <f>$H$16</f>
        <v>455</v>
      </c>
      <c r="H28" s="27">
        <f t="shared" si="0"/>
        <v>953.95299999999997</v>
      </c>
      <c r="I28" s="28"/>
      <c r="J28" s="29">
        <v>2.4213</v>
      </c>
      <c r="K28" s="178">
        <f>$H$16</f>
        <v>455</v>
      </c>
      <c r="L28" s="27">
        <f t="shared" si="1"/>
        <v>1101.6914999999999</v>
      </c>
      <c r="M28" s="28"/>
      <c r="N28" s="31">
        <f t="shared" si="2"/>
        <v>147.73849999999993</v>
      </c>
      <c r="O28" s="32">
        <f t="shared" si="3"/>
        <v>0.15486978918248587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192000</v>
      </c>
      <c r="H29" s="27">
        <f t="shared" si="0"/>
        <v>0</v>
      </c>
      <c r="I29" s="28"/>
      <c r="J29" s="29"/>
      <c r="K29" s="26">
        <f t="shared" ref="K29:K37" si="8">$F$16</f>
        <v>192000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192000</v>
      </c>
      <c r="H30" s="27">
        <f t="shared" si="0"/>
        <v>0</v>
      </c>
      <c r="I30" s="28"/>
      <c r="J30" s="29"/>
      <c r="K30" s="26">
        <f t="shared" si="8"/>
        <v>192000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9">$F$16</f>
        <v>192000</v>
      </c>
      <c r="H31" s="27">
        <f t="shared" si="0"/>
        <v>0</v>
      </c>
      <c r="I31" s="28"/>
      <c r="J31" s="29"/>
      <c r="K31" s="26">
        <f t="shared" si="8"/>
        <v>192000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9"/>
        <v>192000</v>
      </c>
      <c r="H32" s="27">
        <f t="shared" si="0"/>
        <v>0</v>
      </c>
      <c r="I32" s="28"/>
      <c r="J32" s="29"/>
      <c r="K32" s="26">
        <f t="shared" si="8"/>
        <v>192000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9"/>
        <v>192000</v>
      </c>
      <c r="H33" s="27">
        <f t="shared" si="0"/>
        <v>0</v>
      </c>
      <c r="I33" s="28"/>
      <c r="J33" s="29"/>
      <c r="K33" s="26">
        <f t="shared" si="8"/>
        <v>192000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9"/>
        <v>192000</v>
      </c>
      <c r="H34" s="27">
        <f t="shared" si="0"/>
        <v>0</v>
      </c>
      <c r="I34" s="28"/>
      <c r="J34" s="29"/>
      <c r="K34" s="26">
        <f t="shared" si="8"/>
        <v>192000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9"/>
        <v>192000</v>
      </c>
      <c r="H35" s="27">
        <f t="shared" si="0"/>
        <v>0</v>
      </c>
      <c r="I35" s="28"/>
      <c r="J35" s="29"/>
      <c r="K35" s="26">
        <f t="shared" si="8"/>
        <v>192000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9"/>
        <v>192000</v>
      </c>
      <c r="H36" s="27">
        <f t="shared" si="0"/>
        <v>0</v>
      </c>
      <c r="I36" s="28"/>
      <c r="J36" s="29"/>
      <c r="K36" s="26">
        <f t="shared" si="8"/>
        <v>192000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9"/>
        <v>192000</v>
      </c>
      <c r="H37" s="27">
        <f t="shared" si="0"/>
        <v>0</v>
      </c>
      <c r="I37" s="28"/>
      <c r="J37" s="29"/>
      <c r="K37" s="26">
        <f t="shared" si="8"/>
        <v>192000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1236.912</v>
      </c>
      <c r="I38" s="41"/>
      <c r="J38" s="42"/>
      <c r="K38" s="43"/>
      <c r="L38" s="40">
        <f>SUM(L21:L37)</f>
        <v>168.22482621108065</v>
      </c>
      <c r="M38" s="41"/>
      <c r="N38" s="44">
        <f t="shared" si="2"/>
        <v>-1068.6871737889194</v>
      </c>
      <c r="O38" s="45">
        <f t="shared" si="3"/>
        <v>-0.86399612404837156</v>
      </c>
    </row>
    <row r="39" spans="2:15" x14ac:dyDescent="0.25">
      <c r="B39" s="46" t="s">
        <v>23</v>
      </c>
      <c r="C39" s="22"/>
      <c r="D39" s="56" t="s">
        <v>70</v>
      </c>
      <c r="E39" s="57"/>
      <c r="F39" s="29">
        <v>-0.72409999999999997</v>
      </c>
      <c r="G39" s="178">
        <f>G28</f>
        <v>455</v>
      </c>
      <c r="H39" s="27">
        <f t="shared" ref="H39:H45" si="10">G39*F39</f>
        <v>-329.46549999999996</v>
      </c>
      <c r="I39" s="28"/>
      <c r="J39" s="29">
        <v>0.60071527803124358</v>
      </c>
      <c r="K39" s="178">
        <f>H16</f>
        <v>455</v>
      </c>
      <c r="L39" s="27">
        <f t="shared" ref="L39:L45" si="11">K39*J39</f>
        <v>273.32545150421583</v>
      </c>
      <c r="M39" s="28"/>
      <c r="N39" s="31">
        <f t="shared" si="2"/>
        <v>602.79095150421585</v>
      </c>
      <c r="O39" s="32">
        <f t="shared" si="3"/>
        <v>-1.8296026488485622</v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455</v>
      </c>
      <c r="H40" s="27">
        <f t="shared" si="10"/>
        <v>0</v>
      </c>
      <c r="I40" s="47"/>
      <c r="J40" s="29"/>
      <c r="K40" s="178">
        <f>H16</f>
        <v>455</v>
      </c>
      <c r="L40" s="27">
        <f t="shared" si="11"/>
        <v>0</v>
      </c>
      <c r="M40" s="48"/>
      <c r="N40" s="31">
        <f t="shared" si="2"/>
        <v>0</v>
      </c>
      <c r="O40" s="32" t="str">
        <f t="shared" si="3"/>
        <v/>
      </c>
    </row>
    <row r="41" spans="2:15" hidden="1" x14ac:dyDescent="0.25">
      <c r="B41" s="46"/>
      <c r="C41" s="22"/>
      <c r="D41" s="23" t="s">
        <v>70</v>
      </c>
      <c r="E41" s="24"/>
      <c r="F41" s="25"/>
      <c r="G41" s="178">
        <f>H16</f>
        <v>455</v>
      </c>
      <c r="H41" s="27">
        <f t="shared" si="10"/>
        <v>0</v>
      </c>
      <c r="I41" s="47"/>
      <c r="J41" s="29"/>
      <c r="K41" s="178">
        <f>H16</f>
        <v>455</v>
      </c>
      <c r="L41" s="27">
        <f t="shared" si="11"/>
        <v>0</v>
      </c>
      <c r="M41" s="48"/>
      <c r="N41" s="31">
        <f t="shared" si="2"/>
        <v>0</v>
      </c>
      <c r="O41" s="32" t="str">
        <f t="shared" si="3"/>
        <v/>
      </c>
    </row>
    <row r="42" spans="2:15" ht="32.25" customHeight="1" x14ac:dyDescent="0.25">
      <c r="B42" s="46" t="s">
        <v>74</v>
      </c>
      <c r="C42" s="22"/>
      <c r="D42" s="56" t="s">
        <v>70</v>
      </c>
      <c r="E42" s="24"/>
      <c r="F42" s="29">
        <v>0.32969999999999999</v>
      </c>
      <c r="G42" s="178">
        <f>H16</f>
        <v>455</v>
      </c>
      <c r="H42" s="27">
        <f t="shared" si="10"/>
        <v>150.01349999999999</v>
      </c>
      <c r="I42" s="47"/>
      <c r="J42" s="29">
        <v>0.72149692613746352</v>
      </c>
      <c r="K42" s="178">
        <f>H16</f>
        <v>455</v>
      </c>
      <c r="L42" s="27">
        <f t="shared" si="11"/>
        <v>328.28110139254591</v>
      </c>
      <c r="M42" s="48"/>
      <c r="N42" s="31">
        <f t="shared" si="2"/>
        <v>178.26760139254591</v>
      </c>
      <c r="O42" s="32">
        <f t="shared" si="3"/>
        <v>1.1883437250150548</v>
      </c>
    </row>
    <row r="43" spans="2:15" x14ac:dyDescent="0.25">
      <c r="B43" s="49" t="s">
        <v>24</v>
      </c>
      <c r="C43" s="22"/>
      <c r="D43" s="23" t="s">
        <v>70</v>
      </c>
      <c r="E43" s="24"/>
      <c r="F43" s="197">
        <v>1.3899999999999999E-2</v>
      </c>
      <c r="G43" s="178">
        <f>H16</f>
        <v>455</v>
      </c>
      <c r="H43" s="27">
        <f t="shared" si="10"/>
        <v>6.3244999999999996</v>
      </c>
      <c r="I43" s="28"/>
      <c r="J43" s="29">
        <v>1.4800000000000001E-2</v>
      </c>
      <c r="K43" s="178">
        <f>H16</f>
        <v>455</v>
      </c>
      <c r="L43" s="27">
        <f t="shared" si="11"/>
        <v>6.734</v>
      </c>
      <c r="M43" s="28"/>
      <c r="N43" s="31">
        <f t="shared" si="2"/>
        <v>0.40950000000000042</v>
      </c>
      <c r="O43" s="32">
        <f t="shared" si="3"/>
        <v>6.474820143884899E-2</v>
      </c>
    </row>
    <row r="44" spans="2:15" s="34" customFormat="1" x14ac:dyDescent="0.25">
      <c r="B44" s="180" t="s">
        <v>25</v>
      </c>
      <c r="C44" s="24"/>
      <c r="D44" s="181" t="s">
        <v>61</v>
      </c>
      <c r="E44" s="24"/>
      <c r="F44" s="182">
        <f>IF(ISBLANK(D14)=TRUE, 0, IF(D14="TOU", 0.64*$F$54+0.18*$F$55+0.18*$F$56, IF(AND(D14="non-TOU", G58&gt;0), F58,F57)))</f>
        <v>7.4999999999999997E-2</v>
      </c>
      <c r="G44" s="26">
        <f>$F$16*(1+$F$73)-$F$16</f>
        <v>9216</v>
      </c>
      <c r="H44" s="183">
        <f t="shared" si="10"/>
        <v>691.19999999999993</v>
      </c>
      <c r="I44" s="57"/>
      <c r="J44" s="184">
        <f>IF(ISBLANK(D14)=TRUE, 0, IF(D14="TOU", 0.64*$F$54+0.18*$F$55+0.18*$F$56, IF(AND(D14="non-TOU", K58&gt;0), J58,J57)))</f>
        <v>7.4999999999999997E-2</v>
      </c>
      <c r="K44" s="26">
        <f>$F$16*(1+$J$73)-$F$16</f>
        <v>9043.1999999999825</v>
      </c>
      <c r="L44" s="183">
        <f t="shared" si="11"/>
        <v>678.23999999999864</v>
      </c>
      <c r="M44" s="57"/>
      <c r="N44" s="185">
        <f t="shared" si="2"/>
        <v>-12.960000000001287</v>
      </c>
      <c r="O44" s="186">
        <f t="shared" si="3"/>
        <v>-1.8750000000001862E-2</v>
      </c>
    </row>
    <row r="45" spans="2:15" x14ac:dyDescent="0.25">
      <c r="B45" s="49" t="s">
        <v>26</v>
      </c>
      <c r="C45" s="22"/>
      <c r="D45" s="23" t="s">
        <v>60</v>
      </c>
      <c r="E45" s="24"/>
      <c r="F45" s="177"/>
      <c r="G45" s="26">
        <v>0</v>
      </c>
      <c r="H45" s="27">
        <f t="shared" si="10"/>
        <v>0</v>
      </c>
      <c r="I45" s="28"/>
      <c r="J45" s="177"/>
      <c r="K45" s="26">
        <v>0</v>
      </c>
      <c r="L45" s="27">
        <f t="shared" si="11"/>
        <v>0</v>
      </c>
      <c r="M45" s="28"/>
      <c r="N45" s="31">
        <f t="shared" si="2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SUM(H39:H45)+H38</f>
        <v>1754.9845</v>
      </c>
      <c r="I46" s="41"/>
      <c r="J46" s="53"/>
      <c r="K46" s="55"/>
      <c r="L46" s="54">
        <f>SUM(L39:L45)+L38</f>
        <v>1454.805379107841</v>
      </c>
      <c r="M46" s="41"/>
      <c r="N46" s="44">
        <f t="shared" si="2"/>
        <v>-300.17912089215906</v>
      </c>
      <c r="O46" s="45">
        <f t="shared" ref="O46:O64" si="12">IF((H46)=0,"",(N46/H46))</f>
        <v>-0.17104374476934642</v>
      </c>
    </row>
    <row r="47" spans="2:15" x14ac:dyDescent="0.25">
      <c r="B47" s="28" t="s">
        <v>28</v>
      </c>
      <c r="C47" s="28"/>
      <c r="D47" s="56" t="s">
        <v>70</v>
      </c>
      <c r="E47" s="57"/>
      <c r="F47" s="29">
        <v>2.7265000000000001</v>
      </c>
      <c r="G47" s="58">
        <f>H16</f>
        <v>455</v>
      </c>
      <c r="H47" s="27">
        <f>G47*F47</f>
        <v>1240.5575000000001</v>
      </c>
      <c r="I47" s="28"/>
      <c r="J47" s="29">
        <v>2.8420722098333284</v>
      </c>
      <c r="K47" s="59">
        <f>H16</f>
        <v>455</v>
      </c>
      <c r="L47" s="27">
        <f>K47*J47</f>
        <v>1293.1428554741644</v>
      </c>
      <c r="M47" s="28"/>
      <c r="N47" s="31">
        <f t="shared" si="2"/>
        <v>52.585355474164317</v>
      </c>
      <c r="O47" s="32">
        <f t="shared" si="12"/>
        <v>4.2388487010206546E-2</v>
      </c>
    </row>
    <row r="48" spans="2:15" x14ac:dyDescent="0.25">
      <c r="B48" s="60" t="s">
        <v>29</v>
      </c>
      <c r="C48" s="28"/>
      <c r="D48" s="56" t="s">
        <v>70</v>
      </c>
      <c r="E48" s="57"/>
      <c r="F48" s="29">
        <v>2.0265</v>
      </c>
      <c r="G48" s="58">
        <f>G47</f>
        <v>455</v>
      </c>
      <c r="H48" s="27">
        <f>G48*F48</f>
        <v>922.0575</v>
      </c>
      <c r="I48" s="28"/>
      <c r="J48" s="29">
        <v>2.0309202954608607</v>
      </c>
      <c r="K48" s="59">
        <f>K47</f>
        <v>455</v>
      </c>
      <c r="L48" s="27">
        <f>K48*J48</f>
        <v>924.06873443469158</v>
      </c>
      <c r="M48" s="28"/>
      <c r="N48" s="31">
        <f t="shared" si="2"/>
        <v>2.0112344346915734</v>
      </c>
      <c r="O48" s="32">
        <f t="shared" si="12"/>
        <v>2.1812462180412539E-3</v>
      </c>
    </row>
    <row r="49" spans="2:19" x14ac:dyDescent="0.25">
      <c r="B49" s="50" t="s">
        <v>30</v>
      </c>
      <c r="C49" s="36"/>
      <c r="D49" s="36"/>
      <c r="E49" s="36"/>
      <c r="F49" s="61"/>
      <c r="G49" s="53"/>
      <c r="H49" s="54">
        <f>SUM(H46:H48)</f>
        <v>3917.5995000000003</v>
      </c>
      <c r="I49" s="62"/>
      <c r="J49" s="63"/>
      <c r="K49" s="64"/>
      <c r="L49" s="54">
        <f>SUM(L46:L48)</f>
        <v>3672.0169690166967</v>
      </c>
      <c r="M49" s="62"/>
      <c r="N49" s="44">
        <f t="shared" si="2"/>
        <v>-245.58253098330351</v>
      </c>
      <c r="O49" s="45">
        <f t="shared" si="12"/>
        <v>-6.2686992629875385E-2</v>
      </c>
    </row>
    <row r="50" spans="2:19" x14ac:dyDescent="0.25">
      <c r="B50" s="65" t="s">
        <v>31</v>
      </c>
      <c r="C50" s="22"/>
      <c r="D50" s="23" t="s">
        <v>61</v>
      </c>
      <c r="E50" s="24"/>
      <c r="F50" s="66">
        <v>4.4000000000000003E-3</v>
      </c>
      <c r="G50" s="58">
        <f>F16*(1+F73)</f>
        <v>201216</v>
      </c>
      <c r="H50" s="67">
        <f t="shared" ref="H50:H56" si="13">G50*F50</f>
        <v>885.35040000000004</v>
      </c>
      <c r="I50" s="28"/>
      <c r="J50" s="66">
        <v>4.4000000000000003E-3</v>
      </c>
      <c r="K50" s="59">
        <f>F16*(1+J73)</f>
        <v>201043.19999999998</v>
      </c>
      <c r="L50" s="67">
        <f t="shared" ref="L50:L56" si="14">K50*J50</f>
        <v>884.59007999999994</v>
      </c>
      <c r="M50" s="28"/>
      <c r="N50" s="31">
        <f t="shared" si="2"/>
        <v>-0.76032000000009248</v>
      </c>
      <c r="O50" s="68">
        <f t="shared" si="12"/>
        <v>-8.5877862595430286E-4</v>
      </c>
    </row>
    <row r="51" spans="2:19" x14ac:dyDescent="0.25">
      <c r="B51" s="65" t="s">
        <v>32</v>
      </c>
      <c r="C51" s="22"/>
      <c r="D51" s="23" t="s">
        <v>61</v>
      </c>
      <c r="E51" s="24"/>
      <c r="F51" s="66">
        <v>1.2999999999999999E-3</v>
      </c>
      <c r="G51" s="58">
        <f>G50</f>
        <v>201216</v>
      </c>
      <c r="H51" s="67">
        <f t="shared" si="13"/>
        <v>261.58080000000001</v>
      </c>
      <c r="I51" s="28"/>
      <c r="J51" s="66">
        <v>1.2999999999999999E-3</v>
      </c>
      <c r="K51" s="59">
        <f>K50</f>
        <v>201043.19999999998</v>
      </c>
      <c r="L51" s="67">
        <f t="shared" si="14"/>
        <v>261.35615999999999</v>
      </c>
      <c r="M51" s="28"/>
      <c r="N51" s="31">
        <f t="shared" si="2"/>
        <v>-0.22464000000002216</v>
      </c>
      <c r="O51" s="68">
        <f t="shared" si="12"/>
        <v>-8.5877862595428313E-4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7">
        <f t="shared" si="13"/>
        <v>0.25</v>
      </c>
      <c r="I52" s="28"/>
      <c r="J52" s="176">
        <v>0.25</v>
      </c>
      <c r="K52" s="30">
        <v>1</v>
      </c>
      <c r="L52" s="67">
        <f t="shared" si="14"/>
        <v>0.25</v>
      </c>
      <c r="M52" s="28"/>
      <c r="N52" s="31">
        <f t="shared" si="2"/>
        <v>0</v>
      </c>
      <c r="O52" s="68">
        <f t="shared" si="12"/>
        <v>0</v>
      </c>
    </row>
    <row r="53" spans="2:19" x14ac:dyDescent="0.25">
      <c r="B53" s="22" t="s">
        <v>34</v>
      </c>
      <c r="C53" s="22"/>
      <c r="D53" s="23" t="s">
        <v>61</v>
      </c>
      <c r="E53" s="24"/>
      <c r="F53" s="66">
        <v>7.0000000000000001E-3</v>
      </c>
      <c r="G53" s="69">
        <f>F16</f>
        <v>192000</v>
      </c>
      <c r="H53" s="67">
        <f t="shared" si="13"/>
        <v>1344</v>
      </c>
      <c r="I53" s="28"/>
      <c r="J53" s="66">
        <v>7.0000000000000001E-3</v>
      </c>
      <c r="K53" s="70">
        <f>F16</f>
        <v>192000</v>
      </c>
      <c r="L53" s="67">
        <f t="shared" si="14"/>
        <v>1344</v>
      </c>
      <c r="M53" s="28"/>
      <c r="N53" s="31">
        <f t="shared" si="2"/>
        <v>0</v>
      </c>
      <c r="O53" s="68">
        <f t="shared" si="12"/>
        <v>0</v>
      </c>
    </row>
    <row r="54" spans="2:19" ht="15.75" thickBot="1" x14ac:dyDescent="0.3">
      <c r="B54" s="49" t="s">
        <v>73</v>
      </c>
      <c r="C54" s="22"/>
      <c r="D54" s="23" t="s">
        <v>61</v>
      </c>
      <c r="E54" s="24"/>
      <c r="F54" s="66">
        <v>8.2699999999999996E-2</v>
      </c>
      <c r="G54" s="69">
        <f>F16</f>
        <v>192000</v>
      </c>
      <c r="H54" s="67">
        <f t="shared" si="13"/>
        <v>15878.4</v>
      </c>
      <c r="I54" s="28"/>
      <c r="J54" s="66">
        <v>8.2699999999999996E-2</v>
      </c>
      <c r="K54" s="69">
        <f>G54</f>
        <v>192000</v>
      </c>
      <c r="L54" s="67">
        <f t="shared" si="14"/>
        <v>15878.4</v>
      </c>
      <c r="M54" s="28"/>
      <c r="N54" s="31">
        <f t="shared" si="2"/>
        <v>0</v>
      </c>
      <c r="O54" s="68">
        <f t="shared" si="12"/>
        <v>0</v>
      </c>
      <c r="S54" s="72"/>
    </row>
    <row r="55" spans="2:19" ht="15.75" hidden="1" thickBot="1" x14ac:dyDescent="0.3">
      <c r="B55" s="49" t="s">
        <v>36</v>
      </c>
      <c r="C55" s="22"/>
      <c r="D55" s="23"/>
      <c r="E55" s="24"/>
      <c r="F55" s="71">
        <v>0.104</v>
      </c>
      <c r="G55" s="69">
        <v>0</v>
      </c>
      <c r="H55" s="67">
        <f t="shared" si="13"/>
        <v>0</v>
      </c>
      <c r="I55" s="28"/>
      <c r="J55" s="66">
        <v>0.104</v>
      </c>
      <c r="K55" s="69">
        <v>0</v>
      </c>
      <c r="L55" s="67">
        <f t="shared" si="14"/>
        <v>0</v>
      </c>
      <c r="M55" s="28"/>
      <c r="N55" s="31">
        <f t="shared" si="2"/>
        <v>0</v>
      </c>
      <c r="O55" s="68" t="str">
        <f t="shared" si="12"/>
        <v/>
      </c>
      <c r="S55" s="72"/>
    </row>
    <row r="56" spans="2:19" ht="15.75" hidden="1" thickBot="1" x14ac:dyDescent="0.3">
      <c r="B56" s="12" t="s">
        <v>37</v>
      </c>
      <c r="C56" s="22"/>
      <c r="D56" s="23"/>
      <c r="E56" s="24"/>
      <c r="F56" s="71">
        <v>0.124</v>
      </c>
      <c r="G56" s="69">
        <v>0</v>
      </c>
      <c r="H56" s="67">
        <f t="shared" si="13"/>
        <v>0</v>
      </c>
      <c r="I56" s="28"/>
      <c r="J56" s="66">
        <v>0.124</v>
      </c>
      <c r="K56" s="69">
        <v>0</v>
      </c>
      <c r="L56" s="67">
        <f t="shared" si="14"/>
        <v>0</v>
      </c>
      <c r="M56" s="28"/>
      <c r="N56" s="31">
        <f t="shared" si="2"/>
        <v>0</v>
      </c>
      <c r="O56" s="68" t="str">
        <f t="shared" si="12"/>
        <v/>
      </c>
      <c r="S56" s="72"/>
    </row>
    <row r="57" spans="2:19" s="73" customFormat="1" ht="15.75" hidden="1" thickBot="1" x14ac:dyDescent="0.25">
      <c r="B57" s="179" t="s">
        <v>38</v>
      </c>
      <c r="C57" s="75"/>
      <c r="D57" s="76"/>
      <c r="E57" s="77"/>
      <c r="F57" s="71">
        <v>7.4999999999999997E-2</v>
      </c>
      <c r="G57" s="78">
        <v>0</v>
      </c>
      <c r="H57" s="67">
        <f>G57*F57</f>
        <v>0</v>
      </c>
      <c r="I57" s="79"/>
      <c r="J57" s="66">
        <v>7.4999999999999997E-2</v>
      </c>
      <c r="K57" s="78">
        <f>G57</f>
        <v>0</v>
      </c>
      <c r="L57" s="67">
        <f>K57*J57</f>
        <v>0</v>
      </c>
      <c r="M57" s="79"/>
      <c r="N57" s="80">
        <f t="shared" si="2"/>
        <v>0</v>
      </c>
      <c r="O57" s="68" t="str">
        <f t="shared" si="12"/>
        <v/>
      </c>
    </row>
    <row r="58" spans="2:19" s="73" customFormat="1" ht="15.75" hidden="1" thickBot="1" x14ac:dyDescent="0.25">
      <c r="B58" s="179" t="s">
        <v>39</v>
      </c>
      <c r="C58" s="75"/>
      <c r="D58" s="76"/>
      <c r="E58" s="77"/>
      <c r="F58" s="71">
        <v>8.7999999999999995E-2</v>
      </c>
      <c r="G58" s="78">
        <v>0</v>
      </c>
      <c r="H58" s="67">
        <f>G58*F58</f>
        <v>0</v>
      </c>
      <c r="I58" s="79"/>
      <c r="J58" s="66">
        <v>8.7999999999999995E-2</v>
      </c>
      <c r="K58" s="78">
        <f>G58</f>
        <v>0</v>
      </c>
      <c r="L58" s="67">
        <f>K58*J58</f>
        <v>0</v>
      </c>
      <c r="M58" s="79"/>
      <c r="N58" s="80">
        <f t="shared" si="2"/>
        <v>0</v>
      </c>
      <c r="O58" s="68" t="str">
        <f t="shared" si="12"/>
        <v/>
      </c>
    </row>
    <row r="59" spans="2:19" ht="15.75" hidden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t="15.75" hidden="1" thickBot="1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22287.180700000001</v>
      </c>
      <c r="I60" s="95"/>
      <c r="J60" s="96"/>
      <c r="K60" s="96"/>
      <c r="L60" s="94">
        <f>SUM(L50:L56,L49)</f>
        <v>22040.613209016694</v>
      </c>
      <c r="M60" s="97"/>
      <c r="N60" s="98">
        <f>L60-H60</f>
        <v>-246.56749098330693</v>
      </c>
      <c r="O60" s="99">
        <f>IF((H60)=0,"",(N60/H60))</f>
        <v>-1.106319791194168E-2</v>
      </c>
      <c r="S60" s="72"/>
    </row>
    <row r="61" spans="2:19" ht="15.75" hidden="1" thickBot="1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2897.3334910000003</v>
      </c>
      <c r="I61" s="104"/>
      <c r="J61" s="105">
        <v>0.13</v>
      </c>
      <c r="K61" s="104"/>
      <c r="L61" s="106">
        <f>L60*J61</f>
        <v>2865.2797171721704</v>
      </c>
      <c r="M61" s="107"/>
      <c r="N61" s="108">
        <f t="shared" si="2"/>
        <v>-32.0537738278299</v>
      </c>
      <c r="O61" s="109">
        <f t="shared" si="12"/>
        <v>-1.1063197911941679E-2</v>
      </c>
      <c r="S61" s="72"/>
    </row>
    <row r="62" spans="2:19" ht="15.75" hidden="1" thickBot="1" x14ac:dyDescent="0.3">
      <c r="B62" s="110" t="s">
        <v>42</v>
      </c>
      <c r="C62" s="22"/>
      <c r="D62" s="22"/>
      <c r="E62" s="22"/>
      <c r="F62" s="111"/>
      <c r="G62" s="102"/>
      <c r="H62" s="103">
        <f>H60+H61</f>
        <v>25184.514191000002</v>
      </c>
      <c r="I62" s="104"/>
      <c r="J62" s="104"/>
      <c r="K62" s="104"/>
      <c r="L62" s="106">
        <f>L60+L61</f>
        <v>24905.892926188862</v>
      </c>
      <c r="M62" s="107"/>
      <c r="N62" s="108">
        <f t="shared" si="2"/>
        <v>-278.62126481113955</v>
      </c>
      <c r="O62" s="109">
        <f t="shared" si="12"/>
        <v>-1.1063197911941788E-2</v>
      </c>
      <c r="S62" s="72"/>
    </row>
    <row r="63" spans="2:19" ht="15.75" hidden="1" thickBot="1" x14ac:dyDescent="0.3">
      <c r="B63" s="248" t="s">
        <v>43</v>
      </c>
      <c r="C63" s="248"/>
      <c r="D63" s="248"/>
      <c r="E63" s="22"/>
      <c r="F63" s="111"/>
      <c r="G63" s="102"/>
      <c r="H63" s="112">
        <f>ROUND(-H62*10%,2)</f>
        <v>-2518.4499999999998</v>
      </c>
      <c r="I63" s="104"/>
      <c r="J63" s="104"/>
      <c r="K63" s="104"/>
      <c r="L63" s="113">
        <f>ROUND(-L62*10%,2)</f>
        <v>-2490.59</v>
      </c>
      <c r="M63" s="107"/>
      <c r="N63" s="114">
        <f t="shared" si="2"/>
        <v>27.859999999999673</v>
      </c>
      <c r="O63" s="115">
        <f t="shared" si="12"/>
        <v>-1.1062359784788133E-2</v>
      </c>
    </row>
    <row r="64" spans="2:19" ht="15.75" hidden="1" thickBot="1" x14ac:dyDescent="0.3">
      <c r="B64" s="240" t="s">
        <v>44</v>
      </c>
      <c r="C64" s="240"/>
      <c r="D64" s="240"/>
      <c r="E64" s="116"/>
      <c r="F64" s="117"/>
      <c r="G64" s="118"/>
      <c r="H64" s="119">
        <f>H62+H63</f>
        <v>22666.064191000001</v>
      </c>
      <c r="I64" s="120"/>
      <c r="J64" s="120"/>
      <c r="K64" s="120"/>
      <c r="L64" s="121">
        <f>L62+L63</f>
        <v>22415.302926188862</v>
      </c>
      <c r="M64" s="122"/>
      <c r="N64" s="123">
        <f t="shared" si="2"/>
        <v>-250.76126481113897</v>
      </c>
      <c r="O64" s="124">
        <f t="shared" si="12"/>
        <v>-1.1063291037122738E-2</v>
      </c>
    </row>
    <row r="65" spans="1:15" s="73" customFormat="1" ht="15.75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SUM(H54,H49,H50:H53)</f>
        <v>22287.180699999997</v>
      </c>
      <c r="I66" s="136"/>
      <c r="J66" s="137"/>
      <c r="K66" s="137"/>
      <c r="L66" s="188">
        <f>SUM(L54,L49,L50:L53)</f>
        <v>22040.613209016698</v>
      </c>
      <c r="M66" s="138"/>
      <c r="N66" s="139">
        <f>L66-H66</f>
        <v>-246.56749098329965</v>
      </c>
      <c r="O66" s="99">
        <f>IF((H66)=0,"",(N66/H66))</f>
        <v>-1.1063197911941356E-2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2897.3334909999999</v>
      </c>
      <c r="I67" s="143"/>
      <c r="J67" s="144">
        <v>0.13</v>
      </c>
      <c r="K67" s="145"/>
      <c r="L67" s="146">
        <f>L66*J67</f>
        <v>2865.2797171721709</v>
      </c>
      <c r="M67" s="147"/>
      <c r="N67" s="148">
        <f>L67-H67</f>
        <v>-32.053773827828991</v>
      </c>
      <c r="O67" s="109">
        <f>IF((H67)=0,"",(N67/H67))</f>
        <v>-1.1063197911941366E-2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25184.514190999998</v>
      </c>
      <c r="I68" s="143"/>
      <c r="J68" s="143"/>
      <c r="K68" s="143"/>
      <c r="L68" s="146">
        <f>L66+L67</f>
        <v>24905.89292618887</v>
      </c>
      <c r="M68" s="147"/>
      <c r="N68" s="148">
        <f>L68-H68</f>
        <v>-278.62126481112864</v>
      </c>
      <c r="O68" s="109">
        <f>IF((H68)=0,"",(N68/H68))</f>
        <v>-1.1063197911941356E-2</v>
      </c>
    </row>
    <row r="69" spans="1:15" s="73" customFormat="1" ht="12.75" x14ac:dyDescent="0.2">
      <c r="B69" s="249" t="s">
        <v>43</v>
      </c>
      <c r="C69" s="249"/>
      <c r="D69" s="249"/>
      <c r="E69" s="75"/>
      <c r="F69" s="150"/>
      <c r="G69" s="151"/>
      <c r="H69" s="152"/>
      <c r="I69" s="143"/>
      <c r="J69" s="143"/>
      <c r="K69" s="143"/>
      <c r="L69" s="153"/>
      <c r="M69" s="147"/>
      <c r="N69" s="154">
        <f>L69-H69</f>
        <v>0</v>
      </c>
      <c r="O69" s="115" t="str">
        <f>IF((H69)=0,"",(N69/H69))</f>
        <v/>
      </c>
    </row>
    <row r="70" spans="1:15" s="73" customFormat="1" ht="13.5" thickBot="1" x14ac:dyDescent="0.25">
      <c r="B70" s="241" t="s">
        <v>46</v>
      </c>
      <c r="C70" s="241"/>
      <c r="D70" s="241"/>
      <c r="E70" s="155"/>
      <c r="F70" s="156"/>
      <c r="G70" s="157"/>
      <c r="H70" s="158">
        <f>SUM(H68:H69)</f>
        <v>25184.514190999998</v>
      </c>
      <c r="I70" s="159"/>
      <c r="J70" s="159"/>
      <c r="K70" s="159"/>
      <c r="L70" s="160">
        <f>SUM(L68:L69)</f>
        <v>24905.89292618887</v>
      </c>
      <c r="M70" s="161"/>
      <c r="N70" s="162">
        <f>L70-H70</f>
        <v>-278.62126481112864</v>
      </c>
      <c r="O70" s="163">
        <f>IF((H70)=0,"",(N70/H70))</f>
        <v>-1.1063197911941356E-2</v>
      </c>
    </row>
    <row r="71" spans="1:15" s="73" customFormat="1" ht="15.75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x14ac:dyDescent="0.25">
      <c r="L72" s="72"/>
    </row>
    <row r="73" spans="1:15" x14ac:dyDescent="0.25">
      <c r="B73" s="13" t="s">
        <v>47</v>
      </c>
      <c r="F73" s="170">
        <v>4.8000000000000001E-2</v>
      </c>
      <c r="J73" s="170">
        <f>'Res (100kWh)'!$J$74</f>
        <v>4.7100000000000003E-2</v>
      </c>
    </row>
    <row r="75" spans="1:15" x14ac:dyDescent="0.25">
      <c r="A75" s="171" t="s">
        <v>48</v>
      </c>
    </row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8:O8"/>
    <mergeCell ref="N1:O1"/>
    <mergeCell ref="N2:O2"/>
    <mergeCell ref="N3:O3"/>
    <mergeCell ref="N5:O5"/>
    <mergeCell ref="B63:D63"/>
    <mergeCell ref="B64:D64"/>
    <mergeCell ref="B69:D69"/>
    <mergeCell ref="B70:D70"/>
    <mergeCell ref="B9:O9"/>
    <mergeCell ref="D12:O12"/>
    <mergeCell ref="F18:H18"/>
    <mergeCell ref="J18:L18"/>
    <mergeCell ref="N18:O18"/>
    <mergeCell ref="D19:D20"/>
    <mergeCell ref="N19:N20"/>
    <mergeCell ref="O19:O20"/>
  </mergeCells>
  <dataValidations count="3">
    <dataValidation type="list" allowBlank="1" showInputMessage="1" showErrorMessage="1" sqref="D14">
      <formula1>"TOU, non-TOU"</formula1>
    </dataValidation>
    <dataValidation type="list" allowBlank="1" showInputMessage="1" showErrorMessage="1" prompt="Select Charge Unit - monthly, per kWh, per kW" sqref="D47:D48 D39:D45 D65 D50:D59 D71 D21:D37">
      <formula1>"Monthly, per kWh, per kW"</formula1>
    </dataValidation>
    <dataValidation type="list" allowBlank="1" showInputMessage="1" showErrorMessage="1" sqref="E47:E48 E39:E45 E21:E37 E50:E59 E71 E65">
      <formula1>#REF!</formula1>
    </dataValidation>
  </dataValidations>
  <pageMargins left="0.7" right="0.7" top="0.75" bottom="0.75" header="0.3" footer="0.3"/>
  <pageSetup scale="58" fitToHeight="0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theme="0" tint="-0.14999847407452621"/>
    <pageSetUpPr fitToPage="1"/>
  </sheetPr>
  <dimension ref="A1:T88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2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3.42578125" style="7" bestFit="1" customWidth="1"/>
    <col min="13" max="13" width="2.85546875" style="7" customWidth="1"/>
    <col min="14" max="14" width="12.7109375" style="7" bestFit="1" customWidth="1"/>
    <col min="15" max="15" width="12.85546875" style="7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8-D</v>
      </c>
      <c r="O3" s="234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34">
        <f>'Res (100kWh)'!$N$5:$O$5</f>
        <v>41985</v>
      </c>
      <c r="O5" s="234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81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900000</v>
      </c>
      <c r="G16" s="13" t="s">
        <v>7</v>
      </c>
      <c r="H16" s="14">
        <v>3000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5844.1</v>
      </c>
      <c r="G21" s="26">
        <v>1</v>
      </c>
      <c r="H21" s="27">
        <f>G21*F21</f>
        <v>5844.1</v>
      </c>
      <c r="I21" s="28"/>
      <c r="J21" s="173">
        <v>6725.12</v>
      </c>
      <c r="K21" s="30">
        <v>1</v>
      </c>
      <c r="L21" s="27">
        <f>K21*J21</f>
        <v>6725.12</v>
      </c>
      <c r="M21" s="28"/>
      <c r="N21" s="31">
        <f>L21-H21</f>
        <v>881.01999999999953</v>
      </c>
      <c r="O21" s="32">
        <f>IF((H21)=0,"",(N21/H21))</f>
        <v>0.15075375164696009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46" t="s">
        <v>65</v>
      </c>
      <c r="C25" s="22"/>
      <c r="D25" s="23" t="s">
        <v>70</v>
      </c>
      <c r="E25" s="24"/>
      <c r="F25" s="25">
        <v>-1.8700000000000001E-2</v>
      </c>
      <c r="G25" s="178">
        <f>$H$16</f>
        <v>3000</v>
      </c>
      <c r="H25" s="27">
        <f t="shared" si="0"/>
        <v>-56.1</v>
      </c>
      <c r="I25" s="28"/>
      <c r="J25" s="29"/>
      <c r="K25" s="178">
        <f>$H$16</f>
        <v>3000</v>
      </c>
      <c r="L25" s="27">
        <f t="shared" si="1"/>
        <v>0</v>
      </c>
      <c r="M25" s="28"/>
      <c r="N25" s="31">
        <f t="shared" si="2"/>
        <v>56.1</v>
      </c>
      <c r="O25" s="32">
        <f t="shared" si="3"/>
        <v>-1</v>
      </c>
    </row>
    <row r="26" spans="2:15" x14ac:dyDescent="0.25">
      <c r="B26" s="46" t="s">
        <v>66</v>
      </c>
      <c r="C26" s="22"/>
      <c r="D26" s="23" t="s">
        <v>70</v>
      </c>
      <c r="E26" s="24"/>
      <c r="F26" s="25"/>
      <c r="G26" s="178">
        <f>$H$16</f>
        <v>3000</v>
      </c>
      <c r="H26" s="27">
        <f t="shared" si="0"/>
        <v>0</v>
      </c>
      <c r="I26" s="28"/>
      <c r="J26" s="29">
        <v>-3.7205378176283048</v>
      </c>
      <c r="K26" s="178">
        <f>$H$16</f>
        <v>3000</v>
      </c>
      <c r="L26" s="27">
        <f t="shared" si="1"/>
        <v>-11161.613452884914</v>
      </c>
      <c r="M26" s="28"/>
      <c r="N26" s="31">
        <f t="shared" si="2"/>
        <v>-11161.613452884914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v>1.115</v>
      </c>
      <c r="G27" s="178">
        <f>$H$16</f>
        <v>3000</v>
      </c>
      <c r="H27" s="27">
        <f t="shared" si="0"/>
        <v>3345</v>
      </c>
      <c r="I27" s="28"/>
      <c r="J27" s="29">
        <v>1.1926000000000001</v>
      </c>
      <c r="K27" s="178">
        <f>$H$16</f>
        <v>3000</v>
      </c>
      <c r="L27" s="27">
        <f t="shared" si="1"/>
        <v>3577.8</v>
      </c>
      <c r="M27" s="28"/>
      <c r="N27" s="31">
        <f t="shared" si="2"/>
        <v>232.80000000000018</v>
      </c>
      <c r="O27" s="32">
        <f t="shared" si="3"/>
        <v>6.9596412556053866E-2</v>
      </c>
    </row>
    <row r="28" spans="2:15" hidden="1" x14ac:dyDescent="0.25">
      <c r="B28" s="22" t="s">
        <v>20</v>
      </c>
      <c r="C28" s="22"/>
      <c r="D28" s="23"/>
      <c r="E28" s="24"/>
      <c r="F28" s="25"/>
      <c r="G28" s="26">
        <f>$F$16</f>
        <v>900000</v>
      </c>
      <c r="H28" s="27">
        <f t="shared" si="0"/>
        <v>0</v>
      </c>
      <c r="I28" s="28"/>
      <c r="J28" s="29"/>
      <c r="K28" s="26">
        <f t="shared" ref="K28:K36" si="4">$F$16</f>
        <v>900000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25">
      <c r="B29" s="22" t="s">
        <v>21</v>
      </c>
      <c r="C29" s="22"/>
      <c r="D29" s="23"/>
      <c r="E29" s="24"/>
      <c r="F29" s="25"/>
      <c r="G29" s="26">
        <f>$F$16</f>
        <v>900000</v>
      </c>
      <c r="H29" s="27">
        <f t="shared" si="0"/>
        <v>0</v>
      </c>
      <c r="I29" s="28"/>
      <c r="J29" s="29"/>
      <c r="K29" s="26">
        <f t="shared" si="4"/>
        <v>900000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33"/>
      <c r="C30" s="22"/>
      <c r="D30" s="23"/>
      <c r="E30" s="24"/>
      <c r="F30" s="25"/>
      <c r="G30" s="26">
        <f t="shared" ref="G30:G36" si="5">$F$16</f>
        <v>900000</v>
      </c>
      <c r="H30" s="27">
        <f t="shared" si="0"/>
        <v>0</v>
      </c>
      <c r="I30" s="28"/>
      <c r="J30" s="29"/>
      <c r="K30" s="26">
        <f t="shared" si="4"/>
        <v>900000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si="5"/>
        <v>900000</v>
      </c>
      <c r="H31" s="27">
        <f t="shared" si="0"/>
        <v>0</v>
      </c>
      <c r="I31" s="28"/>
      <c r="J31" s="29"/>
      <c r="K31" s="26">
        <f t="shared" si="4"/>
        <v>900000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900000</v>
      </c>
      <c r="H32" s="27">
        <f t="shared" si="0"/>
        <v>0</v>
      </c>
      <c r="I32" s="28"/>
      <c r="J32" s="29"/>
      <c r="K32" s="26">
        <f t="shared" si="4"/>
        <v>900000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900000</v>
      </c>
      <c r="H33" s="27">
        <f t="shared" si="0"/>
        <v>0</v>
      </c>
      <c r="I33" s="28"/>
      <c r="J33" s="29"/>
      <c r="K33" s="26">
        <f t="shared" si="4"/>
        <v>900000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900000</v>
      </c>
      <c r="H34" s="27">
        <f t="shared" si="0"/>
        <v>0</v>
      </c>
      <c r="I34" s="28"/>
      <c r="J34" s="29"/>
      <c r="K34" s="26">
        <f t="shared" si="4"/>
        <v>900000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900000</v>
      </c>
      <c r="H35" s="27">
        <f t="shared" si="0"/>
        <v>0</v>
      </c>
      <c r="I35" s="28"/>
      <c r="J35" s="29"/>
      <c r="K35" s="26">
        <f t="shared" si="4"/>
        <v>900000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900000</v>
      </c>
      <c r="H36" s="27">
        <f t="shared" si="0"/>
        <v>0</v>
      </c>
      <c r="I36" s="28"/>
      <c r="J36" s="29"/>
      <c r="K36" s="26">
        <f t="shared" si="4"/>
        <v>900000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9133</v>
      </c>
      <c r="I37" s="41"/>
      <c r="J37" s="42"/>
      <c r="K37" s="43"/>
      <c r="L37" s="40">
        <f>SUM(L21:L36)</f>
        <v>-858.69345288491422</v>
      </c>
      <c r="M37" s="41"/>
      <c r="N37" s="44">
        <f t="shared" si="2"/>
        <v>-9991.6934528849142</v>
      </c>
      <c r="O37" s="45">
        <f t="shared" si="3"/>
        <v>-1.0940209627597628</v>
      </c>
    </row>
    <row r="38" spans="2:15" x14ac:dyDescent="0.25">
      <c r="B38" s="46" t="s">
        <v>23</v>
      </c>
      <c r="C38" s="22"/>
      <c r="D38" s="56" t="s">
        <v>70</v>
      </c>
      <c r="E38" s="57"/>
      <c r="F38" s="29">
        <v>-0.9143</v>
      </c>
      <c r="G38" s="178">
        <f>G27</f>
        <v>3000</v>
      </c>
      <c r="H38" s="27">
        <f t="shared" ref="H38:H44" si="6">G38*F38</f>
        <v>-2742.9</v>
      </c>
      <c r="I38" s="28"/>
      <c r="J38" s="29">
        <v>1.1391249778553509</v>
      </c>
      <c r="K38" s="178">
        <f>H16</f>
        <v>3000</v>
      </c>
      <c r="L38" s="27">
        <f t="shared" ref="L38:L44" si="7">K38*J38</f>
        <v>3417.3749335660527</v>
      </c>
      <c r="M38" s="28"/>
      <c r="N38" s="31">
        <f t="shared" ref="N38:N44" si="8">L38-H38</f>
        <v>6160.2749335660528</v>
      </c>
      <c r="O38" s="32">
        <f t="shared" ref="O38:O43" si="9">IF((H38)=0,"",(N38/H38))</f>
        <v>-2.2458984773655812</v>
      </c>
    </row>
    <row r="39" spans="2:15" hidden="1" x14ac:dyDescent="0.25">
      <c r="B39" s="46"/>
      <c r="C39" s="22"/>
      <c r="D39" s="23" t="s">
        <v>70</v>
      </c>
      <c r="E39" s="24"/>
      <c r="F39" s="25"/>
      <c r="G39" s="178">
        <f>H16</f>
        <v>3000</v>
      </c>
      <c r="H39" s="27">
        <f t="shared" si="6"/>
        <v>0</v>
      </c>
      <c r="I39" s="47"/>
      <c r="J39" s="29"/>
      <c r="K39" s="178">
        <f>H16</f>
        <v>3000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3000</v>
      </c>
      <c r="H40" s="27">
        <f t="shared" si="6"/>
        <v>0</v>
      </c>
      <c r="I40" s="47"/>
      <c r="J40" s="29"/>
      <c r="K40" s="178">
        <f>H16</f>
        <v>3000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30.75" customHeight="1" x14ac:dyDescent="0.25">
      <c r="B41" s="46" t="s">
        <v>74</v>
      </c>
      <c r="C41" s="22"/>
      <c r="D41" s="23" t="s">
        <v>70</v>
      </c>
      <c r="E41" s="24"/>
      <c r="F41" s="29">
        <v>0.41589999999999999</v>
      </c>
      <c r="G41" s="178">
        <f>H16</f>
        <v>3000</v>
      </c>
      <c r="H41" s="27">
        <f t="shared" si="6"/>
        <v>1247.7</v>
      </c>
      <c r="I41" s="47"/>
      <c r="J41" s="29">
        <v>0.93095796056519831</v>
      </c>
      <c r="K41" s="178">
        <f>H16</f>
        <v>3000</v>
      </c>
      <c r="L41" s="27">
        <f t="shared" si="7"/>
        <v>2792.8738816955947</v>
      </c>
      <c r="M41" s="48"/>
      <c r="N41" s="31">
        <f t="shared" si="8"/>
        <v>1545.1738816955947</v>
      </c>
      <c r="O41" s="32">
        <f t="shared" si="9"/>
        <v>1.2384177940976153</v>
      </c>
    </row>
    <row r="42" spans="2:15" x14ac:dyDescent="0.25">
      <c r="B42" s="49" t="s">
        <v>24</v>
      </c>
      <c r="C42" s="22"/>
      <c r="D42" s="23" t="s">
        <v>70</v>
      </c>
      <c r="E42" s="24"/>
      <c r="F42" s="25">
        <v>1.54E-2</v>
      </c>
      <c r="G42" s="178">
        <f>H16</f>
        <v>3000</v>
      </c>
      <c r="H42" s="27">
        <f t="shared" si="6"/>
        <v>46.2</v>
      </c>
      <c r="I42" s="28"/>
      <c r="J42" s="29">
        <v>1.6299999999999999E-2</v>
      </c>
      <c r="K42" s="178">
        <f>H16</f>
        <v>3000</v>
      </c>
      <c r="L42" s="27">
        <f t="shared" si="7"/>
        <v>48.9</v>
      </c>
      <c r="M42" s="28"/>
      <c r="N42" s="31">
        <f t="shared" si="8"/>
        <v>2.6999999999999957</v>
      </c>
      <c r="O42" s="32">
        <f t="shared" si="9"/>
        <v>5.8441558441558343E-2</v>
      </c>
    </row>
    <row r="43" spans="2:15" s="34" customFormat="1" x14ac:dyDescent="0.25">
      <c r="B43" s="180" t="s">
        <v>25</v>
      </c>
      <c r="C43" s="24"/>
      <c r="D43" s="181" t="s">
        <v>61</v>
      </c>
      <c r="E43" s="24"/>
      <c r="F43" s="182">
        <f>IF(ISBLANK(D14)=TRUE, 0, IF(D14="TOU", 0.64*$F$53+0.18*$F$54+0.18*$F$55, IF(AND(D14="non-TOU", G57&gt;0), F57,F56)))</f>
        <v>8.7999999999999995E-2</v>
      </c>
      <c r="G43" s="26">
        <f>$F$16*(1+$F$72)-$F$16</f>
        <v>43200</v>
      </c>
      <c r="H43" s="183">
        <f t="shared" si="6"/>
        <v>3801.6</v>
      </c>
      <c r="I43" s="57"/>
      <c r="J43" s="184">
        <f>IF(ISBLANK(D14)=TRUE, 0, IF(D14="TOU", 0.64*$F$53+0.18*$F$54+0.18*$F$55, IF(AND(D14="non-TOU", K57&gt;0), J57,J56)))</f>
        <v>8.7999999999999995E-2</v>
      </c>
      <c r="K43" s="26">
        <f>$F$16*(1+$J$72)-$F$16</f>
        <v>42389.999999999884</v>
      </c>
      <c r="L43" s="183">
        <f t="shared" si="7"/>
        <v>3730.3199999999897</v>
      </c>
      <c r="M43" s="57"/>
      <c r="N43" s="185">
        <f t="shared" si="8"/>
        <v>-71.280000000010205</v>
      </c>
      <c r="O43" s="186">
        <f t="shared" si="9"/>
        <v>-1.8750000000002685E-2</v>
      </c>
    </row>
    <row r="44" spans="2:15" x14ac:dyDescent="0.25">
      <c r="B44" s="49" t="s">
        <v>26</v>
      </c>
      <c r="C44" s="22"/>
      <c r="D44" s="23" t="s">
        <v>60</v>
      </c>
      <c r="E44" s="24"/>
      <c r="F44" s="177"/>
      <c r="G44" s="26">
        <v>0</v>
      </c>
      <c r="H44" s="27">
        <f t="shared" si="6"/>
        <v>0</v>
      </c>
      <c r="I44" s="28"/>
      <c r="J44" s="177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ht="25.5" x14ac:dyDescent="0.25">
      <c r="B45" s="50" t="s">
        <v>27</v>
      </c>
      <c r="C45" s="51"/>
      <c r="D45" s="51"/>
      <c r="E45" s="51"/>
      <c r="F45" s="52"/>
      <c r="G45" s="53"/>
      <c r="H45" s="54">
        <f>SUM(H38:H44)+H37</f>
        <v>11485.6</v>
      </c>
      <c r="I45" s="41"/>
      <c r="J45" s="53"/>
      <c r="K45" s="55"/>
      <c r="L45" s="54">
        <f>SUM(L38:L44)+L37</f>
        <v>9130.7753623767221</v>
      </c>
      <c r="M45" s="41"/>
      <c r="N45" s="44">
        <f t="shared" ref="N45:N63" si="10">L45-H45</f>
        <v>-2354.8246376232782</v>
      </c>
      <c r="O45" s="45">
        <f t="shared" ref="O45:O63" si="11">IF((H45)=0,"",(N45/H45))</f>
        <v>-0.20502408560486854</v>
      </c>
    </row>
    <row r="46" spans="2:15" x14ac:dyDescent="0.25">
      <c r="B46" s="28" t="s">
        <v>28</v>
      </c>
      <c r="C46" s="28"/>
      <c r="D46" s="56" t="s">
        <v>70</v>
      </c>
      <c r="E46" s="57"/>
      <c r="F46" s="29">
        <v>2.8921000000000001</v>
      </c>
      <c r="G46" s="58">
        <f>H16*(1+F72)</f>
        <v>3144</v>
      </c>
      <c r="H46" s="27">
        <f>G46*F46</f>
        <v>9092.7623999999996</v>
      </c>
      <c r="I46" s="28"/>
      <c r="J46" s="29">
        <v>3.0147133483427395</v>
      </c>
      <c r="K46" s="59">
        <f>H16*(1+J72)</f>
        <v>3141.2999999999997</v>
      </c>
      <c r="L46" s="27">
        <f>K46*J46</f>
        <v>9470.1190411490461</v>
      </c>
      <c r="M46" s="28"/>
      <c r="N46" s="31">
        <f t="shared" si="10"/>
        <v>377.35664114904648</v>
      </c>
      <c r="O46" s="32">
        <f t="shared" si="11"/>
        <v>4.15007700134171E-2</v>
      </c>
    </row>
    <row r="47" spans="2:15" x14ac:dyDescent="0.25">
      <c r="B47" s="60" t="s">
        <v>29</v>
      </c>
      <c r="C47" s="28"/>
      <c r="D47" s="56" t="s">
        <v>70</v>
      </c>
      <c r="E47" s="57"/>
      <c r="F47" s="29">
        <v>2.2395999999999998</v>
      </c>
      <c r="G47" s="58">
        <f>G46</f>
        <v>3144</v>
      </c>
      <c r="H47" s="27">
        <f>G47*F47</f>
        <v>7041.3023999999996</v>
      </c>
      <c r="I47" s="28"/>
      <c r="J47" s="29">
        <v>2.2444969995724233</v>
      </c>
      <c r="K47" s="59">
        <f>K46</f>
        <v>3141.2999999999997</v>
      </c>
      <c r="L47" s="27">
        <f>K47*J47</f>
        <v>7050.6384247568531</v>
      </c>
      <c r="M47" s="28"/>
      <c r="N47" s="31">
        <f t="shared" si="10"/>
        <v>9.336024756853476</v>
      </c>
      <c r="O47" s="32">
        <f t="shared" si="11"/>
        <v>1.3258945897357678E-3</v>
      </c>
    </row>
    <row r="48" spans="2:15" x14ac:dyDescent="0.25">
      <c r="B48" s="50" t="s">
        <v>30</v>
      </c>
      <c r="C48" s="36"/>
      <c r="D48" s="36"/>
      <c r="E48" s="36"/>
      <c r="F48" s="61"/>
      <c r="G48" s="53"/>
      <c r="H48" s="54">
        <f>SUM(H45:H47)</f>
        <v>27619.664799999999</v>
      </c>
      <c r="I48" s="62"/>
      <c r="J48" s="63"/>
      <c r="K48" s="64"/>
      <c r="L48" s="54">
        <f>SUM(L45:L47)</f>
        <v>25651.532828282619</v>
      </c>
      <c r="M48" s="62"/>
      <c r="N48" s="44">
        <f t="shared" si="10"/>
        <v>-1968.1319717173792</v>
      </c>
      <c r="O48" s="45">
        <f t="shared" si="11"/>
        <v>-7.1258358346093301E-2</v>
      </c>
    </row>
    <row r="49" spans="2:19" x14ac:dyDescent="0.25">
      <c r="B49" s="65" t="s">
        <v>31</v>
      </c>
      <c r="C49" s="22"/>
      <c r="D49" s="23" t="s">
        <v>61</v>
      </c>
      <c r="E49" s="24"/>
      <c r="F49" s="66">
        <v>4.4000000000000003E-3</v>
      </c>
      <c r="G49" s="58">
        <f>F16*(F72)</f>
        <v>43200</v>
      </c>
      <c r="H49" s="67">
        <f t="shared" ref="H49:H55" si="12">G49*F49</f>
        <v>190.08</v>
      </c>
      <c r="I49" s="28"/>
      <c r="J49" s="66">
        <v>4.4000000000000003E-3</v>
      </c>
      <c r="K49" s="59">
        <f>F16*(J72)</f>
        <v>42390</v>
      </c>
      <c r="L49" s="67">
        <f t="shared" ref="L49:L55" si="13">K49*J49</f>
        <v>186.51600000000002</v>
      </c>
      <c r="M49" s="28"/>
      <c r="N49" s="31">
        <f t="shared" si="10"/>
        <v>-3.563999999999993</v>
      </c>
      <c r="O49" s="68">
        <f t="shared" si="11"/>
        <v>-1.8749999999999961E-2</v>
      </c>
    </row>
    <row r="50" spans="2:19" x14ac:dyDescent="0.25">
      <c r="B50" s="65" t="s">
        <v>32</v>
      </c>
      <c r="C50" s="22"/>
      <c r="D50" s="23" t="s">
        <v>61</v>
      </c>
      <c r="E50" s="24"/>
      <c r="F50" s="66">
        <v>1.2999999999999999E-3</v>
      </c>
      <c r="G50" s="58">
        <f>G49</f>
        <v>43200</v>
      </c>
      <c r="H50" s="67">
        <f t="shared" si="12"/>
        <v>56.16</v>
      </c>
      <c r="I50" s="28"/>
      <c r="J50" s="66">
        <v>1.2999999999999999E-3</v>
      </c>
      <c r="K50" s="59">
        <f>K49</f>
        <v>42390</v>
      </c>
      <c r="L50" s="67">
        <f t="shared" si="13"/>
        <v>55.106999999999999</v>
      </c>
      <c r="M50" s="28"/>
      <c r="N50" s="31">
        <f t="shared" si="10"/>
        <v>-1.0529999999999973</v>
      </c>
      <c r="O50" s="68">
        <f t="shared" si="11"/>
        <v>-1.8749999999999954E-2</v>
      </c>
    </row>
    <row r="51" spans="2:19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7">
        <f t="shared" si="12"/>
        <v>0.25</v>
      </c>
      <c r="I51" s="28"/>
      <c r="J51" s="176">
        <v>0.25</v>
      </c>
      <c r="K51" s="30">
        <v>1</v>
      </c>
      <c r="L51" s="67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x14ac:dyDescent="0.25">
      <c r="B52" s="22" t="s">
        <v>34</v>
      </c>
      <c r="C52" s="22"/>
      <c r="D52" s="23" t="s">
        <v>61</v>
      </c>
      <c r="E52" s="24"/>
      <c r="F52" s="66">
        <v>7.0000000000000001E-3</v>
      </c>
      <c r="G52" s="69">
        <f>F16</f>
        <v>900000</v>
      </c>
      <c r="H52" s="67">
        <f t="shared" si="12"/>
        <v>6300</v>
      </c>
      <c r="I52" s="28"/>
      <c r="J52" s="66">
        <v>7.0000000000000001E-3</v>
      </c>
      <c r="K52" s="70">
        <f>F16</f>
        <v>900000</v>
      </c>
      <c r="L52" s="67">
        <f t="shared" si="13"/>
        <v>6300</v>
      </c>
      <c r="M52" s="28"/>
      <c r="N52" s="31">
        <f t="shared" si="10"/>
        <v>0</v>
      </c>
      <c r="O52" s="68">
        <f t="shared" si="11"/>
        <v>0</v>
      </c>
    </row>
    <row r="53" spans="2:19" ht="15.75" thickBot="1" x14ac:dyDescent="0.3">
      <c r="B53" s="49" t="s">
        <v>73</v>
      </c>
      <c r="C53" s="22"/>
      <c r="D53" s="23" t="s">
        <v>61</v>
      </c>
      <c r="E53" s="24"/>
      <c r="F53" s="66">
        <v>8.2699999999999996E-2</v>
      </c>
      <c r="G53" s="69">
        <f>F16</f>
        <v>900000</v>
      </c>
      <c r="H53" s="187">
        <f t="shared" si="12"/>
        <v>74430</v>
      </c>
      <c r="I53" s="57"/>
      <c r="J53" s="66">
        <v>8.2699999999999996E-2</v>
      </c>
      <c r="K53" s="69">
        <f>G53</f>
        <v>900000</v>
      </c>
      <c r="L53" s="67">
        <f t="shared" si="13"/>
        <v>74430</v>
      </c>
      <c r="M53" s="28"/>
      <c r="N53" s="31">
        <f t="shared" si="10"/>
        <v>0</v>
      </c>
      <c r="O53" s="68">
        <f t="shared" si="11"/>
        <v>0</v>
      </c>
      <c r="S53" s="72"/>
    </row>
    <row r="54" spans="2:19" hidden="1" x14ac:dyDescent="0.25">
      <c r="B54" s="49" t="s">
        <v>36</v>
      </c>
      <c r="C54" s="22"/>
      <c r="D54" s="23"/>
      <c r="E54" s="24"/>
      <c r="F54" s="71">
        <v>0.104</v>
      </c>
      <c r="G54" s="58">
        <v>0</v>
      </c>
      <c r="H54" s="67">
        <f t="shared" si="12"/>
        <v>0</v>
      </c>
      <c r="I54" s="28"/>
      <c r="J54" s="66">
        <v>0.104</v>
      </c>
      <c r="K54" s="58">
        <v>0</v>
      </c>
      <c r="L54" s="67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idden="1" x14ac:dyDescent="0.25">
      <c r="B55" s="12" t="s">
        <v>37</v>
      </c>
      <c r="C55" s="22"/>
      <c r="D55" s="23"/>
      <c r="E55" s="24"/>
      <c r="F55" s="71">
        <v>0.124</v>
      </c>
      <c r="G55" s="58">
        <v>0</v>
      </c>
      <c r="H55" s="67">
        <f t="shared" si="12"/>
        <v>0</v>
      </c>
      <c r="I55" s="28"/>
      <c r="J55" s="66">
        <v>0.124</v>
      </c>
      <c r="K55" s="58">
        <v>0</v>
      </c>
      <c r="L55" s="67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idden="1" x14ac:dyDescent="0.2">
      <c r="B56" s="179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600</v>
      </c>
      <c r="H56" s="67">
        <f>G56*F56</f>
        <v>45</v>
      </c>
      <c r="I56" s="79"/>
      <c r="J56" s="66">
        <v>7.4999999999999997E-2</v>
      </c>
      <c r="K56" s="78">
        <f>G56</f>
        <v>600</v>
      </c>
      <c r="L56" s="67">
        <f>K56*J56</f>
        <v>45</v>
      </c>
      <c r="M56" s="79"/>
      <c r="N56" s="80">
        <f t="shared" si="10"/>
        <v>0</v>
      </c>
      <c r="O56" s="68">
        <f t="shared" si="11"/>
        <v>0</v>
      </c>
    </row>
    <row r="57" spans="2:19" s="73" customFormat="1" ht="15.75" hidden="1" thickBot="1" x14ac:dyDescent="0.25">
      <c r="B57" s="179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899400</v>
      </c>
      <c r="H57" s="67">
        <f>G57*F57</f>
        <v>79147.199999999997</v>
      </c>
      <c r="I57" s="79"/>
      <c r="J57" s="66">
        <v>8.7999999999999995E-2</v>
      </c>
      <c r="K57" s="78">
        <f>G57</f>
        <v>899400</v>
      </c>
      <c r="L57" s="67">
        <f>K57*J57</f>
        <v>79147.199999999997</v>
      </c>
      <c r="M57" s="79"/>
      <c r="N57" s="80">
        <f t="shared" si="10"/>
        <v>0</v>
      </c>
      <c r="O57" s="68">
        <f t="shared" si="11"/>
        <v>0</v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idden="1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108596.1548</v>
      </c>
      <c r="I59" s="95"/>
      <c r="J59" s="96"/>
      <c r="K59" s="96"/>
      <c r="L59" s="94">
        <f>SUM(L49:L55,L48)</f>
        <v>106623.40582828262</v>
      </c>
      <c r="M59" s="97"/>
      <c r="N59" s="98">
        <f>L59-H59</f>
        <v>-1972.7489717173885</v>
      </c>
      <c r="O59" s="99">
        <f>IF((H59)=0,"",(N59/H59))</f>
        <v>-1.8165919183331786E-2</v>
      </c>
      <c r="S59" s="72"/>
    </row>
    <row r="60" spans="2:19" hidden="1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14117.500124</v>
      </c>
      <c r="I60" s="104"/>
      <c r="J60" s="105">
        <v>0.13</v>
      </c>
      <c r="K60" s="104"/>
      <c r="L60" s="106">
        <f>L59*J60</f>
        <v>13861.04275767674</v>
      </c>
      <c r="M60" s="107"/>
      <c r="N60" s="108">
        <f t="shared" si="10"/>
        <v>-256.45736632326043</v>
      </c>
      <c r="O60" s="109">
        <f t="shared" si="11"/>
        <v>-1.8165919183331783E-2</v>
      </c>
      <c r="S60" s="72"/>
    </row>
    <row r="61" spans="2:19" hidden="1" x14ac:dyDescent="0.25">
      <c r="B61" s="110" t="s">
        <v>42</v>
      </c>
      <c r="C61" s="22"/>
      <c r="D61" s="22"/>
      <c r="E61" s="22"/>
      <c r="F61" s="111"/>
      <c r="G61" s="102"/>
      <c r="H61" s="103">
        <f>H59+H60</f>
        <v>122713.654924</v>
      </c>
      <c r="I61" s="104"/>
      <c r="J61" s="104"/>
      <c r="K61" s="104"/>
      <c r="L61" s="106">
        <f>L59+L60</f>
        <v>120484.44858595936</v>
      </c>
      <c r="M61" s="107"/>
      <c r="N61" s="108">
        <f t="shared" si="10"/>
        <v>-2229.2063380406471</v>
      </c>
      <c r="O61" s="109">
        <f t="shared" si="11"/>
        <v>-1.8165919183331772E-2</v>
      </c>
      <c r="S61" s="72"/>
    </row>
    <row r="62" spans="2:19" ht="15.75" hidden="1" customHeight="1" x14ac:dyDescent="0.25">
      <c r="B62" s="248" t="s">
        <v>43</v>
      </c>
      <c r="C62" s="248"/>
      <c r="D62" s="248"/>
      <c r="E62" s="22"/>
      <c r="F62" s="111"/>
      <c r="G62" s="102"/>
      <c r="H62" s="112">
        <f>ROUND(-H61*10%,2)</f>
        <v>-12271.37</v>
      </c>
      <c r="I62" s="104"/>
      <c r="J62" s="104"/>
      <c r="K62" s="104"/>
      <c r="L62" s="113">
        <f>ROUND(-L61*10%,2)</f>
        <v>-12048.44</v>
      </c>
      <c r="M62" s="107"/>
      <c r="N62" s="114">
        <f t="shared" si="10"/>
        <v>222.93000000000029</v>
      </c>
      <c r="O62" s="115">
        <f t="shared" si="11"/>
        <v>-1.8166675766438489E-2</v>
      </c>
    </row>
    <row r="63" spans="2:19" hidden="1" x14ac:dyDescent="0.25">
      <c r="B63" s="240" t="s">
        <v>44</v>
      </c>
      <c r="C63" s="240"/>
      <c r="D63" s="240"/>
      <c r="E63" s="116"/>
      <c r="F63" s="117"/>
      <c r="G63" s="118"/>
      <c r="H63" s="119">
        <f>H61+H62</f>
        <v>110442.28492400001</v>
      </c>
      <c r="I63" s="120"/>
      <c r="J63" s="120"/>
      <c r="K63" s="120"/>
      <c r="L63" s="121">
        <f>L61+L62</f>
        <v>108436.00858595935</v>
      </c>
      <c r="M63" s="122"/>
      <c r="N63" s="123">
        <f t="shared" si="10"/>
        <v>-2006.2763380406541</v>
      </c>
      <c r="O63" s="124">
        <f t="shared" si="11"/>
        <v>-1.8165835118507893E-2</v>
      </c>
    </row>
    <row r="64" spans="2:19" s="73" customFormat="1" ht="8.25" hidden="1" customHeight="1" x14ac:dyDescent="0.2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108596.1548</v>
      </c>
      <c r="I65" s="136"/>
      <c r="J65" s="137"/>
      <c r="K65" s="137"/>
      <c r="L65" s="188">
        <f>SUM(L53,L48,L49:L52)</f>
        <v>106623.40582828263</v>
      </c>
      <c r="M65" s="138"/>
      <c r="N65" s="139">
        <f>L65-H65</f>
        <v>-1972.7489717173739</v>
      </c>
      <c r="O65" s="99">
        <f>IF((H65)=0,"",(N65/H65))</f>
        <v>-1.8165919183331655E-2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14117.500124</v>
      </c>
      <c r="I66" s="143"/>
      <c r="J66" s="144">
        <v>0.13</v>
      </c>
      <c r="K66" s="145"/>
      <c r="L66" s="146">
        <f>L65*J66</f>
        <v>13861.042757676742</v>
      </c>
      <c r="M66" s="147"/>
      <c r="N66" s="148">
        <f>L66-H66</f>
        <v>-256.45736632325861</v>
      </c>
      <c r="O66" s="109">
        <f>IF((H66)=0,"",(N66/H66))</f>
        <v>-1.8165919183331655E-2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122713.654924</v>
      </c>
      <c r="I67" s="143"/>
      <c r="J67" s="143"/>
      <c r="K67" s="143"/>
      <c r="L67" s="146">
        <f>L65+L66</f>
        <v>120484.44858595937</v>
      </c>
      <c r="M67" s="147"/>
      <c r="N67" s="148">
        <f>L67-H67</f>
        <v>-2229.2063380406325</v>
      </c>
      <c r="O67" s="109">
        <f>IF((H67)=0,"",(N67/H67))</f>
        <v>-1.8165919183331655E-2</v>
      </c>
    </row>
    <row r="68" spans="1:15" s="73" customFormat="1" ht="15.75" customHeight="1" x14ac:dyDescent="0.2">
      <c r="B68" s="249" t="s">
        <v>43</v>
      </c>
      <c r="C68" s="249"/>
      <c r="D68" s="249"/>
      <c r="E68" s="75"/>
      <c r="F68" s="150"/>
      <c r="G68" s="151"/>
      <c r="H68" s="152">
        <f>ROUND(-H67*10%,2)</f>
        <v>-12271.37</v>
      </c>
      <c r="I68" s="143"/>
      <c r="J68" s="143"/>
      <c r="K68" s="143"/>
      <c r="L68" s="153">
        <f>ROUND(-L67*10%,2)</f>
        <v>-12048.44</v>
      </c>
      <c r="M68" s="147"/>
      <c r="N68" s="154">
        <f>L68-H68</f>
        <v>222.93000000000029</v>
      </c>
      <c r="O68" s="115">
        <f>IF((H68)=0,"",(N68/H68))</f>
        <v>-1.8166675766438489E-2</v>
      </c>
    </row>
    <row r="69" spans="1:15" s="73" customFormat="1" ht="13.5" thickBot="1" x14ac:dyDescent="0.25">
      <c r="B69" s="241" t="s">
        <v>46</v>
      </c>
      <c r="C69" s="241"/>
      <c r="D69" s="241"/>
      <c r="E69" s="155"/>
      <c r="F69" s="156"/>
      <c r="G69" s="157"/>
      <c r="H69" s="158">
        <f>SUM(H67:H68)</f>
        <v>110442.28492400001</v>
      </c>
      <c r="I69" s="159"/>
      <c r="J69" s="159"/>
      <c r="K69" s="159"/>
      <c r="L69" s="160">
        <f>SUM(L67:L68)</f>
        <v>108436.00858595937</v>
      </c>
      <c r="M69" s="161"/>
      <c r="N69" s="162">
        <f>L69-H69</f>
        <v>-2006.2763380406395</v>
      </c>
      <c r="O69" s="163">
        <f>IF((H69)=0,"",(N69/H69))</f>
        <v>-1.8165835118507761E-2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v>4.8000000000000001E-2</v>
      </c>
      <c r="J72" s="170">
        <f>'Res (100kWh)'!$J$74</f>
        <v>4.7100000000000003E-2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69:D69"/>
    <mergeCell ref="D19:D20"/>
    <mergeCell ref="N19:N20"/>
    <mergeCell ref="O19:O20"/>
    <mergeCell ref="B62:D62"/>
    <mergeCell ref="B63:D63"/>
    <mergeCell ref="B68:D68"/>
    <mergeCell ref="N18:O18"/>
    <mergeCell ref="N3:O3"/>
    <mergeCell ref="N5:O5"/>
    <mergeCell ref="N1:O1"/>
    <mergeCell ref="N2:O2"/>
    <mergeCell ref="B8:O8"/>
    <mergeCell ref="B9:O9"/>
    <mergeCell ref="D12:O12"/>
    <mergeCell ref="F18:H18"/>
    <mergeCell ref="J18:L18"/>
  </mergeCells>
  <dataValidations count="4">
    <dataValidation type="list" allowBlank="1" showInputMessage="1" showErrorMessage="1" sqref="E46:E47 E38:E44 E58 E49:E55 E21:E36">
      <formula1>#REF!</formula1>
    </dataValidation>
    <dataValidation type="list" allowBlank="1" showInputMessage="1" showErrorMessage="1" prompt="Select Charge Unit - monthly, per kWh, per kW" sqref="D46:D47 D38:D44 D64 D49:D58 D70 D21:D36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8" fitToHeight="0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>
    <tabColor theme="0" tint="-0.14999847407452621"/>
    <pageSetUpPr fitToPage="1"/>
  </sheetPr>
  <dimension ref="A1:T88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11.5703125" style="7" customWidth="1"/>
    <col min="8" max="8" width="12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3.42578125" style="7" bestFit="1" customWidth="1"/>
    <col min="13" max="13" width="2.85546875" style="7" customWidth="1"/>
    <col min="14" max="14" width="12.7109375" style="7" bestFit="1" customWidth="1"/>
    <col min="15" max="15" width="12.85546875" style="7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8-D</v>
      </c>
      <c r="O3" s="234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34">
        <f>'Res (100kWh)'!$N$5:$O$5</f>
        <v>41985</v>
      </c>
      <c r="O5" s="234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81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1720000</v>
      </c>
      <c r="G16" s="13" t="s">
        <v>7</v>
      </c>
      <c r="H16" s="14">
        <v>3290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5844.1</v>
      </c>
      <c r="G21" s="26">
        <v>1</v>
      </c>
      <c r="H21" s="27">
        <f>G21*F21</f>
        <v>5844.1</v>
      </c>
      <c r="I21" s="28"/>
      <c r="J21" s="173">
        <v>6725.12</v>
      </c>
      <c r="K21" s="30">
        <v>1</v>
      </c>
      <c r="L21" s="27">
        <f>K21*J21</f>
        <v>6725.12</v>
      </c>
      <c r="M21" s="28"/>
      <c r="N21" s="31">
        <f>L21-H21</f>
        <v>881.01999999999953</v>
      </c>
      <c r="O21" s="32">
        <f>IF((H21)=0,"",(N21/H21))</f>
        <v>0.15075375164696009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46" t="s">
        <v>65</v>
      </c>
      <c r="C25" s="22"/>
      <c r="D25" s="23" t="s">
        <v>70</v>
      </c>
      <c r="E25" s="24"/>
      <c r="F25" s="25">
        <v>-1.8700000000000001E-2</v>
      </c>
      <c r="G25" s="178">
        <f>$H$16</f>
        <v>3290</v>
      </c>
      <c r="H25" s="27">
        <f t="shared" si="0"/>
        <v>-61.523000000000003</v>
      </c>
      <c r="I25" s="28"/>
      <c r="J25" s="29"/>
      <c r="K25" s="178">
        <f>$H$16</f>
        <v>3290</v>
      </c>
      <c r="L25" s="27">
        <f t="shared" si="1"/>
        <v>0</v>
      </c>
      <c r="M25" s="28"/>
      <c r="N25" s="31">
        <f t="shared" si="2"/>
        <v>61.523000000000003</v>
      </c>
      <c r="O25" s="32">
        <f t="shared" si="3"/>
        <v>-1</v>
      </c>
    </row>
    <row r="26" spans="2:15" x14ac:dyDescent="0.25">
      <c r="B26" s="46" t="s">
        <v>66</v>
      </c>
      <c r="C26" s="22"/>
      <c r="D26" s="23" t="s">
        <v>70</v>
      </c>
      <c r="E26" s="24"/>
      <c r="F26" s="25"/>
      <c r="G26" s="178">
        <f>$H$16</f>
        <v>3290</v>
      </c>
      <c r="H26" s="27">
        <f t="shared" si="0"/>
        <v>0</v>
      </c>
      <c r="I26" s="28"/>
      <c r="J26" s="29">
        <v>-3.7205378176283048</v>
      </c>
      <c r="K26" s="178">
        <f>$H$16</f>
        <v>3290</v>
      </c>
      <c r="L26" s="27">
        <f t="shared" si="1"/>
        <v>-12240.569419997122</v>
      </c>
      <c r="M26" s="28"/>
      <c r="N26" s="31">
        <f t="shared" si="2"/>
        <v>-12240.569419997122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v>1.115</v>
      </c>
      <c r="G27" s="178">
        <f>$H$16</f>
        <v>3290</v>
      </c>
      <c r="H27" s="27">
        <f t="shared" si="0"/>
        <v>3668.35</v>
      </c>
      <c r="I27" s="28"/>
      <c r="J27" s="29">
        <v>1.1926000000000001</v>
      </c>
      <c r="K27" s="178">
        <f>$H$16</f>
        <v>3290</v>
      </c>
      <c r="L27" s="27">
        <f t="shared" si="1"/>
        <v>3923.6540000000005</v>
      </c>
      <c r="M27" s="28"/>
      <c r="N27" s="31">
        <f t="shared" si="2"/>
        <v>255.30400000000054</v>
      </c>
      <c r="O27" s="32">
        <f t="shared" si="3"/>
        <v>6.9596412556053963E-2</v>
      </c>
    </row>
    <row r="28" spans="2:15" hidden="1" x14ac:dyDescent="0.25">
      <c r="B28" s="22" t="s">
        <v>20</v>
      </c>
      <c r="C28" s="22"/>
      <c r="D28" s="23"/>
      <c r="E28" s="24"/>
      <c r="F28" s="25"/>
      <c r="G28" s="26">
        <f>$F$16</f>
        <v>1720000</v>
      </c>
      <c r="H28" s="27">
        <f t="shared" si="0"/>
        <v>0</v>
      </c>
      <c r="I28" s="28"/>
      <c r="J28" s="29"/>
      <c r="K28" s="26">
        <f t="shared" ref="K28:K36" si="4">$F$16</f>
        <v>1720000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25">
      <c r="B29" s="22" t="s">
        <v>21</v>
      </c>
      <c r="C29" s="22"/>
      <c r="D29" s="23"/>
      <c r="E29" s="24"/>
      <c r="F29" s="25"/>
      <c r="G29" s="26">
        <f>$F$16</f>
        <v>1720000</v>
      </c>
      <c r="H29" s="27">
        <f t="shared" si="0"/>
        <v>0</v>
      </c>
      <c r="I29" s="28"/>
      <c r="J29" s="29"/>
      <c r="K29" s="26">
        <f t="shared" si="4"/>
        <v>1720000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33"/>
      <c r="C30" s="22"/>
      <c r="D30" s="23"/>
      <c r="E30" s="24"/>
      <c r="F30" s="25"/>
      <c r="G30" s="26">
        <f t="shared" ref="G30:G36" si="5">$F$16</f>
        <v>1720000</v>
      </c>
      <c r="H30" s="27">
        <f t="shared" si="0"/>
        <v>0</v>
      </c>
      <c r="I30" s="28"/>
      <c r="J30" s="29"/>
      <c r="K30" s="26">
        <f t="shared" si="4"/>
        <v>1720000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si="5"/>
        <v>1720000</v>
      </c>
      <c r="H31" s="27">
        <f t="shared" si="0"/>
        <v>0</v>
      </c>
      <c r="I31" s="28"/>
      <c r="J31" s="29"/>
      <c r="K31" s="26">
        <f t="shared" si="4"/>
        <v>1720000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1720000</v>
      </c>
      <c r="H32" s="27">
        <f t="shared" si="0"/>
        <v>0</v>
      </c>
      <c r="I32" s="28"/>
      <c r="J32" s="29"/>
      <c r="K32" s="26">
        <f t="shared" si="4"/>
        <v>1720000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1720000</v>
      </c>
      <c r="H33" s="27">
        <f t="shared" si="0"/>
        <v>0</v>
      </c>
      <c r="I33" s="28"/>
      <c r="J33" s="29"/>
      <c r="K33" s="26">
        <f t="shared" si="4"/>
        <v>1720000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1720000</v>
      </c>
      <c r="H34" s="27">
        <f t="shared" si="0"/>
        <v>0</v>
      </c>
      <c r="I34" s="28"/>
      <c r="J34" s="29"/>
      <c r="K34" s="26">
        <f t="shared" si="4"/>
        <v>1720000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1720000</v>
      </c>
      <c r="H35" s="27">
        <f t="shared" si="0"/>
        <v>0</v>
      </c>
      <c r="I35" s="28"/>
      <c r="J35" s="29"/>
      <c r="K35" s="26">
        <f t="shared" si="4"/>
        <v>1720000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1720000</v>
      </c>
      <c r="H36" s="27">
        <f t="shared" si="0"/>
        <v>0</v>
      </c>
      <c r="I36" s="28"/>
      <c r="J36" s="29"/>
      <c r="K36" s="26">
        <f t="shared" si="4"/>
        <v>1720000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9450.9269999999997</v>
      </c>
      <c r="I37" s="41"/>
      <c r="J37" s="42"/>
      <c r="K37" s="43"/>
      <c r="L37" s="40">
        <f>SUM(L21:L36)</f>
        <v>-1591.7954199971218</v>
      </c>
      <c r="M37" s="41"/>
      <c r="N37" s="44">
        <f t="shared" si="2"/>
        <v>-11042.722419997121</v>
      </c>
      <c r="O37" s="45">
        <f t="shared" si="3"/>
        <v>-1.1684274378584367</v>
      </c>
    </row>
    <row r="38" spans="2:15" x14ac:dyDescent="0.25">
      <c r="B38" s="46" t="s">
        <v>23</v>
      </c>
      <c r="C38" s="22"/>
      <c r="D38" s="56" t="s">
        <v>70</v>
      </c>
      <c r="E38" s="57"/>
      <c r="F38" s="29">
        <v>-0.9143</v>
      </c>
      <c r="G38" s="178">
        <f>G27</f>
        <v>3290</v>
      </c>
      <c r="H38" s="27">
        <f t="shared" ref="H38:H44" si="6">G38*F38</f>
        <v>-3008.047</v>
      </c>
      <c r="I38" s="28"/>
      <c r="J38" s="29">
        <v>1.1391249778553509</v>
      </c>
      <c r="K38" s="178">
        <f>H16</f>
        <v>3290</v>
      </c>
      <c r="L38" s="27">
        <f t="shared" ref="L38:L44" si="7">K38*J38</f>
        <v>3747.7211771441048</v>
      </c>
      <c r="M38" s="28"/>
      <c r="N38" s="31">
        <f t="shared" si="2"/>
        <v>6755.7681771441048</v>
      </c>
      <c r="O38" s="32">
        <f t="shared" si="3"/>
        <v>-2.2458984773655812</v>
      </c>
    </row>
    <row r="39" spans="2:15" hidden="1" x14ac:dyDescent="0.25">
      <c r="B39" s="46"/>
      <c r="C39" s="22"/>
      <c r="D39" s="23" t="s">
        <v>70</v>
      </c>
      <c r="E39" s="24"/>
      <c r="F39" s="25"/>
      <c r="G39" s="178">
        <f>H16</f>
        <v>3290</v>
      </c>
      <c r="H39" s="27">
        <f t="shared" si="6"/>
        <v>0</v>
      </c>
      <c r="I39" s="47"/>
      <c r="J39" s="29"/>
      <c r="K39" s="178">
        <f>H16</f>
        <v>3290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3290</v>
      </c>
      <c r="H40" s="27">
        <f t="shared" si="6"/>
        <v>0</v>
      </c>
      <c r="I40" s="47"/>
      <c r="J40" s="29"/>
      <c r="K40" s="178">
        <f>H16</f>
        <v>3290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.75" customHeight="1" x14ac:dyDescent="0.25">
      <c r="B41" s="46" t="s">
        <v>74</v>
      </c>
      <c r="C41" s="22"/>
      <c r="D41" s="23" t="s">
        <v>70</v>
      </c>
      <c r="E41" s="24"/>
      <c r="F41" s="29">
        <v>0.41589999999999999</v>
      </c>
      <c r="G41" s="178">
        <f>H16</f>
        <v>3290</v>
      </c>
      <c r="H41" s="27">
        <f t="shared" si="6"/>
        <v>1368.3109999999999</v>
      </c>
      <c r="I41" s="47"/>
      <c r="J41" s="29">
        <v>0.93095796056519831</v>
      </c>
      <c r="K41" s="178">
        <f>H16</f>
        <v>3290</v>
      </c>
      <c r="L41" s="27">
        <f t="shared" si="7"/>
        <v>3062.8516902595024</v>
      </c>
      <c r="M41" s="48"/>
      <c r="N41" s="31">
        <f t="shared" si="2"/>
        <v>1694.5406902595025</v>
      </c>
      <c r="O41" s="32">
        <f t="shared" si="3"/>
        <v>1.2384177940976158</v>
      </c>
    </row>
    <row r="42" spans="2:15" x14ac:dyDescent="0.25">
      <c r="B42" s="49" t="s">
        <v>24</v>
      </c>
      <c r="C42" s="22"/>
      <c r="D42" s="23" t="s">
        <v>70</v>
      </c>
      <c r="E42" s="24"/>
      <c r="F42" s="25">
        <v>1.54E-2</v>
      </c>
      <c r="G42" s="178">
        <f>H16</f>
        <v>3290</v>
      </c>
      <c r="H42" s="27">
        <f t="shared" si="6"/>
        <v>50.666000000000004</v>
      </c>
      <c r="I42" s="28"/>
      <c r="J42" s="29">
        <v>1.6299999999999999E-2</v>
      </c>
      <c r="K42" s="178">
        <f>H16</f>
        <v>3290</v>
      </c>
      <c r="L42" s="27">
        <f t="shared" si="7"/>
        <v>53.626999999999995</v>
      </c>
      <c r="M42" s="28"/>
      <c r="N42" s="31">
        <f t="shared" si="2"/>
        <v>2.9609999999999914</v>
      </c>
      <c r="O42" s="32">
        <f t="shared" si="3"/>
        <v>5.8441558441558267E-2</v>
      </c>
    </row>
    <row r="43" spans="2:15" s="34" customFormat="1" x14ac:dyDescent="0.25">
      <c r="B43" s="180" t="s">
        <v>25</v>
      </c>
      <c r="C43" s="24"/>
      <c r="D43" s="181" t="s">
        <v>61</v>
      </c>
      <c r="E43" s="24"/>
      <c r="F43" s="182">
        <f>IF(ISBLANK(D14)=TRUE, 0, IF(D14="TOU", 0.64*$F$53+0.18*$F$54+0.18*$F$55, IF(AND(D14="non-TOU", G57&gt;0), F57,F56)))</f>
        <v>8.7999999999999995E-2</v>
      </c>
      <c r="G43" s="200">
        <f>$F$16*(1+$F$72)-$F$16</f>
        <v>64500.000000000233</v>
      </c>
      <c r="H43" s="183">
        <f t="shared" si="6"/>
        <v>5676.00000000002</v>
      </c>
      <c r="I43" s="57"/>
      <c r="J43" s="184">
        <f>IF(ISBLANK(D14)=TRUE, 0, IF(D14="TOU", 0.64*$F$53+0.18*$F$54+0.18*$F$55, IF(AND(D14="non-TOU", K57&gt;0), J57,J56)))</f>
        <v>8.7999999999999995E-2</v>
      </c>
      <c r="K43" s="26">
        <f>$F$16*(1+$J$72)-$F$16</f>
        <v>62952</v>
      </c>
      <c r="L43" s="183">
        <f t="shared" si="7"/>
        <v>5539.7759999999998</v>
      </c>
      <c r="M43" s="57"/>
      <c r="N43" s="185">
        <f t="shared" si="2"/>
        <v>-136.22400000002017</v>
      </c>
      <c r="O43" s="186">
        <f t="shared" si="3"/>
        <v>-2.400000000000347E-2</v>
      </c>
    </row>
    <row r="44" spans="2:15" x14ac:dyDescent="0.25">
      <c r="B44" s="49" t="s">
        <v>26</v>
      </c>
      <c r="C44" s="22"/>
      <c r="D44" s="23" t="s">
        <v>60</v>
      </c>
      <c r="E44" s="24"/>
      <c r="F44" s="177"/>
      <c r="G44" s="26">
        <v>0</v>
      </c>
      <c r="H44" s="27">
        <f t="shared" si="6"/>
        <v>0</v>
      </c>
      <c r="I44" s="28"/>
      <c r="J44" s="177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ht="25.5" x14ac:dyDescent="0.25">
      <c r="B45" s="50" t="s">
        <v>27</v>
      </c>
      <c r="C45" s="51"/>
      <c r="D45" s="51"/>
      <c r="E45" s="51"/>
      <c r="F45" s="52"/>
      <c r="G45" s="53"/>
      <c r="H45" s="54">
        <f>SUM(H38:H44)+H37</f>
        <v>13537.85700000002</v>
      </c>
      <c r="I45" s="41"/>
      <c r="J45" s="53"/>
      <c r="K45" s="55"/>
      <c r="L45" s="54">
        <f>SUM(L38:L44)+L37</f>
        <v>10812.180447406485</v>
      </c>
      <c r="M45" s="41"/>
      <c r="N45" s="44">
        <f t="shared" si="2"/>
        <v>-2725.6765525935352</v>
      </c>
      <c r="O45" s="45">
        <f t="shared" ref="O45:O63" si="8">IF((H45)=0,"",(N45/H45))</f>
        <v>-0.20133737212570138</v>
      </c>
    </row>
    <row r="46" spans="2:15" x14ac:dyDescent="0.25">
      <c r="B46" s="28" t="s">
        <v>28</v>
      </c>
      <c r="C46" s="28"/>
      <c r="D46" s="56" t="s">
        <v>70</v>
      </c>
      <c r="E46" s="57"/>
      <c r="F46" s="29">
        <v>2.8921000000000001</v>
      </c>
      <c r="G46" s="58">
        <f>H16</f>
        <v>3290</v>
      </c>
      <c r="H46" s="27">
        <f>G46*F46</f>
        <v>9515.009</v>
      </c>
      <c r="I46" s="28"/>
      <c r="J46" s="29">
        <v>3.0147133483427395</v>
      </c>
      <c r="K46" s="59">
        <f>H16</f>
        <v>3290</v>
      </c>
      <c r="L46" s="27">
        <f>K46*J46</f>
        <v>9918.4069160476138</v>
      </c>
      <c r="M46" s="28"/>
      <c r="N46" s="31">
        <f t="shared" si="2"/>
        <v>403.39791604761376</v>
      </c>
      <c r="O46" s="32">
        <f t="shared" si="8"/>
        <v>4.2395957381397509E-2</v>
      </c>
    </row>
    <row r="47" spans="2:15" x14ac:dyDescent="0.25">
      <c r="B47" s="60" t="s">
        <v>29</v>
      </c>
      <c r="C47" s="28"/>
      <c r="D47" s="56" t="s">
        <v>70</v>
      </c>
      <c r="E47" s="57"/>
      <c r="F47" s="29">
        <v>2.2395999999999998</v>
      </c>
      <c r="G47" s="58">
        <f>G46</f>
        <v>3290</v>
      </c>
      <c r="H47" s="27">
        <f>G47*F47</f>
        <v>7368.2839999999997</v>
      </c>
      <c r="I47" s="28"/>
      <c r="J47" s="29">
        <v>2.2444969995724233</v>
      </c>
      <c r="K47" s="59">
        <f>K46</f>
        <v>3290</v>
      </c>
      <c r="L47" s="27">
        <f>K47*J47</f>
        <v>7384.3951285932726</v>
      </c>
      <c r="M47" s="28"/>
      <c r="N47" s="31">
        <f t="shared" si="2"/>
        <v>16.111128593272952</v>
      </c>
      <c r="O47" s="32">
        <f t="shared" si="8"/>
        <v>2.1865509789352516E-3</v>
      </c>
    </row>
    <row r="48" spans="2:15" x14ac:dyDescent="0.25">
      <c r="B48" s="50" t="s">
        <v>30</v>
      </c>
      <c r="C48" s="36"/>
      <c r="D48" s="36"/>
      <c r="E48" s="36"/>
      <c r="F48" s="61"/>
      <c r="G48" s="53"/>
      <c r="H48" s="54">
        <f>SUM(H45:H47)</f>
        <v>30421.15000000002</v>
      </c>
      <c r="I48" s="62"/>
      <c r="J48" s="63"/>
      <c r="K48" s="64"/>
      <c r="L48" s="54">
        <f>SUM(L45:L47)</f>
        <v>28114.982492047369</v>
      </c>
      <c r="M48" s="62"/>
      <c r="N48" s="44">
        <f t="shared" si="2"/>
        <v>-2306.1675079526503</v>
      </c>
      <c r="O48" s="45">
        <f t="shared" si="8"/>
        <v>-7.5808031844708329E-2</v>
      </c>
    </row>
    <row r="49" spans="2:19" x14ac:dyDescent="0.25">
      <c r="B49" s="65" t="s">
        <v>31</v>
      </c>
      <c r="C49" s="22"/>
      <c r="D49" s="23" t="s">
        <v>61</v>
      </c>
      <c r="E49" s="24"/>
      <c r="F49" s="66">
        <v>4.4000000000000003E-3</v>
      </c>
      <c r="G49" s="58">
        <f>F16*(F72)</f>
        <v>64500</v>
      </c>
      <c r="H49" s="67">
        <f t="shared" ref="H49:H55" si="9">G49*F49</f>
        <v>283.8</v>
      </c>
      <c r="I49" s="28"/>
      <c r="J49" s="66">
        <v>4.4000000000000003E-3</v>
      </c>
      <c r="K49" s="59">
        <f>F16*(J72)</f>
        <v>62952</v>
      </c>
      <c r="L49" s="67">
        <f t="shared" ref="L49:L55" si="10">K49*J49</f>
        <v>276.98880000000003</v>
      </c>
      <c r="M49" s="28"/>
      <c r="N49" s="31">
        <f t="shared" si="2"/>
        <v>-6.8111999999999853</v>
      </c>
      <c r="O49" s="68">
        <f t="shared" si="8"/>
        <v>-2.3999999999999948E-2</v>
      </c>
    </row>
    <row r="50" spans="2:19" x14ac:dyDescent="0.25">
      <c r="B50" s="65" t="s">
        <v>32</v>
      </c>
      <c r="C50" s="22"/>
      <c r="D50" s="23" t="s">
        <v>61</v>
      </c>
      <c r="E50" s="24"/>
      <c r="F50" s="66">
        <v>1.2999999999999999E-3</v>
      </c>
      <c r="G50" s="58">
        <f>G49</f>
        <v>64500</v>
      </c>
      <c r="H50" s="67">
        <f t="shared" si="9"/>
        <v>83.85</v>
      </c>
      <c r="I50" s="28"/>
      <c r="J50" s="66">
        <v>1.2999999999999999E-3</v>
      </c>
      <c r="K50" s="59">
        <f>K49</f>
        <v>62952</v>
      </c>
      <c r="L50" s="67">
        <f t="shared" si="10"/>
        <v>81.837599999999995</v>
      </c>
      <c r="M50" s="28"/>
      <c r="N50" s="31">
        <f t="shared" si="2"/>
        <v>-2.0123999999999995</v>
      </c>
      <c r="O50" s="68">
        <f t="shared" si="8"/>
        <v>-2.3999999999999997E-2</v>
      </c>
    </row>
    <row r="51" spans="2:19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7">
        <f t="shared" si="9"/>
        <v>0.25</v>
      </c>
      <c r="I51" s="28"/>
      <c r="J51" s="176">
        <v>0.25</v>
      </c>
      <c r="K51" s="30">
        <v>1</v>
      </c>
      <c r="L51" s="67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25">
      <c r="B52" s="22" t="s">
        <v>34</v>
      </c>
      <c r="C52" s="22"/>
      <c r="D52" s="23" t="s">
        <v>61</v>
      </c>
      <c r="E52" s="24"/>
      <c r="F52" s="66">
        <v>7.0000000000000001E-3</v>
      </c>
      <c r="G52" s="69">
        <f>F16</f>
        <v>1720000</v>
      </c>
      <c r="H52" s="67">
        <f t="shared" si="9"/>
        <v>12040</v>
      </c>
      <c r="I52" s="28"/>
      <c r="J52" s="66">
        <v>7.0000000000000001E-3</v>
      </c>
      <c r="K52" s="70">
        <f>F16</f>
        <v>1720000</v>
      </c>
      <c r="L52" s="67">
        <f t="shared" si="10"/>
        <v>12040</v>
      </c>
      <c r="M52" s="28"/>
      <c r="N52" s="31">
        <f t="shared" si="2"/>
        <v>0</v>
      </c>
      <c r="O52" s="68">
        <f t="shared" si="8"/>
        <v>0</v>
      </c>
    </row>
    <row r="53" spans="2:19" ht="15.75" thickBot="1" x14ac:dyDescent="0.3">
      <c r="B53" s="49" t="s">
        <v>73</v>
      </c>
      <c r="C53" s="22"/>
      <c r="D53" s="23" t="s">
        <v>61</v>
      </c>
      <c r="E53" s="24"/>
      <c r="F53" s="66">
        <v>8.2699999999999996E-2</v>
      </c>
      <c r="G53" s="69">
        <f>F16</f>
        <v>1720000</v>
      </c>
      <c r="H53" s="187">
        <f t="shared" si="9"/>
        <v>142244</v>
      </c>
      <c r="I53" s="57"/>
      <c r="J53" s="66">
        <v>8.2699999999999996E-2</v>
      </c>
      <c r="K53" s="69">
        <f>G53</f>
        <v>1720000</v>
      </c>
      <c r="L53" s="67">
        <f t="shared" si="10"/>
        <v>142244</v>
      </c>
      <c r="M53" s="28"/>
      <c r="N53" s="31">
        <f t="shared" si="2"/>
        <v>0</v>
      </c>
      <c r="O53" s="68">
        <f t="shared" si="8"/>
        <v>0</v>
      </c>
      <c r="S53" s="72"/>
    </row>
    <row r="54" spans="2:19" ht="15.75" hidden="1" thickBot="1" x14ac:dyDescent="0.3">
      <c r="B54" s="49" t="s">
        <v>36</v>
      </c>
      <c r="C54" s="22"/>
      <c r="D54" s="23"/>
      <c r="E54" s="24"/>
      <c r="F54" s="71">
        <v>0.104</v>
      </c>
      <c r="G54" s="58">
        <v>0</v>
      </c>
      <c r="H54" s="67">
        <f t="shared" si="9"/>
        <v>0</v>
      </c>
      <c r="I54" s="28"/>
      <c r="J54" s="66">
        <v>0.104</v>
      </c>
      <c r="K54" s="58">
        <v>0</v>
      </c>
      <c r="L54" s="67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t="15.75" hidden="1" thickBot="1" x14ac:dyDescent="0.3">
      <c r="B55" s="12" t="s">
        <v>37</v>
      </c>
      <c r="C55" s="22"/>
      <c r="D55" s="23"/>
      <c r="E55" s="24"/>
      <c r="F55" s="71">
        <v>0.124</v>
      </c>
      <c r="G55" s="58">
        <v>0</v>
      </c>
      <c r="H55" s="67">
        <f t="shared" si="9"/>
        <v>0</v>
      </c>
      <c r="I55" s="28"/>
      <c r="J55" s="66">
        <v>0.124</v>
      </c>
      <c r="K55" s="58">
        <v>0</v>
      </c>
      <c r="L55" s="67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t="15.75" hidden="1" thickBot="1" x14ac:dyDescent="0.25">
      <c r="B56" s="179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600</v>
      </c>
      <c r="H56" s="67">
        <f>G56*F56</f>
        <v>45</v>
      </c>
      <c r="I56" s="79"/>
      <c r="J56" s="66">
        <v>7.4999999999999997E-2</v>
      </c>
      <c r="K56" s="78">
        <f>G56</f>
        <v>600</v>
      </c>
      <c r="L56" s="67">
        <f>K56*J56</f>
        <v>45</v>
      </c>
      <c r="M56" s="79"/>
      <c r="N56" s="80">
        <f t="shared" si="2"/>
        <v>0</v>
      </c>
      <c r="O56" s="68">
        <f t="shared" si="8"/>
        <v>0</v>
      </c>
    </row>
    <row r="57" spans="2:19" s="73" customFormat="1" ht="15.75" hidden="1" thickBot="1" x14ac:dyDescent="0.25">
      <c r="B57" s="179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1719400</v>
      </c>
      <c r="H57" s="67">
        <f>G57*F57</f>
        <v>151307.19999999998</v>
      </c>
      <c r="I57" s="79"/>
      <c r="J57" s="66">
        <v>8.7999999999999995E-2</v>
      </c>
      <c r="K57" s="78">
        <f>G57</f>
        <v>1719400</v>
      </c>
      <c r="L57" s="67">
        <f>K57*J57</f>
        <v>151307.19999999998</v>
      </c>
      <c r="M57" s="79"/>
      <c r="N57" s="80">
        <f t="shared" si="2"/>
        <v>0</v>
      </c>
      <c r="O57" s="68">
        <f t="shared" si="8"/>
        <v>0</v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.75" hidden="1" thickBot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185073.05000000002</v>
      </c>
      <c r="I59" s="95"/>
      <c r="J59" s="96"/>
      <c r="K59" s="96"/>
      <c r="L59" s="94">
        <f>SUM(L49:L55,L48)</f>
        <v>182758.05889204735</v>
      </c>
      <c r="M59" s="97"/>
      <c r="N59" s="98">
        <f>L59-H59</f>
        <v>-2314.9911079526646</v>
      </c>
      <c r="O59" s="99">
        <f>IF((H59)=0,"",(N59/H59))</f>
        <v>-1.2508526270857179E-2</v>
      </c>
      <c r="S59" s="72"/>
    </row>
    <row r="60" spans="2:19" ht="15.75" hidden="1" thickBot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24059.496500000005</v>
      </c>
      <c r="I60" s="104"/>
      <c r="J60" s="105">
        <v>0.13</v>
      </c>
      <c r="K60" s="104"/>
      <c r="L60" s="106">
        <f>L59*J60</f>
        <v>23758.547655966158</v>
      </c>
      <c r="M60" s="107"/>
      <c r="N60" s="108">
        <f t="shared" si="2"/>
        <v>-300.9488440338464</v>
      </c>
      <c r="O60" s="109">
        <f t="shared" si="8"/>
        <v>-1.2508526270857179E-2</v>
      </c>
      <c r="S60" s="72"/>
    </row>
    <row r="61" spans="2:19" ht="15.75" hidden="1" thickBot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209132.54650000003</v>
      </c>
      <c r="I61" s="104"/>
      <c r="J61" s="104"/>
      <c r="K61" s="104"/>
      <c r="L61" s="106">
        <f>L59+L60</f>
        <v>206516.60654801351</v>
      </c>
      <c r="M61" s="107"/>
      <c r="N61" s="108">
        <f t="shared" si="2"/>
        <v>-2615.939951986511</v>
      </c>
      <c r="O61" s="109">
        <f t="shared" si="8"/>
        <v>-1.2508526270857179E-2</v>
      </c>
      <c r="S61" s="72"/>
    </row>
    <row r="62" spans="2:19" ht="15.75" hidden="1" customHeight="1" x14ac:dyDescent="0.3">
      <c r="B62" s="248" t="s">
        <v>43</v>
      </c>
      <c r="C62" s="248"/>
      <c r="D62" s="248"/>
      <c r="E62" s="22"/>
      <c r="F62" s="111"/>
      <c r="G62" s="102"/>
      <c r="H62" s="112">
        <f>ROUND(-H61*10%,2)</f>
        <v>-20913.25</v>
      </c>
      <c r="I62" s="104"/>
      <c r="J62" s="104"/>
      <c r="K62" s="104"/>
      <c r="L62" s="113">
        <f>ROUND(-L61*10%,2)</f>
        <v>-20651.66</v>
      </c>
      <c r="M62" s="107"/>
      <c r="N62" s="114">
        <f t="shared" si="2"/>
        <v>261.59000000000015</v>
      </c>
      <c r="O62" s="115">
        <f t="shared" si="8"/>
        <v>-1.2508338015373035E-2</v>
      </c>
    </row>
    <row r="63" spans="2:19" ht="15.75" hidden="1" thickBot="1" x14ac:dyDescent="0.3">
      <c r="B63" s="240" t="s">
        <v>44</v>
      </c>
      <c r="C63" s="240"/>
      <c r="D63" s="240"/>
      <c r="E63" s="116"/>
      <c r="F63" s="117"/>
      <c r="G63" s="118"/>
      <c r="H63" s="119">
        <f>H61+H62</f>
        <v>188219.29650000003</v>
      </c>
      <c r="I63" s="120"/>
      <c r="J63" s="120"/>
      <c r="K63" s="120"/>
      <c r="L63" s="121">
        <f>L61+L62</f>
        <v>185864.94654801351</v>
      </c>
      <c r="M63" s="122"/>
      <c r="N63" s="123">
        <f t="shared" si="2"/>
        <v>-2354.3499519865145</v>
      </c>
      <c r="O63" s="124">
        <f t="shared" si="8"/>
        <v>-1.2508547188128048E-2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185073.05000000002</v>
      </c>
      <c r="I65" s="136"/>
      <c r="J65" s="137"/>
      <c r="K65" s="137"/>
      <c r="L65" s="188">
        <f>SUM(L53,L48,L49:L52)</f>
        <v>182758.05889204735</v>
      </c>
      <c r="M65" s="138"/>
      <c r="N65" s="139">
        <f>L65-H65</f>
        <v>-2314.9911079526646</v>
      </c>
      <c r="O65" s="99">
        <f>IF((H65)=0,"",(N65/H65))</f>
        <v>-1.2508526270857179E-2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24059.496500000005</v>
      </c>
      <c r="I66" s="143"/>
      <c r="J66" s="144">
        <v>0.13</v>
      </c>
      <c r="K66" s="145"/>
      <c r="L66" s="146">
        <f>L65*J66</f>
        <v>23758.547655966158</v>
      </c>
      <c r="M66" s="147"/>
      <c r="N66" s="148">
        <f>L66-H66</f>
        <v>-300.9488440338464</v>
      </c>
      <c r="O66" s="109">
        <f>IF((H66)=0,"",(N66/H66))</f>
        <v>-1.2508526270857179E-2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209132.54650000003</v>
      </c>
      <c r="I67" s="143"/>
      <c r="J67" s="143"/>
      <c r="K67" s="143"/>
      <c r="L67" s="146">
        <f>L65+L66</f>
        <v>206516.60654801351</v>
      </c>
      <c r="M67" s="147"/>
      <c r="N67" s="148">
        <f>L67-H67</f>
        <v>-2615.939951986511</v>
      </c>
      <c r="O67" s="109">
        <f>IF((H67)=0,"",(N67/H67))</f>
        <v>-1.2508526270857179E-2</v>
      </c>
    </row>
    <row r="68" spans="1:15" s="73" customFormat="1" ht="15.75" customHeight="1" x14ac:dyDescent="0.2">
      <c r="B68" s="249" t="s">
        <v>43</v>
      </c>
      <c r="C68" s="249"/>
      <c r="D68" s="249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241" t="s">
        <v>46</v>
      </c>
      <c r="C69" s="241"/>
      <c r="D69" s="241"/>
      <c r="E69" s="155"/>
      <c r="F69" s="156"/>
      <c r="G69" s="157"/>
      <c r="H69" s="158">
        <f>SUM(H67:H68)</f>
        <v>209132.54650000003</v>
      </c>
      <c r="I69" s="159"/>
      <c r="J69" s="159"/>
      <c r="K69" s="159"/>
      <c r="L69" s="160">
        <f>SUM(L67:L68)</f>
        <v>206516.60654801351</v>
      </c>
      <c r="M69" s="161"/>
      <c r="N69" s="162">
        <f>L69-H69</f>
        <v>-2615.939951986511</v>
      </c>
      <c r="O69" s="163">
        <f>IF((H69)=0,"",(N69/H69))</f>
        <v>-1.2508526270857179E-2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99">
        <v>3.7499999999999999E-2</v>
      </c>
      <c r="J72" s="199">
        <v>3.6600000000000001E-2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9:O9"/>
    <mergeCell ref="N1:O1"/>
    <mergeCell ref="N2:O2"/>
    <mergeCell ref="N3:O3"/>
    <mergeCell ref="N5:O5"/>
    <mergeCell ref="B8:O8"/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8" fitToHeight="0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theme="0" tint="-0.14999847407452621"/>
    <pageSetUpPr fitToPage="1"/>
  </sheetPr>
  <dimension ref="A1:T88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2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3.42578125" style="7" bestFit="1" customWidth="1"/>
    <col min="13" max="13" width="2.85546875" style="7" customWidth="1"/>
    <col min="14" max="14" width="12.7109375" style="7" bestFit="1" customWidth="1"/>
    <col min="15" max="15" width="12.85546875" style="7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8-D</v>
      </c>
      <c r="O3" s="234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34">
        <f>'Res (100kWh)'!$N$5:$O$5</f>
        <v>41985</v>
      </c>
      <c r="O5" s="234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81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1800000</v>
      </c>
      <c r="G16" s="13" t="s">
        <v>7</v>
      </c>
      <c r="H16" s="14">
        <v>5000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5844.1</v>
      </c>
      <c r="G21" s="26">
        <v>1</v>
      </c>
      <c r="H21" s="27">
        <f>G21*F21</f>
        <v>5844.1</v>
      </c>
      <c r="I21" s="28"/>
      <c r="J21" s="173">
        <v>6725.12</v>
      </c>
      <c r="K21" s="30">
        <v>1</v>
      </c>
      <c r="L21" s="27">
        <f>K21*J21</f>
        <v>6725.12</v>
      </c>
      <c r="M21" s="28"/>
      <c r="N21" s="31">
        <f>L21-H21</f>
        <v>881.01999999999953</v>
      </c>
      <c r="O21" s="32">
        <f>IF((H21)=0,"",(N21/H21))</f>
        <v>0.15075375164696009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46" t="s">
        <v>65</v>
      </c>
      <c r="C25" s="22"/>
      <c r="D25" s="23" t="s">
        <v>70</v>
      </c>
      <c r="E25" s="24"/>
      <c r="F25" s="25">
        <v>-1.8700000000000001E-2</v>
      </c>
      <c r="G25" s="178">
        <f>$H$16</f>
        <v>5000</v>
      </c>
      <c r="H25" s="27">
        <f t="shared" si="0"/>
        <v>-93.5</v>
      </c>
      <c r="I25" s="28"/>
      <c r="J25" s="29"/>
      <c r="K25" s="178">
        <f>$H$16</f>
        <v>5000</v>
      </c>
      <c r="L25" s="27">
        <f t="shared" si="1"/>
        <v>0</v>
      </c>
      <c r="M25" s="28"/>
      <c r="N25" s="31">
        <f t="shared" si="2"/>
        <v>93.5</v>
      </c>
      <c r="O25" s="32">
        <f t="shared" si="3"/>
        <v>-1</v>
      </c>
    </row>
    <row r="26" spans="2:15" x14ac:dyDescent="0.25">
      <c r="B26" s="46" t="s">
        <v>66</v>
      </c>
      <c r="C26" s="22"/>
      <c r="D26" s="23" t="s">
        <v>70</v>
      </c>
      <c r="E26" s="24"/>
      <c r="F26" s="25"/>
      <c r="G26" s="178">
        <f>$H$16</f>
        <v>5000</v>
      </c>
      <c r="H26" s="27">
        <f t="shared" si="0"/>
        <v>0</v>
      </c>
      <c r="I26" s="28"/>
      <c r="J26" s="29">
        <v>-3.7205378176283048</v>
      </c>
      <c r="K26" s="178">
        <f>$H$16</f>
        <v>5000</v>
      </c>
      <c r="L26" s="27">
        <f t="shared" si="1"/>
        <v>-18602.689088141524</v>
      </c>
      <c r="M26" s="28"/>
      <c r="N26" s="31">
        <f t="shared" si="2"/>
        <v>-18602.689088141524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v>1.115</v>
      </c>
      <c r="G27" s="178">
        <f>$H$16</f>
        <v>5000</v>
      </c>
      <c r="H27" s="27">
        <f t="shared" si="0"/>
        <v>5575</v>
      </c>
      <c r="I27" s="28"/>
      <c r="J27" s="29">
        <v>1.1926000000000001</v>
      </c>
      <c r="K27" s="178">
        <f>$H$16</f>
        <v>5000</v>
      </c>
      <c r="L27" s="27">
        <f t="shared" si="1"/>
        <v>5963.0000000000009</v>
      </c>
      <c r="M27" s="28"/>
      <c r="N27" s="31">
        <f t="shared" si="2"/>
        <v>388.00000000000091</v>
      </c>
      <c r="O27" s="32">
        <f t="shared" si="3"/>
        <v>6.9596412556053977E-2</v>
      </c>
    </row>
    <row r="28" spans="2:15" hidden="1" x14ac:dyDescent="0.25">
      <c r="B28" s="22" t="s">
        <v>20</v>
      </c>
      <c r="C28" s="22"/>
      <c r="D28" s="23"/>
      <c r="E28" s="24"/>
      <c r="F28" s="25"/>
      <c r="G28" s="26">
        <f>$F$16</f>
        <v>1800000</v>
      </c>
      <c r="H28" s="27">
        <f t="shared" si="0"/>
        <v>0</v>
      </c>
      <c r="I28" s="28"/>
      <c r="J28" s="29"/>
      <c r="K28" s="26">
        <f t="shared" ref="K28:K36" si="4">$F$16</f>
        <v>1800000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25">
      <c r="B29" s="22" t="s">
        <v>21</v>
      </c>
      <c r="C29" s="22"/>
      <c r="D29" s="23"/>
      <c r="E29" s="24"/>
      <c r="F29" s="25"/>
      <c r="G29" s="26">
        <f>$F$16</f>
        <v>1800000</v>
      </c>
      <c r="H29" s="27">
        <f t="shared" si="0"/>
        <v>0</v>
      </c>
      <c r="I29" s="28"/>
      <c r="J29" s="29"/>
      <c r="K29" s="26">
        <f t="shared" si="4"/>
        <v>1800000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33"/>
      <c r="C30" s="22"/>
      <c r="D30" s="23"/>
      <c r="E30" s="24"/>
      <c r="F30" s="25"/>
      <c r="G30" s="26">
        <f t="shared" ref="G30:G36" si="5">$F$16</f>
        <v>1800000</v>
      </c>
      <c r="H30" s="27">
        <f t="shared" si="0"/>
        <v>0</v>
      </c>
      <c r="I30" s="28"/>
      <c r="J30" s="29"/>
      <c r="K30" s="26">
        <f t="shared" si="4"/>
        <v>1800000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si="5"/>
        <v>1800000</v>
      </c>
      <c r="H31" s="27">
        <f t="shared" si="0"/>
        <v>0</v>
      </c>
      <c r="I31" s="28"/>
      <c r="J31" s="29"/>
      <c r="K31" s="26">
        <f t="shared" si="4"/>
        <v>1800000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1800000</v>
      </c>
      <c r="H32" s="27">
        <f t="shared" si="0"/>
        <v>0</v>
      </c>
      <c r="I32" s="28"/>
      <c r="J32" s="29"/>
      <c r="K32" s="26">
        <f t="shared" si="4"/>
        <v>1800000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1800000</v>
      </c>
      <c r="H33" s="27">
        <f t="shared" si="0"/>
        <v>0</v>
      </c>
      <c r="I33" s="28"/>
      <c r="J33" s="29"/>
      <c r="K33" s="26">
        <f t="shared" si="4"/>
        <v>1800000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1800000</v>
      </c>
      <c r="H34" s="27">
        <f t="shared" si="0"/>
        <v>0</v>
      </c>
      <c r="I34" s="28"/>
      <c r="J34" s="29"/>
      <c r="K34" s="26">
        <f t="shared" si="4"/>
        <v>1800000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1800000</v>
      </c>
      <c r="H35" s="27">
        <f t="shared" si="0"/>
        <v>0</v>
      </c>
      <c r="I35" s="28"/>
      <c r="J35" s="29"/>
      <c r="K35" s="26">
        <f t="shared" si="4"/>
        <v>1800000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1800000</v>
      </c>
      <c r="H36" s="27">
        <f t="shared" si="0"/>
        <v>0</v>
      </c>
      <c r="I36" s="28"/>
      <c r="J36" s="29"/>
      <c r="K36" s="26">
        <f t="shared" si="4"/>
        <v>1800000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11325.6</v>
      </c>
      <c r="I37" s="41"/>
      <c r="J37" s="42"/>
      <c r="K37" s="43"/>
      <c r="L37" s="40">
        <f>SUM(L21:L36)</f>
        <v>-5914.5690881415239</v>
      </c>
      <c r="M37" s="41"/>
      <c r="N37" s="44">
        <f t="shared" si="2"/>
        <v>-17240.169088141523</v>
      </c>
      <c r="O37" s="45">
        <f t="shared" si="3"/>
        <v>-1.5222300883080386</v>
      </c>
    </row>
    <row r="38" spans="2:15" x14ac:dyDescent="0.25">
      <c r="B38" s="46" t="s">
        <v>23</v>
      </c>
      <c r="C38" s="22"/>
      <c r="D38" s="56" t="s">
        <v>70</v>
      </c>
      <c r="E38" s="57"/>
      <c r="F38" s="29">
        <v>-0.9143</v>
      </c>
      <c r="G38" s="178">
        <f>G27</f>
        <v>5000</v>
      </c>
      <c r="H38" s="27">
        <f t="shared" ref="H38:H44" si="6">G38*F38</f>
        <v>-4571.5</v>
      </c>
      <c r="I38" s="28"/>
      <c r="J38" s="29">
        <v>1.1391249778553509</v>
      </c>
      <c r="K38" s="178">
        <f>H16</f>
        <v>5000</v>
      </c>
      <c r="L38" s="27">
        <f t="shared" ref="L38:L44" si="7">K38*J38</f>
        <v>5695.6248892767544</v>
      </c>
      <c r="M38" s="28"/>
      <c r="N38" s="31">
        <f t="shared" si="2"/>
        <v>10267.124889276754</v>
      </c>
      <c r="O38" s="32">
        <f t="shared" si="3"/>
        <v>-2.2458984773655812</v>
      </c>
    </row>
    <row r="39" spans="2:15" hidden="1" x14ac:dyDescent="0.25">
      <c r="B39" s="46"/>
      <c r="C39" s="22"/>
      <c r="D39" s="23" t="s">
        <v>70</v>
      </c>
      <c r="E39" s="24"/>
      <c r="F39" s="25"/>
      <c r="G39" s="178">
        <f>H16</f>
        <v>5000</v>
      </c>
      <c r="H39" s="27">
        <f t="shared" si="6"/>
        <v>0</v>
      </c>
      <c r="I39" s="47"/>
      <c r="J39" s="29"/>
      <c r="K39" s="178">
        <f>H16</f>
        <v>5000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5000</v>
      </c>
      <c r="H40" s="27">
        <f t="shared" si="6"/>
        <v>0</v>
      </c>
      <c r="I40" s="47"/>
      <c r="J40" s="29"/>
      <c r="K40" s="178">
        <f>H16</f>
        <v>5000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.75" customHeight="1" x14ac:dyDescent="0.25">
      <c r="B41" s="46" t="s">
        <v>74</v>
      </c>
      <c r="C41" s="22"/>
      <c r="D41" s="23" t="s">
        <v>70</v>
      </c>
      <c r="E41" s="24"/>
      <c r="F41" s="29">
        <v>0.41589999999999999</v>
      </c>
      <c r="G41" s="178">
        <f>H16</f>
        <v>5000</v>
      </c>
      <c r="H41" s="27">
        <f t="shared" si="6"/>
        <v>2079.5</v>
      </c>
      <c r="I41" s="47"/>
      <c r="J41" s="29">
        <v>0.93095796056519831</v>
      </c>
      <c r="K41" s="178">
        <f>H16</f>
        <v>5000</v>
      </c>
      <c r="L41" s="27">
        <f t="shared" si="7"/>
        <v>4654.7898028259915</v>
      </c>
      <c r="M41" s="48"/>
      <c r="N41" s="31">
        <f t="shared" si="2"/>
        <v>2575.2898028259915</v>
      </c>
      <c r="O41" s="32">
        <f t="shared" si="3"/>
        <v>1.2384177940976155</v>
      </c>
    </row>
    <row r="42" spans="2:15" x14ac:dyDescent="0.25">
      <c r="B42" s="49" t="s">
        <v>24</v>
      </c>
      <c r="C42" s="22"/>
      <c r="D42" s="23" t="s">
        <v>70</v>
      </c>
      <c r="E42" s="24"/>
      <c r="F42" s="25">
        <v>1.54E-2</v>
      </c>
      <c r="G42" s="178">
        <f>H16</f>
        <v>5000</v>
      </c>
      <c r="H42" s="27">
        <f t="shared" si="6"/>
        <v>77</v>
      </c>
      <c r="I42" s="28"/>
      <c r="J42" s="29">
        <v>1.6299999999999999E-2</v>
      </c>
      <c r="K42" s="178">
        <f>H16</f>
        <v>5000</v>
      </c>
      <c r="L42" s="27">
        <f t="shared" si="7"/>
        <v>81.499999999999986</v>
      </c>
      <c r="M42" s="28"/>
      <c r="N42" s="31">
        <f t="shared" si="2"/>
        <v>4.4999999999999858</v>
      </c>
      <c r="O42" s="32">
        <f t="shared" si="3"/>
        <v>5.844155844155826E-2</v>
      </c>
    </row>
    <row r="43" spans="2:15" s="34" customFormat="1" x14ac:dyDescent="0.25">
      <c r="B43" s="180" t="s">
        <v>25</v>
      </c>
      <c r="C43" s="24"/>
      <c r="D43" s="181" t="s">
        <v>61</v>
      </c>
      <c r="E43" s="24"/>
      <c r="F43" s="182">
        <f>IF(ISBLANK(D14)=TRUE, 0, IF(D14="TOU", 0.64*$F$53+0.18*$F$54+0.18*$F$55, IF(AND(D14="non-TOU", G57&gt;0), F57,F56)))</f>
        <v>8.7999999999999995E-2</v>
      </c>
      <c r="G43" s="26">
        <f>$F$16*(1+$F$72)-$F$16</f>
        <v>86400</v>
      </c>
      <c r="H43" s="183">
        <f t="shared" si="6"/>
        <v>7603.2</v>
      </c>
      <c r="I43" s="57"/>
      <c r="J43" s="184">
        <f>IF(ISBLANK(D14)=TRUE, 0, IF(D14="TOU", 0.64*$F$53+0.18*$F$54+0.18*$F$55, IF(AND(D14="non-TOU", K57&gt;0), J57,J56)))</f>
        <v>8.7999999999999995E-2</v>
      </c>
      <c r="K43" s="26">
        <f>$F$16*(1+$J$72)-$F$16</f>
        <v>84779.999999999767</v>
      </c>
      <c r="L43" s="183">
        <f t="shared" si="7"/>
        <v>7460.6399999999794</v>
      </c>
      <c r="M43" s="57"/>
      <c r="N43" s="185">
        <f t="shared" si="2"/>
        <v>-142.56000000002041</v>
      </c>
      <c r="O43" s="186">
        <f t="shared" si="3"/>
        <v>-1.8750000000002685E-2</v>
      </c>
    </row>
    <row r="44" spans="2:15" x14ac:dyDescent="0.25">
      <c r="B44" s="49" t="s">
        <v>26</v>
      </c>
      <c r="C44" s="22"/>
      <c r="D44" s="23" t="s">
        <v>60</v>
      </c>
      <c r="E44" s="24"/>
      <c r="F44" s="177"/>
      <c r="G44" s="26">
        <v>0</v>
      </c>
      <c r="H44" s="27">
        <f t="shared" si="6"/>
        <v>0</v>
      </c>
      <c r="I44" s="28"/>
      <c r="J44" s="177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ht="25.5" x14ac:dyDescent="0.25">
      <c r="B45" s="50" t="s">
        <v>27</v>
      </c>
      <c r="C45" s="51"/>
      <c r="D45" s="51"/>
      <c r="E45" s="51"/>
      <c r="F45" s="52"/>
      <c r="G45" s="53"/>
      <c r="H45" s="54">
        <f>SUM(H38:H44)+H37</f>
        <v>16513.8</v>
      </c>
      <c r="I45" s="41"/>
      <c r="J45" s="53"/>
      <c r="K45" s="55"/>
      <c r="L45" s="54">
        <f>SUM(L38:L44)+L37</f>
        <v>11977.985603961202</v>
      </c>
      <c r="M45" s="41"/>
      <c r="N45" s="44">
        <f t="shared" si="2"/>
        <v>-4535.814396038797</v>
      </c>
      <c r="O45" s="45">
        <f t="shared" ref="O45:O63" si="8">IF((H45)=0,"",(N45/H45))</f>
        <v>-0.27466811975673661</v>
      </c>
    </row>
    <row r="46" spans="2:15" x14ac:dyDescent="0.25">
      <c r="B46" s="28" t="s">
        <v>28</v>
      </c>
      <c r="C46" s="28"/>
      <c r="D46" s="56" t="s">
        <v>70</v>
      </c>
      <c r="E46" s="57"/>
      <c r="F46" s="29">
        <v>2.8921000000000001</v>
      </c>
      <c r="G46" s="58">
        <f>H16*(1+F72)</f>
        <v>5240</v>
      </c>
      <c r="H46" s="27">
        <f>G46*F46</f>
        <v>15154.604000000001</v>
      </c>
      <c r="I46" s="28"/>
      <c r="J46" s="29">
        <v>3.0147133483427395</v>
      </c>
      <c r="K46" s="59">
        <f>H16*(1+J72)</f>
        <v>5235.5</v>
      </c>
      <c r="L46" s="27">
        <f>K46*J46</f>
        <v>15783.531735248413</v>
      </c>
      <c r="M46" s="28"/>
      <c r="N46" s="31">
        <f t="shared" si="2"/>
        <v>628.92773524841141</v>
      </c>
      <c r="O46" s="32">
        <f t="shared" si="8"/>
        <v>4.1500770013417135E-2</v>
      </c>
    </row>
    <row r="47" spans="2:15" x14ac:dyDescent="0.25">
      <c r="B47" s="60" t="s">
        <v>29</v>
      </c>
      <c r="C47" s="28"/>
      <c r="D47" s="56" t="s">
        <v>70</v>
      </c>
      <c r="E47" s="57"/>
      <c r="F47" s="29">
        <v>2.2395999999999998</v>
      </c>
      <c r="G47" s="58">
        <f>G46</f>
        <v>5240</v>
      </c>
      <c r="H47" s="27">
        <f>G47*F47</f>
        <v>11735.503999999999</v>
      </c>
      <c r="I47" s="28"/>
      <c r="J47" s="29">
        <v>2.2444969995724233</v>
      </c>
      <c r="K47" s="59">
        <f>K46</f>
        <v>5235.5</v>
      </c>
      <c r="L47" s="27">
        <f>K47*J47</f>
        <v>11751.064041261423</v>
      </c>
      <c r="M47" s="28"/>
      <c r="N47" s="31">
        <f t="shared" si="2"/>
        <v>15.560041261423976</v>
      </c>
      <c r="O47" s="32">
        <f t="shared" si="8"/>
        <v>1.3258945897358968E-3</v>
      </c>
    </row>
    <row r="48" spans="2:15" x14ac:dyDescent="0.25">
      <c r="B48" s="50" t="s">
        <v>30</v>
      </c>
      <c r="C48" s="36"/>
      <c r="D48" s="36"/>
      <c r="E48" s="36"/>
      <c r="F48" s="61"/>
      <c r="G48" s="53"/>
      <c r="H48" s="54">
        <f>SUM(H45:H47)</f>
        <v>43403.908000000003</v>
      </c>
      <c r="I48" s="62"/>
      <c r="J48" s="63"/>
      <c r="K48" s="64"/>
      <c r="L48" s="54">
        <f>SUM(L45:L47)</f>
        <v>39512.581380471034</v>
      </c>
      <c r="M48" s="62"/>
      <c r="N48" s="44">
        <f t="shared" si="2"/>
        <v>-3891.3266195289689</v>
      </c>
      <c r="O48" s="45">
        <f t="shared" si="8"/>
        <v>-8.965383069950679E-2</v>
      </c>
    </row>
    <row r="49" spans="2:19" x14ac:dyDescent="0.25">
      <c r="B49" s="65" t="s">
        <v>31</v>
      </c>
      <c r="C49" s="22"/>
      <c r="D49" s="23" t="s">
        <v>61</v>
      </c>
      <c r="E49" s="24"/>
      <c r="F49" s="66">
        <v>4.4000000000000003E-3</v>
      </c>
      <c r="G49" s="58">
        <f>F16*(F72)</f>
        <v>86400</v>
      </c>
      <c r="H49" s="67">
        <f t="shared" ref="H49:H55" si="9">G49*F49</f>
        <v>380.16</v>
      </c>
      <c r="I49" s="28"/>
      <c r="J49" s="66">
        <v>4.4000000000000003E-3</v>
      </c>
      <c r="K49" s="59">
        <f>F16*(J72)</f>
        <v>84780</v>
      </c>
      <c r="L49" s="67">
        <f t="shared" ref="L49:L55" si="10">K49*J49</f>
        <v>373.03200000000004</v>
      </c>
      <c r="M49" s="28"/>
      <c r="N49" s="31">
        <f t="shared" si="2"/>
        <v>-7.1279999999999859</v>
      </c>
      <c r="O49" s="68">
        <f t="shared" si="8"/>
        <v>-1.8749999999999961E-2</v>
      </c>
    </row>
    <row r="50" spans="2:19" x14ac:dyDescent="0.25">
      <c r="B50" s="65" t="s">
        <v>32</v>
      </c>
      <c r="C50" s="22"/>
      <c r="D50" s="23" t="s">
        <v>61</v>
      </c>
      <c r="E50" s="24"/>
      <c r="F50" s="66">
        <v>1.2999999999999999E-3</v>
      </c>
      <c r="G50" s="58">
        <f>G49</f>
        <v>86400</v>
      </c>
      <c r="H50" s="67">
        <f t="shared" si="9"/>
        <v>112.32</v>
      </c>
      <c r="I50" s="28"/>
      <c r="J50" s="66">
        <v>1.2999999999999999E-3</v>
      </c>
      <c r="K50" s="59">
        <f>K49</f>
        <v>84780</v>
      </c>
      <c r="L50" s="67">
        <f t="shared" si="10"/>
        <v>110.214</v>
      </c>
      <c r="M50" s="28"/>
      <c r="N50" s="31">
        <f t="shared" si="2"/>
        <v>-2.1059999999999945</v>
      </c>
      <c r="O50" s="68">
        <f t="shared" si="8"/>
        <v>-1.8749999999999954E-2</v>
      </c>
    </row>
    <row r="51" spans="2:19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7">
        <f t="shared" si="9"/>
        <v>0.25</v>
      </c>
      <c r="I51" s="28"/>
      <c r="J51" s="176">
        <v>0.25</v>
      </c>
      <c r="K51" s="30">
        <v>1</v>
      </c>
      <c r="L51" s="67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25">
      <c r="B52" s="22" t="s">
        <v>34</v>
      </c>
      <c r="C52" s="22"/>
      <c r="D52" s="23" t="s">
        <v>61</v>
      </c>
      <c r="E52" s="24"/>
      <c r="F52" s="66">
        <v>7.0000000000000001E-3</v>
      </c>
      <c r="G52" s="69">
        <f>F16</f>
        <v>1800000</v>
      </c>
      <c r="H52" s="67">
        <f t="shared" si="9"/>
        <v>12600</v>
      </c>
      <c r="I52" s="28"/>
      <c r="J52" s="66">
        <v>7.0000000000000001E-3</v>
      </c>
      <c r="K52" s="70">
        <f>F16</f>
        <v>1800000</v>
      </c>
      <c r="L52" s="67">
        <f t="shared" si="10"/>
        <v>12600</v>
      </c>
      <c r="M52" s="28"/>
      <c r="N52" s="31">
        <f t="shared" si="2"/>
        <v>0</v>
      </c>
      <c r="O52" s="68">
        <f t="shared" si="8"/>
        <v>0</v>
      </c>
    </row>
    <row r="53" spans="2:19" ht="15.75" thickBot="1" x14ac:dyDescent="0.3">
      <c r="B53" s="49" t="s">
        <v>73</v>
      </c>
      <c r="C53" s="22"/>
      <c r="D53" s="23" t="s">
        <v>61</v>
      </c>
      <c r="E53" s="24"/>
      <c r="F53" s="66">
        <v>8.2699999999999996E-2</v>
      </c>
      <c r="G53" s="69">
        <f>F16</f>
        <v>1800000</v>
      </c>
      <c r="H53" s="187">
        <f t="shared" si="9"/>
        <v>148860</v>
      </c>
      <c r="I53" s="57"/>
      <c r="J53" s="66">
        <v>8.2699999999999996E-2</v>
      </c>
      <c r="K53" s="69">
        <f>G53</f>
        <v>1800000</v>
      </c>
      <c r="L53" s="67">
        <f t="shared" si="10"/>
        <v>148860</v>
      </c>
      <c r="M53" s="28"/>
      <c r="N53" s="31">
        <f t="shared" si="2"/>
        <v>0</v>
      </c>
      <c r="O53" s="68">
        <f t="shared" si="8"/>
        <v>0</v>
      </c>
      <c r="S53" s="72"/>
    </row>
    <row r="54" spans="2:19" ht="15.75" hidden="1" thickBot="1" x14ac:dyDescent="0.3">
      <c r="B54" s="49" t="s">
        <v>36</v>
      </c>
      <c r="C54" s="22"/>
      <c r="D54" s="23"/>
      <c r="E54" s="24"/>
      <c r="F54" s="71">
        <v>0.104</v>
      </c>
      <c r="G54" s="58">
        <v>0</v>
      </c>
      <c r="H54" s="67">
        <f t="shared" si="9"/>
        <v>0</v>
      </c>
      <c r="I54" s="28"/>
      <c r="J54" s="66">
        <v>0.104</v>
      </c>
      <c r="K54" s="58">
        <v>0</v>
      </c>
      <c r="L54" s="67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t="15.75" hidden="1" thickBot="1" x14ac:dyDescent="0.3">
      <c r="B55" s="12" t="s">
        <v>37</v>
      </c>
      <c r="C55" s="22"/>
      <c r="D55" s="23"/>
      <c r="E55" s="24"/>
      <c r="F55" s="71">
        <v>0.124</v>
      </c>
      <c r="G55" s="58">
        <v>0</v>
      </c>
      <c r="H55" s="67">
        <f t="shared" si="9"/>
        <v>0</v>
      </c>
      <c r="I55" s="28"/>
      <c r="J55" s="66">
        <v>0.124</v>
      </c>
      <c r="K55" s="58">
        <v>0</v>
      </c>
      <c r="L55" s="67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t="15.75" hidden="1" thickBot="1" x14ac:dyDescent="0.25">
      <c r="B56" s="179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600</v>
      </c>
      <c r="H56" s="67">
        <f>G56*F56</f>
        <v>45</v>
      </c>
      <c r="I56" s="79"/>
      <c r="J56" s="66">
        <v>7.4999999999999997E-2</v>
      </c>
      <c r="K56" s="78">
        <f>G56</f>
        <v>600</v>
      </c>
      <c r="L56" s="67">
        <f>K56*J56</f>
        <v>45</v>
      </c>
      <c r="M56" s="79"/>
      <c r="N56" s="80">
        <f t="shared" si="2"/>
        <v>0</v>
      </c>
      <c r="O56" s="68">
        <f t="shared" si="8"/>
        <v>0</v>
      </c>
    </row>
    <row r="57" spans="2:19" s="73" customFormat="1" ht="15.75" hidden="1" thickBot="1" x14ac:dyDescent="0.25">
      <c r="B57" s="179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1799400</v>
      </c>
      <c r="H57" s="67">
        <f>G57*F57</f>
        <v>158347.19999999998</v>
      </c>
      <c r="I57" s="79"/>
      <c r="J57" s="66">
        <v>8.7999999999999995E-2</v>
      </c>
      <c r="K57" s="78">
        <f>G57</f>
        <v>1799400</v>
      </c>
      <c r="L57" s="67">
        <f>K57*J57</f>
        <v>158347.19999999998</v>
      </c>
      <c r="M57" s="79"/>
      <c r="N57" s="80">
        <f t="shared" si="2"/>
        <v>0</v>
      </c>
      <c r="O57" s="68">
        <f t="shared" si="8"/>
        <v>0</v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.75" hidden="1" thickBot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205356.63800000001</v>
      </c>
      <c r="I59" s="95"/>
      <c r="J59" s="96"/>
      <c r="K59" s="96"/>
      <c r="L59" s="94">
        <f>SUM(L49:L55,L48)</f>
        <v>201456.07738047102</v>
      </c>
      <c r="M59" s="97"/>
      <c r="N59" s="98">
        <f>L59-H59</f>
        <v>-3900.5606195289874</v>
      </c>
      <c r="O59" s="99">
        <f>IF((H59)=0,"",(N59/H59))</f>
        <v>-1.8994081016894069E-2</v>
      </c>
      <c r="S59" s="72"/>
    </row>
    <row r="60" spans="2:19" ht="15.75" hidden="1" thickBot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26696.362940000003</v>
      </c>
      <c r="I60" s="104"/>
      <c r="J60" s="105">
        <v>0.13</v>
      </c>
      <c r="K60" s="104"/>
      <c r="L60" s="106">
        <f>L59*J60</f>
        <v>26189.290059461233</v>
      </c>
      <c r="M60" s="107"/>
      <c r="N60" s="108">
        <f t="shared" si="2"/>
        <v>-507.07288053876982</v>
      </c>
      <c r="O60" s="109">
        <f t="shared" si="8"/>
        <v>-1.8994081016894121E-2</v>
      </c>
      <c r="S60" s="72"/>
    </row>
    <row r="61" spans="2:19" ht="15.75" hidden="1" thickBot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232053.00094</v>
      </c>
      <c r="I61" s="104"/>
      <c r="J61" s="104"/>
      <c r="K61" s="104"/>
      <c r="L61" s="106">
        <f>L59+L60</f>
        <v>227645.36743993225</v>
      </c>
      <c r="M61" s="107"/>
      <c r="N61" s="108">
        <f t="shared" si="2"/>
        <v>-4407.63350006775</v>
      </c>
      <c r="O61" s="109">
        <f t="shared" si="8"/>
        <v>-1.8994081016894045E-2</v>
      </c>
      <c r="S61" s="72"/>
    </row>
    <row r="62" spans="2:19" ht="15.75" hidden="1" customHeight="1" x14ac:dyDescent="0.3">
      <c r="B62" s="248" t="s">
        <v>43</v>
      </c>
      <c r="C62" s="248"/>
      <c r="D62" s="248"/>
      <c r="E62" s="22"/>
      <c r="F62" s="111"/>
      <c r="G62" s="102"/>
      <c r="H62" s="112">
        <f>ROUND(-H61*10%,2)</f>
        <v>-23205.3</v>
      </c>
      <c r="I62" s="104"/>
      <c r="J62" s="104"/>
      <c r="K62" s="104"/>
      <c r="L62" s="113">
        <f>ROUND(-L61*10%,2)</f>
        <v>-22764.54</v>
      </c>
      <c r="M62" s="107"/>
      <c r="N62" s="114">
        <f t="shared" si="2"/>
        <v>440.7599999999984</v>
      </c>
      <c r="O62" s="115">
        <f t="shared" si="8"/>
        <v>-1.89939367299711E-2</v>
      </c>
    </row>
    <row r="63" spans="2:19" ht="15.75" hidden="1" thickBot="1" x14ac:dyDescent="0.3">
      <c r="B63" s="240" t="s">
        <v>44</v>
      </c>
      <c r="C63" s="240"/>
      <c r="D63" s="240"/>
      <c r="E63" s="116"/>
      <c r="F63" s="117"/>
      <c r="G63" s="118"/>
      <c r="H63" s="119">
        <f>H61+H62</f>
        <v>208847.70094000001</v>
      </c>
      <c r="I63" s="120"/>
      <c r="J63" s="120"/>
      <c r="K63" s="120"/>
      <c r="L63" s="121">
        <f>L61+L62</f>
        <v>204880.82743993224</v>
      </c>
      <c r="M63" s="122"/>
      <c r="N63" s="123">
        <f t="shared" si="2"/>
        <v>-3966.8735000677698</v>
      </c>
      <c r="O63" s="124">
        <f t="shared" si="8"/>
        <v>-1.8994097048774385E-2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205356.63800000001</v>
      </c>
      <c r="I65" s="136"/>
      <c r="J65" s="137"/>
      <c r="K65" s="137"/>
      <c r="L65" s="188">
        <f>SUM(L53,L48,L49:L52)</f>
        <v>201456.07738047105</v>
      </c>
      <c r="M65" s="138"/>
      <c r="N65" s="139">
        <f>L65-H65</f>
        <v>-3900.5606195289583</v>
      </c>
      <c r="O65" s="99">
        <f>IF((H65)=0,"",(N65/H65))</f>
        <v>-1.8994081016893927E-2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26696.362940000003</v>
      </c>
      <c r="I66" s="143"/>
      <c r="J66" s="144">
        <v>0.13</v>
      </c>
      <c r="K66" s="145"/>
      <c r="L66" s="146">
        <f>L65*J66</f>
        <v>26189.290059461237</v>
      </c>
      <c r="M66" s="147"/>
      <c r="N66" s="148">
        <f>L66-H66</f>
        <v>-507.07288053876619</v>
      </c>
      <c r="O66" s="109">
        <f>IF((H66)=0,"",(N66/H66))</f>
        <v>-1.8994081016893986E-2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232053.00094</v>
      </c>
      <c r="I67" s="143"/>
      <c r="J67" s="143"/>
      <c r="K67" s="143"/>
      <c r="L67" s="146">
        <f>L65+L66</f>
        <v>227645.36743993228</v>
      </c>
      <c r="M67" s="147"/>
      <c r="N67" s="148">
        <f>L67-H67</f>
        <v>-4407.6335000677209</v>
      </c>
      <c r="O67" s="109">
        <f>IF((H67)=0,"",(N67/H67))</f>
        <v>-1.899408101689392E-2</v>
      </c>
    </row>
    <row r="68" spans="1:15" s="73" customFormat="1" ht="15.75" customHeight="1" x14ac:dyDescent="0.2">
      <c r="B68" s="249" t="s">
        <v>43</v>
      </c>
      <c r="C68" s="249"/>
      <c r="D68" s="249"/>
      <c r="E68" s="75"/>
      <c r="F68" s="150"/>
      <c r="G68" s="151"/>
      <c r="H68" s="152">
        <f>ROUND(-H67*10%,2)</f>
        <v>-23205.3</v>
      </c>
      <c r="I68" s="143"/>
      <c r="J68" s="143"/>
      <c r="K68" s="143"/>
      <c r="L68" s="153">
        <f>ROUND(-L67*10%,2)</f>
        <v>-22764.54</v>
      </c>
      <c r="M68" s="147"/>
      <c r="N68" s="154">
        <f>L68-H68</f>
        <v>440.7599999999984</v>
      </c>
      <c r="O68" s="115">
        <f>IF((H68)=0,"",(N68/H68))</f>
        <v>-1.89939367299711E-2</v>
      </c>
    </row>
    <row r="69" spans="1:15" s="73" customFormat="1" ht="13.5" thickBot="1" x14ac:dyDescent="0.25">
      <c r="B69" s="241" t="s">
        <v>46</v>
      </c>
      <c r="C69" s="241"/>
      <c r="D69" s="241"/>
      <c r="E69" s="155"/>
      <c r="F69" s="156"/>
      <c r="G69" s="157"/>
      <c r="H69" s="158">
        <f>SUM(H67:H68)</f>
        <v>208847.70094000001</v>
      </c>
      <c r="I69" s="159"/>
      <c r="J69" s="159"/>
      <c r="K69" s="159"/>
      <c r="L69" s="160">
        <f>SUM(L67:L68)</f>
        <v>204880.82743993227</v>
      </c>
      <c r="M69" s="161"/>
      <c r="N69" s="162">
        <f>L69-H69</f>
        <v>-3966.8735000677407</v>
      </c>
      <c r="O69" s="163">
        <f>IF((H69)=0,"",(N69/H69))</f>
        <v>-1.8994097048774247E-2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v>4.8000000000000001E-2</v>
      </c>
      <c r="J72" s="170">
        <f>'Res (100kWh)'!$J$74</f>
        <v>4.7100000000000003E-2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9:O9"/>
    <mergeCell ref="N1:O1"/>
    <mergeCell ref="N2:O2"/>
    <mergeCell ref="N3:O3"/>
    <mergeCell ref="N5:O5"/>
    <mergeCell ref="B8:O8"/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</mergeCells>
  <dataValidations count="3">
    <dataValidation type="list" allowBlank="1" showInputMessage="1" showErrorMessage="1" sqref="D14">
      <formula1>"TOU, non-TOU"</formula1>
    </dataValidation>
    <dataValidation type="list" allowBlank="1" showInputMessage="1" showErrorMessage="1" sqref="E70 E64 E46:E47 E38:E44 E49:E58 E21:E36">
      <formula1>#REF!</formula1>
    </dataValidation>
    <dataValidation type="list" allowBlank="1" showInputMessage="1" showErrorMessage="1" prompt="Select Charge Unit - monthly, per kWh, per kW" sqref="D46:D47 D38:D44 D64 D49:D58 D70 D21:D36">
      <formula1>"Monthly, per kWh, per kW"</formula1>
    </dataValidation>
  </dataValidations>
  <pageMargins left="0.7" right="0.7" top="0.75" bottom="0.75" header="0.3" footer="0.3"/>
  <pageSetup scale="58" fitToHeight="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theme="0" tint="-0.14999847407452621"/>
    <pageSetUpPr fitToPage="1"/>
  </sheetPr>
  <dimension ref="A1:T89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  <c r="P2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8-D</v>
      </c>
      <c r="O3" s="234"/>
      <c r="P3"/>
    </row>
    <row r="4" spans="1:20" s="2" customFormat="1" ht="9" customHeight="1" x14ac:dyDescent="0.25">
      <c r="L4" s="3"/>
      <c r="N4" s="232"/>
      <c r="O4"/>
      <c r="P4"/>
    </row>
    <row r="5" spans="1:20" s="2" customFormat="1" x14ac:dyDescent="0.25">
      <c r="L5" s="3" t="s">
        <v>75</v>
      </c>
      <c r="N5" s="234">
        <f>'Res (100kWh)'!$N$5:$O$5</f>
        <v>41985</v>
      </c>
      <c r="O5" s="234"/>
      <c r="P5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71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150</v>
      </c>
      <c r="G16" s="13" t="s">
        <v>7</v>
      </c>
      <c r="H16" s="14">
        <v>1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4.88</v>
      </c>
      <c r="G21" s="26">
        <v>1</v>
      </c>
      <c r="H21" s="27">
        <f>G21*F21</f>
        <v>4.88</v>
      </c>
      <c r="I21" s="28"/>
      <c r="J21" s="173">
        <v>5.28</v>
      </c>
      <c r="K21" s="30">
        <v>1</v>
      </c>
      <c r="L21" s="27">
        <f>K21*J21</f>
        <v>5.28</v>
      </c>
      <c r="M21" s="28"/>
      <c r="N21" s="31">
        <f>L21-H21</f>
        <v>0.40000000000000036</v>
      </c>
      <c r="O21" s="32">
        <f>IF((H21)=0,"",(N21/H21))</f>
        <v>8.1967213114754175E-2</v>
      </c>
    </row>
    <row r="22" spans="2:15" ht="36.75" customHeight="1" x14ac:dyDescent="0.25">
      <c r="B22" s="65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7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0</v>
      </c>
      <c r="O23" s="32" t="str">
        <f t="shared" ref="O23:O38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70</v>
      </c>
      <c r="E25" s="24"/>
      <c r="F25" s="25"/>
      <c r="G25" s="178">
        <f>$H$16</f>
        <v>1</v>
      </c>
      <c r="H25" s="27">
        <f t="shared" si="0"/>
        <v>0</v>
      </c>
      <c r="I25" s="28"/>
      <c r="J25" s="29">
        <v>13.032701418722425</v>
      </c>
      <c r="K25" s="178">
        <f>$H$16</f>
        <v>1</v>
      </c>
      <c r="L25" s="27">
        <f t="shared" si="1"/>
        <v>13.032701418722425</v>
      </c>
      <c r="M25" s="28"/>
      <c r="N25" s="31">
        <f t="shared" si="2"/>
        <v>13.032701418722425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70</v>
      </c>
      <c r="E26" s="24"/>
      <c r="F26" s="25">
        <v>-0.45660000000000001</v>
      </c>
      <c r="G26" s="178">
        <f>$H$16</f>
        <v>1</v>
      </c>
      <c r="H26" s="27">
        <f t="shared" si="0"/>
        <v>-0.45660000000000001</v>
      </c>
      <c r="I26" s="28"/>
      <c r="J26" s="29"/>
      <c r="K26" s="178">
        <f>$H$16</f>
        <v>1</v>
      </c>
      <c r="L26" s="27">
        <f t="shared" si="1"/>
        <v>0</v>
      </c>
      <c r="M26" s="28"/>
      <c r="N26" s="31">
        <f t="shared" si="2"/>
        <v>0.45660000000000001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70</v>
      </c>
      <c r="E27" s="24"/>
      <c r="F27" s="25"/>
      <c r="G27" s="178">
        <f>$H$16</f>
        <v>1</v>
      </c>
      <c r="H27" s="27">
        <f t="shared" si="0"/>
        <v>0</v>
      </c>
      <c r="I27" s="28"/>
      <c r="J27" s="29">
        <v>-2.5540519290778212</v>
      </c>
      <c r="K27" s="178">
        <f>$H$16</f>
        <v>1</v>
      </c>
      <c r="L27" s="27">
        <f t="shared" si="1"/>
        <v>-2.5540519290778212</v>
      </c>
      <c r="M27" s="28"/>
      <c r="N27" s="31">
        <f t="shared" si="2"/>
        <v>-2.5540519290778212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70</v>
      </c>
      <c r="E28" s="24"/>
      <c r="F28" s="25">
        <v>26.125499999999999</v>
      </c>
      <c r="G28" s="178">
        <f>$H$16</f>
        <v>1</v>
      </c>
      <c r="H28" s="27">
        <f t="shared" si="0"/>
        <v>26.125499999999999</v>
      </c>
      <c r="I28" s="28"/>
      <c r="J28" s="29">
        <v>28.258900000000001</v>
      </c>
      <c r="K28" s="178">
        <f>$H$16</f>
        <v>1</v>
      </c>
      <c r="L28" s="27">
        <f t="shared" si="1"/>
        <v>28.258900000000001</v>
      </c>
      <c r="M28" s="28"/>
      <c r="N28" s="31">
        <f t="shared" si="2"/>
        <v>2.1334000000000017</v>
      </c>
      <c r="O28" s="32">
        <f t="shared" si="3"/>
        <v>8.1659681154427732E-2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150</v>
      </c>
      <c r="H29" s="27">
        <f t="shared" si="0"/>
        <v>0</v>
      </c>
      <c r="I29" s="28"/>
      <c r="J29" s="29"/>
      <c r="K29" s="26">
        <f t="shared" ref="K29:K37" si="4">$F$16</f>
        <v>150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150</v>
      </c>
      <c r="H30" s="27">
        <f t="shared" si="0"/>
        <v>0</v>
      </c>
      <c r="I30" s="28"/>
      <c r="J30" s="29"/>
      <c r="K30" s="26">
        <f t="shared" si="4"/>
        <v>150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5">$F$16</f>
        <v>150</v>
      </c>
      <c r="H31" s="27">
        <f t="shared" si="0"/>
        <v>0</v>
      </c>
      <c r="I31" s="28"/>
      <c r="J31" s="29"/>
      <c r="K31" s="26">
        <f t="shared" si="4"/>
        <v>150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150</v>
      </c>
      <c r="H32" s="27">
        <f t="shared" si="0"/>
        <v>0</v>
      </c>
      <c r="I32" s="28"/>
      <c r="J32" s="29"/>
      <c r="K32" s="26">
        <f t="shared" si="4"/>
        <v>150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150</v>
      </c>
      <c r="H33" s="27">
        <f t="shared" si="0"/>
        <v>0</v>
      </c>
      <c r="I33" s="28"/>
      <c r="J33" s="29"/>
      <c r="K33" s="26">
        <f t="shared" si="4"/>
        <v>150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150</v>
      </c>
      <c r="H34" s="27">
        <f t="shared" si="0"/>
        <v>0</v>
      </c>
      <c r="I34" s="28"/>
      <c r="J34" s="29"/>
      <c r="K34" s="26">
        <f t="shared" si="4"/>
        <v>150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150</v>
      </c>
      <c r="H35" s="27">
        <f t="shared" si="0"/>
        <v>0</v>
      </c>
      <c r="I35" s="28"/>
      <c r="J35" s="29"/>
      <c r="K35" s="26">
        <f t="shared" si="4"/>
        <v>150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150</v>
      </c>
      <c r="H36" s="27">
        <f t="shared" si="0"/>
        <v>0</v>
      </c>
      <c r="I36" s="28"/>
      <c r="J36" s="29"/>
      <c r="K36" s="26">
        <f t="shared" si="4"/>
        <v>150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5"/>
        <v>150</v>
      </c>
      <c r="H37" s="27">
        <f t="shared" si="0"/>
        <v>0</v>
      </c>
      <c r="I37" s="28"/>
      <c r="J37" s="29"/>
      <c r="K37" s="26">
        <f t="shared" si="4"/>
        <v>150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30.5489</v>
      </c>
      <c r="I38" s="41"/>
      <c r="J38" s="42"/>
      <c r="K38" s="43"/>
      <c r="L38" s="40">
        <f>SUM(L21:L37)</f>
        <v>44.017549489644608</v>
      </c>
      <c r="M38" s="41"/>
      <c r="N38" s="44">
        <f t="shared" si="2"/>
        <v>13.468649489644609</v>
      </c>
      <c r="O38" s="45">
        <f t="shared" si="3"/>
        <v>0.44088819858144185</v>
      </c>
    </row>
    <row r="39" spans="2:15" x14ac:dyDescent="0.25">
      <c r="B39" s="46" t="s">
        <v>23</v>
      </c>
      <c r="C39" s="22"/>
      <c r="D39" s="56" t="s">
        <v>70</v>
      </c>
      <c r="E39" s="57"/>
      <c r="F39" s="29">
        <v>-0.62739999999999996</v>
      </c>
      <c r="G39" s="178">
        <f>G28</f>
        <v>1</v>
      </c>
      <c r="H39" s="27">
        <f t="shared" ref="H39:H45" si="6">G39*F39</f>
        <v>-0.62739999999999996</v>
      </c>
      <c r="I39" s="28"/>
      <c r="J39" s="29">
        <v>-14.385965140645288</v>
      </c>
      <c r="K39" s="178">
        <f>H16</f>
        <v>1</v>
      </c>
      <c r="L39" s="27">
        <f t="shared" ref="L39:L45" si="7">K39*J39</f>
        <v>-14.385965140645288</v>
      </c>
      <c r="M39" s="28"/>
      <c r="N39" s="31">
        <f t="shared" ref="N39:N45" si="8">L39-H39</f>
        <v>-13.758565140645288</v>
      </c>
      <c r="O39" s="32">
        <f t="shared" ref="O39:O44" si="9">IF((H39)=0,"",(N39/H39))</f>
        <v>21.929494964369283</v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1</v>
      </c>
      <c r="H40" s="27">
        <f t="shared" si="6"/>
        <v>0</v>
      </c>
      <c r="I40" s="47"/>
      <c r="J40" s="29"/>
      <c r="K40" s="178">
        <f>H16</f>
        <v>1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idden="1" x14ac:dyDescent="0.25">
      <c r="B41" s="46"/>
      <c r="C41" s="22"/>
      <c r="D41" s="23" t="s">
        <v>70</v>
      </c>
      <c r="E41" s="24"/>
      <c r="F41" s="25"/>
      <c r="G41" s="178">
        <f>H16</f>
        <v>1</v>
      </c>
      <c r="H41" s="27">
        <f t="shared" si="6"/>
        <v>0</v>
      </c>
      <c r="I41" s="47"/>
      <c r="J41" s="29"/>
      <c r="K41" s="178">
        <f>H16</f>
        <v>1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t="30" customHeight="1" x14ac:dyDescent="0.25">
      <c r="B42" s="46" t="s">
        <v>74</v>
      </c>
      <c r="C42" s="22"/>
      <c r="D42" s="23" t="s">
        <v>70</v>
      </c>
      <c r="E42" s="24"/>
      <c r="F42" s="29">
        <v>0.28560000000000002</v>
      </c>
      <c r="G42" s="178">
        <f>H16</f>
        <v>1</v>
      </c>
      <c r="H42" s="27">
        <f t="shared" si="6"/>
        <v>0.28560000000000002</v>
      </c>
      <c r="I42" s="47"/>
      <c r="J42" s="29">
        <v>0.6390782977143874</v>
      </c>
      <c r="K42" s="178">
        <f>H16</f>
        <v>1</v>
      </c>
      <c r="L42" s="27">
        <f t="shared" si="7"/>
        <v>0.6390782977143874</v>
      </c>
      <c r="M42" s="48"/>
      <c r="N42" s="31">
        <f t="shared" si="8"/>
        <v>0.35347829771438738</v>
      </c>
      <c r="O42" s="32">
        <f t="shared" si="9"/>
        <v>1.2376691096442134</v>
      </c>
    </row>
    <row r="43" spans="2:15" x14ac:dyDescent="0.25">
      <c r="B43" s="49" t="s">
        <v>24</v>
      </c>
      <c r="C43" s="22"/>
      <c r="D43" s="23" t="s">
        <v>70</v>
      </c>
      <c r="E43" s="24"/>
      <c r="F43" s="25">
        <v>1.0800000000000001E-2</v>
      </c>
      <c r="G43" s="178">
        <f>H16</f>
        <v>1</v>
      </c>
      <c r="H43" s="27">
        <f t="shared" si="6"/>
        <v>1.0800000000000001E-2</v>
      </c>
      <c r="I43" s="28"/>
      <c r="J43" s="29">
        <v>1.14E-2</v>
      </c>
      <c r="K43" s="178">
        <f>H16</f>
        <v>1</v>
      </c>
      <c r="L43" s="27">
        <f t="shared" si="7"/>
        <v>1.14E-2</v>
      </c>
      <c r="M43" s="28"/>
      <c r="N43" s="31">
        <f t="shared" si="8"/>
        <v>5.9999999999999984E-4</v>
      </c>
      <c r="O43" s="32">
        <f t="shared" si="9"/>
        <v>5.5555555555555539E-2</v>
      </c>
    </row>
    <row r="44" spans="2:15" s="34" customFormat="1" x14ac:dyDescent="0.25">
      <c r="B44" s="180" t="s">
        <v>25</v>
      </c>
      <c r="C44" s="24"/>
      <c r="D44" s="181" t="s">
        <v>61</v>
      </c>
      <c r="E44" s="24"/>
      <c r="F44" s="182">
        <f>IF(ISBLANK(D14)=TRUE, 0, IF(D14="TOU", 0.64*$F$54+0.18*$F$55+0.18*$F$56, IF(AND(D14="non-TOU", G58&gt;0), F58,F57)))</f>
        <v>7.4999999999999997E-2</v>
      </c>
      <c r="G44" s="26">
        <f>$F$16*(1+$F$73)-$F$16</f>
        <v>7.2000000000000171</v>
      </c>
      <c r="H44" s="183">
        <f t="shared" si="6"/>
        <v>0.54000000000000126</v>
      </c>
      <c r="I44" s="57"/>
      <c r="J44" s="184">
        <f>IF(ISBLANK(D14)=TRUE, 0, IF(D14="TOU", 0.64*$F$54+0.18*$F$55+0.18*$F$56, IF(AND(D14="non-TOU", K58&gt;0), J58,J57)))</f>
        <v>7.4999999999999997E-2</v>
      </c>
      <c r="K44" s="26">
        <f>$F$16*(1+$J$73)-$F$16</f>
        <v>7.0649999999999977</v>
      </c>
      <c r="L44" s="183">
        <f t="shared" si="7"/>
        <v>0.52987499999999976</v>
      </c>
      <c r="M44" s="57"/>
      <c r="N44" s="185">
        <f t="shared" si="8"/>
        <v>-1.0125000000001494E-2</v>
      </c>
      <c r="O44" s="186">
        <f t="shared" si="9"/>
        <v>-1.8750000000002723E-2</v>
      </c>
    </row>
    <row r="45" spans="2:15" x14ac:dyDescent="0.25">
      <c r="B45" s="49" t="s">
        <v>26</v>
      </c>
      <c r="C45" s="22"/>
      <c r="D45" s="23" t="s">
        <v>60</v>
      </c>
      <c r="E45" s="24"/>
      <c r="F45" s="177"/>
      <c r="G45" s="26">
        <v>0</v>
      </c>
      <c r="H45" s="27">
        <f t="shared" si="6"/>
        <v>0</v>
      </c>
      <c r="I45" s="28"/>
      <c r="J45" s="177"/>
      <c r="K45" s="26">
        <v>0</v>
      </c>
      <c r="L45" s="27">
        <f t="shared" si="7"/>
        <v>0</v>
      </c>
      <c r="M45" s="28"/>
      <c r="N45" s="31">
        <f t="shared" si="8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SUM(H39:H45)+H38</f>
        <v>30.757899999999999</v>
      </c>
      <c r="I46" s="41"/>
      <c r="J46" s="53"/>
      <c r="K46" s="55"/>
      <c r="L46" s="54">
        <f>SUM(L39:L45)+L38</f>
        <v>30.811937646713709</v>
      </c>
      <c r="M46" s="41"/>
      <c r="N46" s="44">
        <f t="shared" ref="N46:N64" si="10">L46-H46</f>
        <v>5.4037646713709364E-2</v>
      </c>
      <c r="O46" s="45">
        <f t="shared" ref="O46:O64" si="11">IF((H46)=0,"",(N46/H46))</f>
        <v>1.7568704857519326E-3</v>
      </c>
    </row>
    <row r="47" spans="2:15" x14ac:dyDescent="0.25">
      <c r="B47" s="28" t="s">
        <v>28</v>
      </c>
      <c r="C47" s="28"/>
      <c r="D47" s="56" t="s">
        <v>70</v>
      </c>
      <c r="E47" s="57"/>
      <c r="F47" s="29">
        <v>2.0562</v>
      </c>
      <c r="G47" s="58">
        <f>H16*(1+F73)</f>
        <v>1.048</v>
      </c>
      <c r="H47" s="27">
        <f>G47*F47</f>
        <v>2.1548976</v>
      </c>
      <c r="I47" s="28"/>
      <c r="J47" s="29">
        <v>2.1433744363307281</v>
      </c>
      <c r="K47" s="59">
        <f>H16*(1+J73)</f>
        <v>1.0470999999999999</v>
      </c>
      <c r="L47" s="27">
        <f>K47*J47</f>
        <v>2.244327372281905</v>
      </c>
      <c r="M47" s="28"/>
      <c r="N47" s="31">
        <f t="shared" si="10"/>
        <v>8.9429772281905073E-2</v>
      </c>
      <c r="O47" s="32">
        <f t="shared" si="11"/>
        <v>4.1500706243259577E-2</v>
      </c>
    </row>
    <row r="48" spans="2:15" x14ac:dyDescent="0.25">
      <c r="B48" s="60" t="s">
        <v>29</v>
      </c>
      <c r="C48" s="28"/>
      <c r="D48" s="56" t="s">
        <v>70</v>
      </c>
      <c r="E48" s="57"/>
      <c r="F48" s="29">
        <v>1.5665</v>
      </c>
      <c r="G48" s="58">
        <f>G47</f>
        <v>1.048</v>
      </c>
      <c r="H48" s="27">
        <f>G48*F48</f>
        <v>1.6416920000000002</v>
      </c>
      <c r="I48" s="28"/>
      <c r="J48" s="29">
        <v>1.5698966422422653</v>
      </c>
      <c r="K48" s="59">
        <f>K47</f>
        <v>1.0470999999999999</v>
      </c>
      <c r="L48" s="27">
        <f>K48*J48</f>
        <v>1.6438387740918758</v>
      </c>
      <c r="M48" s="28"/>
      <c r="N48" s="31">
        <f t="shared" si="10"/>
        <v>2.1467740918756917E-3</v>
      </c>
      <c r="O48" s="32">
        <f t="shared" si="11"/>
        <v>1.3076594707629029E-3</v>
      </c>
    </row>
    <row r="49" spans="2:19" x14ac:dyDescent="0.25">
      <c r="B49" s="50" t="s">
        <v>30</v>
      </c>
      <c r="C49" s="36"/>
      <c r="D49" s="36"/>
      <c r="E49" s="36"/>
      <c r="F49" s="61"/>
      <c r="G49" s="53"/>
      <c r="H49" s="54">
        <f>SUM(H46:H48)</f>
        <v>34.554489599999997</v>
      </c>
      <c r="I49" s="62"/>
      <c r="J49" s="63"/>
      <c r="K49" s="64"/>
      <c r="L49" s="54">
        <f>SUM(L46:L48)</f>
        <v>34.700103793087493</v>
      </c>
      <c r="M49" s="62"/>
      <c r="N49" s="44">
        <f t="shared" si="10"/>
        <v>0.14561419308749635</v>
      </c>
      <c r="O49" s="45">
        <f t="shared" si="11"/>
        <v>4.2140455487294001E-3</v>
      </c>
    </row>
    <row r="50" spans="2:19" x14ac:dyDescent="0.25">
      <c r="B50" s="65" t="s">
        <v>31</v>
      </c>
      <c r="C50" s="22"/>
      <c r="D50" s="23" t="s">
        <v>61</v>
      </c>
      <c r="E50" s="24"/>
      <c r="F50" s="66">
        <v>4.4000000000000003E-3</v>
      </c>
      <c r="G50" s="58">
        <f>F16*(1+F73)</f>
        <v>157.20000000000002</v>
      </c>
      <c r="H50" s="67">
        <f t="shared" ref="H50:H56" si="12">G50*F50</f>
        <v>0.69168000000000007</v>
      </c>
      <c r="I50" s="28"/>
      <c r="J50" s="66">
        <v>4.4000000000000003E-3</v>
      </c>
      <c r="K50" s="59">
        <f>F16*(1+J73)</f>
        <v>157.065</v>
      </c>
      <c r="L50" s="67">
        <f t="shared" ref="L50:L56" si="13">K50*J50</f>
        <v>0.69108599999999998</v>
      </c>
      <c r="M50" s="28"/>
      <c r="N50" s="31">
        <f t="shared" si="10"/>
        <v>-5.9400000000009445E-4</v>
      </c>
      <c r="O50" s="68">
        <f t="shared" si="11"/>
        <v>-8.5877862595433495E-4</v>
      </c>
    </row>
    <row r="51" spans="2:19" x14ac:dyDescent="0.25">
      <c r="B51" s="65" t="s">
        <v>32</v>
      </c>
      <c r="C51" s="22"/>
      <c r="D51" s="23" t="s">
        <v>61</v>
      </c>
      <c r="E51" s="24"/>
      <c r="F51" s="66">
        <v>1.2999999999999999E-3</v>
      </c>
      <c r="G51" s="58">
        <f>G50</f>
        <v>157.20000000000002</v>
      </c>
      <c r="H51" s="67">
        <f t="shared" si="12"/>
        <v>0.20436000000000001</v>
      </c>
      <c r="I51" s="28"/>
      <c r="J51" s="66">
        <v>1.2999999999999999E-3</v>
      </c>
      <c r="K51" s="59">
        <f>K50</f>
        <v>157.065</v>
      </c>
      <c r="L51" s="67">
        <f t="shared" si="13"/>
        <v>0.20418449999999999</v>
      </c>
      <c r="M51" s="28"/>
      <c r="N51" s="31">
        <f t="shared" si="10"/>
        <v>-1.7550000000002286E-4</v>
      </c>
      <c r="O51" s="68">
        <f t="shared" si="11"/>
        <v>-8.5877862595431023E-4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7">
        <f t="shared" si="12"/>
        <v>0.25</v>
      </c>
      <c r="I52" s="28"/>
      <c r="J52" s="176">
        <v>0.25</v>
      </c>
      <c r="K52" s="30">
        <v>1</v>
      </c>
      <c r="L52" s="67">
        <f t="shared" si="13"/>
        <v>0.25</v>
      </c>
      <c r="M52" s="28"/>
      <c r="N52" s="31">
        <f t="shared" si="10"/>
        <v>0</v>
      </c>
      <c r="O52" s="68">
        <f t="shared" si="11"/>
        <v>0</v>
      </c>
    </row>
    <row r="53" spans="2:19" x14ac:dyDescent="0.25">
      <c r="B53" s="22" t="s">
        <v>34</v>
      </c>
      <c r="C53" s="22"/>
      <c r="D53" s="23" t="s">
        <v>61</v>
      </c>
      <c r="E53" s="24"/>
      <c r="F53" s="66">
        <v>7.0000000000000001E-3</v>
      </c>
      <c r="G53" s="69">
        <f>F16</f>
        <v>150</v>
      </c>
      <c r="H53" s="67">
        <f t="shared" si="12"/>
        <v>1.05</v>
      </c>
      <c r="I53" s="28"/>
      <c r="J53" s="66">
        <v>7.0000000000000001E-3</v>
      </c>
      <c r="K53" s="70">
        <f>F16</f>
        <v>150</v>
      </c>
      <c r="L53" s="67">
        <f t="shared" si="13"/>
        <v>1.05</v>
      </c>
      <c r="M53" s="28"/>
      <c r="N53" s="31">
        <f t="shared" si="10"/>
        <v>0</v>
      </c>
      <c r="O53" s="68">
        <f t="shared" si="11"/>
        <v>0</v>
      </c>
    </row>
    <row r="54" spans="2:19" ht="15.75" thickBot="1" x14ac:dyDescent="0.3">
      <c r="B54" s="49" t="s">
        <v>73</v>
      </c>
      <c r="C54" s="22"/>
      <c r="D54" s="23" t="s">
        <v>61</v>
      </c>
      <c r="E54" s="24"/>
      <c r="F54" s="66">
        <v>8.2699999999999996E-2</v>
      </c>
      <c r="G54" s="69">
        <f>F16</f>
        <v>150</v>
      </c>
      <c r="H54" s="67">
        <f t="shared" si="12"/>
        <v>12.404999999999999</v>
      </c>
      <c r="I54" s="28"/>
      <c r="J54" s="66">
        <v>8.2699999999999996E-2</v>
      </c>
      <c r="K54" s="69">
        <f>F16</f>
        <v>150</v>
      </c>
      <c r="L54" s="67">
        <f t="shared" si="13"/>
        <v>12.404999999999999</v>
      </c>
      <c r="M54" s="28"/>
      <c r="N54" s="31">
        <f t="shared" si="10"/>
        <v>0</v>
      </c>
      <c r="O54" s="68">
        <f t="shared" si="11"/>
        <v>0</v>
      </c>
      <c r="S54" s="72"/>
    </row>
    <row r="55" spans="2:19" hidden="1" x14ac:dyDescent="0.25">
      <c r="B55" s="49" t="s">
        <v>36</v>
      </c>
      <c r="C55" s="22"/>
      <c r="D55" s="23"/>
      <c r="E55" s="24"/>
      <c r="F55" s="71">
        <v>0.104</v>
      </c>
      <c r="G55" s="69">
        <v>0</v>
      </c>
      <c r="H55" s="67">
        <f t="shared" si="12"/>
        <v>0</v>
      </c>
      <c r="I55" s="28"/>
      <c r="J55" s="66">
        <v>0.104</v>
      </c>
      <c r="K55" s="69">
        <v>0</v>
      </c>
      <c r="L55" s="67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hidden="1" x14ac:dyDescent="0.25">
      <c r="B56" s="12" t="s">
        <v>37</v>
      </c>
      <c r="C56" s="22"/>
      <c r="D56" s="23"/>
      <c r="E56" s="24"/>
      <c r="F56" s="71">
        <v>0.124</v>
      </c>
      <c r="G56" s="69">
        <v>0</v>
      </c>
      <c r="H56" s="67">
        <f t="shared" si="12"/>
        <v>0</v>
      </c>
      <c r="I56" s="28"/>
      <c r="J56" s="66">
        <v>0.124</v>
      </c>
      <c r="K56" s="69">
        <v>0</v>
      </c>
      <c r="L56" s="67">
        <f t="shared" si="13"/>
        <v>0</v>
      </c>
      <c r="M56" s="28"/>
      <c r="N56" s="31">
        <f t="shared" si="10"/>
        <v>0</v>
      </c>
      <c r="O56" s="68" t="str">
        <f t="shared" si="11"/>
        <v/>
      </c>
      <c r="S56" s="72"/>
    </row>
    <row r="57" spans="2:19" s="73" customFormat="1" hidden="1" x14ac:dyDescent="0.2">
      <c r="B57" s="179" t="s">
        <v>38</v>
      </c>
      <c r="C57" s="75"/>
      <c r="D57" s="76"/>
      <c r="E57" s="77"/>
      <c r="F57" s="71">
        <v>7.4999999999999997E-2</v>
      </c>
      <c r="G57" s="78">
        <f>IF(AND($T$1=1, F16&gt;=600), 600, IF(AND($T$1=1, AND(F16&lt;600, F16&gt;=0)), F16, IF(AND($T$1=2, F16&gt;=1000), 1000, IF(AND($T$1=2, AND(F16&lt;1000, F16&gt;=0)), F16))))</f>
        <v>150</v>
      </c>
      <c r="H57" s="67">
        <f>G57*F57</f>
        <v>11.25</v>
      </c>
      <c r="I57" s="79"/>
      <c r="J57" s="66">
        <v>7.4999999999999997E-2</v>
      </c>
      <c r="K57" s="78">
        <f>G57</f>
        <v>150</v>
      </c>
      <c r="L57" s="67">
        <f>K57*J57</f>
        <v>11.25</v>
      </c>
      <c r="M57" s="79"/>
      <c r="N57" s="80">
        <f t="shared" si="10"/>
        <v>0</v>
      </c>
      <c r="O57" s="68">
        <f t="shared" si="11"/>
        <v>0</v>
      </c>
    </row>
    <row r="58" spans="2:19" s="73" customFormat="1" ht="15.75" hidden="1" thickBot="1" x14ac:dyDescent="0.25">
      <c r="B58" s="179" t="s">
        <v>39</v>
      </c>
      <c r="C58" s="75"/>
      <c r="D58" s="76"/>
      <c r="E58" s="77"/>
      <c r="F58" s="71">
        <v>8.7999999999999995E-2</v>
      </c>
      <c r="G58" s="78">
        <f>IF(AND($T$1=1, F16&gt;=600), F16-600, IF(AND($T$1=1, AND(F16&lt;600, F16&gt;=0)), 0, IF(AND($T$1=2, F16&gt;=1000), F16-1000, IF(AND($T$1=2, AND(F16&lt;1000, F16&gt;=0)), 0))))</f>
        <v>0</v>
      </c>
      <c r="H58" s="67">
        <f>G58*F58</f>
        <v>0</v>
      </c>
      <c r="I58" s="79"/>
      <c r="J58" s="66">
        <v>8.7999999999999995E-2</v>
      </c>
      <c r="K58" s="78">
        <f>G58</f>
        <v>0</v>
      </c>
      <c r="L58" s="67">
        <f>K58*J58</f>
        <v>0</v>
      </c>
      <c r="M58" s="79"/>
      <c r="N58" s="80">
        <f t="shared" si="10"/>
        <v>0</v>
      </c>
      <c r="O58" s="68" t="str">
        <f t="shared" si="11"/>
        <v/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idden="1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49.155529599999994</v>
      </c>
      <c r="I60" s="95"/>
      <c r="J60" s="96"/>
      <c r="K60" s="96"/>
      <c r="L60" s="94">
        <f>SUM(L50:L56,L49)</f>
        <v>49.300374293087494</v>
      </c>
      <c r="M60" s="97"/>
      <c r="N60" s="98">
        <f>L60-H60</f>
        <v>0.14484469308749937</v>
      </c>
      <c r="O60" s="99">
        <f>IF((H60)=0,"",(N60/H60))</f>
        <v>2.9466612254239527E-3</v>
      </c>
      <c r="S60" s="72"/>
    </row>
    <row r="61" spans="2:19" hidden="1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6.3902188479999991</v>
      </c>
      <c r="I61" s="104"/>
      <c r="J61" s="105">
        <v>0.13</v>
      </c>
      <c r="K61" s="104"/>
      <c r="L61" s="106">
        <f>L60*J61</f>
        <v>6.4090486581013746</v>
      </c>
      <c r="M61" s="107"/>
      <c r="N61" s="108">
        <f t="shared" si="10"/>
        <v>1.8829810101375521E-2</v>
      </c>
      <c r="O61" s="109">
        <f t="shared" si="11"/>
        <v>2.9466612254240472E-3</v>
      </c>
      <c r="S61" s="72"/>
    </row>
    <row r="62" spans="2:19" hidden="1" x14ac:dyDescent="0.25">
      <c r="B62" s="110" t="s">
        <v>42</v>
      </c>
      <c r="C62" s="22"/>
      <c r="D62" s="22"/>
      <c r="E62" s="22"/>
      <c r="F62" s="111"/>
      <c r="G62" s="102"/>
      <c r="H62" s="103">
        <f>H60+H61</f>
        <v>55.545748447999991</v>
      </c>
      <c r="I62" s="104"/>
      <c r="J62" s="104"/>
      <c r="K62" s="104"/>
      <c r="L62" s="106">
        <f>L60+L61</f>
        <v>55.70942295118887</v>
      </c>
      <c r="M62" s="107"/>
      <c r="N62" s="108">
        <f t="shared" si="10"/>
        <v>0.16367450318887933</v>
      </c>
      <c r="O62" s="109">
        <f t="shared" si="11"/>
        <v>2.9466612254240437E-3</v>
      </c>
      <c r="S62" s="72"/>
    </row>
    <row r="63" spans="2:19" ht="15.75" hidden="1" customHeight="1" x14ac:dyDescent="0.25">
      <c r="B63" s="248" t="s">
        <v>43</v>
      </c>
      <c r="C63" s="248"/>
      <c r="D63" s="248"/>
      <c r="E63" s="22"/>
      <c r="F63" s="111"/>
      <c r="G63" s="102"/>
      <c r="H63" s="112">
        <f>ROUND(-H62*10%,2)</f>
        <v>-5.55</v>
      </c>
      <c r="I63" s="104"/>
      <c r="J63" s="104"/>
      <c r="K63" s="104"/>
      <c r="L63" s="113">
        <f>ROUND(-L62*10%,2)</f>
        <v>-5.57</v>
      </c>
      <c r="M63" s="107"/>
      <c r="N63" s="114">
        <f t="shared" si="10"/>
        <v>-2.0000000000000462E-2</v>
      </c>
      <c r="O63" s="115">
        <f t="shared" si="11"/>
        <v>3.6036036036036869E-3</v>
      </c>
    </row>
    <row r="64" spans="2:19" hidden="1" x14ac:dyDescent="0.25">
      <c r="B64" s="240" t="s">
        <v>44</v>
      </c>
      <c r="C64" s="240"/>
      <c r="D64" s="240"/>
      <c r="E64" s="116"/>
      <c r="F64" s="117"/>
      <c r="G64" s="118"/>
      <c r="H64" s="119">
        <f>H62+H63</f>
        <v>49.995748447999993</v>
      </c>
      <c r="I64" s="120"/>
      <c r="J64" s="120"/>
      <c r="K64" s="120"/>
      <c r="L64" s="121">
        <f>L62+L63</f>
        <v>50.13942295118887</v>
      </c>
      <c r="M64" s="122"/>
      <c r="N64" s="123">
        <f t="shared" si="10"/>
        <v>0.1436745031888762</v>
      </c>
      <c r="O64" s="124">
        <f t="shared" si="11"/>
        <v>2.8737344204039753E-3</v>
      </c>
    </row>
    <row r="65" spans="1:15" s="73" customFormat="1" ht="8.25" hidden="1" customHeight="1" x14ac:dyDescent="0.2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SUM(H54,H49,H50:H53)</f>
        <v>49.155529599999994</v>
      </c>
      <c r="I66" s="136"/>
      <c r="J66" s="137"/>
      <c r="K66" s="137"/>
      <c r="L66" s="188">
        <f>SUM(L54,L49,L50:L53)</f>
        <v>49.300374293087486</v>
      </c>
      <c r="M66" s="138"/>
      <c r="N66" s="139">
        <f>L66-H66</f>
        <v>0.14484469308749226</v>
      </c>
      <c r="O66" s="99">
        <f>IF((H66)=0,"",(N66/H66))</f>
        <v>2.9466612254238083E-3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6.3902188479999991</v>
      </c>
      <c r="I67" s="143"/>
      <c r="J67" s="144">
        <v>0.13</v>
      </c>
      <c r="K67" s="145"/>
      <c r="L67" s="146">
        <f>L66*J67</f>
        <v>6.4090486581013737</v>
      </c>
      <c r="M67" s="147"/>
      <c r="N67" s="148">
        <f>L67-H67</f>
        <v>1.8829810101374633E-2</v>
      </c>
      <c r="O67" s="109">
        <f>IF((H67)=0,"",(N67/H67))</f>
        <v>2.9466612254239084E-3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55.545748447999991</v>
      </c>
      <c r="I68" s="143"/>
      <c r="J68" s="143"/>
      <c r="K68" s="143"/>
      <c r="L68" s="146">
        <f>L66+L67</f>
        <v>55.709422951188863</v>
      </c>
      <c r="M68" s="147"/>
      <c r="N68" s="148">
        <f>L68-H68</f>
        <v>0.16367450318887222</v>
      </c>
      <c r="O68" s="109">
        <f>IF((H68)=0,"",(N68/H68))</f>
        <v>2.9466612254239158E-3</v>
      </c>
    </row>
    <row r="69" spans="1:15" s="73" customFormat="1" ht="15.75" customHeight="1" x14ac:dyDescent="0.2">
      <c r="B69" s="249" t="s">
        <v>43</v>
      </c>
      <c r="C69" s="249"/>
      <c r="D69" s="249"/>
      <c r="E69" s="75"/>
      <c r="F69" s="150"/>
      <c r="G69" s="151"/>
      <c r="H69" s="152">
        <f>ROUND(-H68*10%,2)</f>
        <v>-5.55</v>
      </c>
      <c r="I69" s="143"/>
      <c r="J69" s="143"/>
      <c r="K69" s="143"/>
      <c r="L69" s="153">
        <f>ROUND(-L68*10%,2)</f>
        <v>-5.57</v>
      </c>
      <c r="M69" s="147"/>
      <c r="N69" s="154">
        <f>L69-H69</f>
        <v>-2.0000000000000462E-2</v>
      </c>
      <c r="O69" s="115">
        <f>IF((H69)=0,"",(N69/H69))</f>
        <v>3.6036036036036869E-3</v>
      </c>
    </row>
    <row r="70" spans="1:15" s="73" customFormat="1" ht="13.5" thickBot="1" x14ac:dyDescent="0.25">
      <c r="B70" s="241" t="s">
        <v>46</v>
      </c>
      <c r="C70" s="241"/>
      <c r="D70" s="241"/>
      <c r="E70" s="155"/>
      <c r="F70" s="156"/>
      <c r="G70" s="157"/>
      <c r="H70" s="158">
        <f>SUM(H68:H69)</f>
        <v>49.995748447999993</v>
      </c>
      <c r="I70" s="159"/>
      <c r="J70" s="159"/>
      <c r="K70" s="159"/>
      <c r="L70" s="160">
        <f>SUM(L68:L69)</f>
        <v>50.139422951188862</v>
      </c>
      <c r="M70" s="161"/>
      <c r="N70" s="162">
        <f>L70-H70</f>
        <v>0.1436745031888691</v>
      </c>
      <c r="O70" s="163">
        <f>IF((H70)=0,"",(N70/H70))</f>
        <v>2.873734420403833E-3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v>4.8000000000000001E-2</v>
      </c>
      <c r="J73" s="170">
        <f>'Res (100kWh)'!$J$74</f>
        <v>4.7100000000000003E-2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70:D70"/>
    <mergeCell ref="D19:D20"/>
    <mergeCell ref="N19:N20"/>
    <mergeCell ref="O19:O20"/>
    <mergeCell ref="B63:D63"/>
    <mergeCell ref="B64:D64"/>
    <mergeCell ref="B69:D69"/>
    <mergeCell ref="N18:O18"/>
    <mergeCell ref="N1:O1"/>
    <mergeCell ref="N2:O2"/>
    <mergeCell ref="N3:O3"/>
    <mergeCell ref="N5:O5"/>
    <mergeCell ref="B8:O8"/>
    <mergeCell ref="B9:O9"/>
    <mergeCell ref="D12:O12"/>
    <mergeCell ref="F18:H18"/>
    <mergeCell ref="J18:L18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47:E48 E39:E45 E50:E59 E21:E24 E26:E37">
      <formula1>#REF!</formula1>
    </dataValidation>
    <dataValidation type="list" allowBlank="1" showInputMessage="1" showErrorMessage="1" prompt="Select Charge Unit - monthly, per kWh, per kW" sqref="D47:D48 D39:D45 D65 D50:D59 D71 D21:D37">
      <formula1>"Monthly, per kWh, per kW"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6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0" tint="-0.14999847407452621"/>
    <pageSetUpPr fitToPage="1"/>
  </sheetPr>
  <dimension ref="A1:T90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8-D</v>
      </c>
      <c r="O3" s="234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34">
        <f>'Res (100kWh)'!$N$5:$O$5</f>
        <v>41985</v>
      </c>
      <c r="O5" s="234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59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250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14.64</v>
      </c>
      <c r="G21" s="26">
        <v>1</v>
      </c>
      <c r="H21" s="27">
        <f>G21*F21</f>
        <v>14.64</v>
      </c>
      <c r="I21" s="28"/>
      <c r="J21" s="173">
        <v>16.850000000000001</v>
      </c>
      <c r="K21" s="30">
        <v>1</v>
      </c>
      <c r="L21" s="27">
        <f>K21*J21</f>
        <v>16.850000000000001</v>
      </c>
      <c r="M21" s="28"/>
      <c r="N21" s="31">
        <f>L21-H21</f>
        <v>2.2100000000000009</v>
      </c>
      <c r="O21" s="32">
        <f>IF((H21)=0,"",(N21/H21))</f>
        <v>0.15095628415300552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v>0.8495330863269237</v>
      </c>
      <c r="K24" s="30">
        <v>1</v>
      </c>
      <c r="L24" s="27">
        <f t="shared" si="1"/>
        <v>0.8495330863269237</v>
      </c>
      <c r="M24" s="28"/>
      <c r="N24" s="31">
        <f t="shared" si="2"/>
        <v>0.8495330863269237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v>100</v>
      </c>
      <c r="H25" s="27">
        <v>0</v>
      </c>
      <c r="I25" s="28"/>
      <c r="J25" s="29">
        <v>1.9720869946651326E-4</v>
      </c>
      <c r="K25" s="30">
        <v>100</v>
      </c>
      <c r="L25" s="27">
        <v>1.9720869946651325E-2</v>
      </c>
      <c r="M25" s="28"/>
      <c r="N25" s="31">
        <v>1.9720869946651325E-2</v>
      </c>
      <c r="O25" s="32" t="s">
        <v>92</v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250</v>
      </c>
      <c r="H26" s="27">
        <f t="shared" si="0"/>
        <v>-0.05</v>
      </c>
      <c r="I26" s="28"/>
      <c r="J26" s="173"/>
      <c r="K26" s="26">
        <f>$F$16</f>
        <v>250</v>
      </c>
      <c r="L26" s="27">
        <f t="shared" si="1"/>
        <v>0</v>
      </c>
      <c r="M26" s="28"/>
      <c r="N26" s="31">
        <f t="shared" si="2"/>
        <v>0.05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250</v>
      </c>
      <c r="H27" s="27">
        <f t="shared" si="0"/>
        <v>0</v>
      </c>
      <c r="I27" s="28"/>
      <c r="J27" s="29">
        <v>-7.1368536247813138E-3</v>
      </c>
      <c r="K27" s="26">
        <f>$F$16</f>
        <v>250</v>
      </c>
      <c r="L27" s="27">
        <f t="shared" si="1"/>
        <v>-1.7842134061953285</v>
      </c>
      <c r="M27" s="28"/>
      <c r="N27" s="31">
        <f t="shared" si="2"/>
        <v>-1.7842134061953285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v>1.3100000000000001E-2</v>
      </c>
      <c r="G28" s="26">
        <f>$F$16</f>
        <v>250</v>
      </c>
      <c r="H28" s="27">
        <f t="shared" si="0"/>
        <v>3.2750000000000004</v>
      </c>
      <c r="I28" s="28"/>
      <c r="J28" s="29">
        <v>1.5100000000000001E-2</v>
      </c>
      <c r="K28" s="26">
        <f>$F$16</f>
        <v>250</v>
      </c>
      <c r="L28" s="27">
        <f t="shared" si="1"/>
        <v>3.7750000000000004</v>
      </c>
      <c r="M28" s="28"/>
      <c r="N28" s="31">
        <f t="shared" si="2"/>
        <v>0.5</v>
      </c>
      <c r="O28" s="32">
        <f t="shared" si="3"/>
        <v>0.15267175572519082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250</v>
      </c>
      <c r="H29" s="27">
        <f t="shared" si="0"/>
        <v>0</v>
      </c>
      <c r="I29" s="28"/>
      <c r="J29" s="29"/>
      <c r="K29" s="26">
        <f t="shared" ref="K29:K37" si="4">$F$16</f>
        <v>250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250</v>
      </c>
      <c r="H30" s="27">
        <f t="shared" si="0"/>
        <v>0</v>
      </c>
      <c r="I30" s="28"/>
      <c r="J30" s="29"/>
      <c r="K30" s="26">
        <f t="shared" si="4"/>
        <v>250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5">$F$16</f>
        <v>250</v>
      </c>
      <c r="H31" s="27">
        <f t="shared" si="0"/>
        <v>0</v>
      </c>
      <c r="I31" s="28"/>
      <c r="J31" s="29"/>
      <c r="K31" s="26">
        <f t="shared" si="4"/>
        <v>250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250</v>
      </c>
      <c r="H32" s="27">
        <f t="shared" si="0"/>
        <v>0</v>
      </c>
      <c r="I32" s="28"/>
      <c r="J32" s="29"/>
      <c r="K32" s="26">
        <f t="shared" si="4"/>
        <v>250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250</v>
      </c>
      <c r="H33" s="27">
        <f t="shared" si="0"/>
        <v>0</v>
      </c>
      <c r="I33" s="28"/>
      <c r="J33" s="29"/>
      <c r="K33" s="26">
        <f t="shared" si="4"/>
        <v>250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250</v>
      </c>
      <c r="H34" s="27">
        <f t="shared" si="0"/>
        <v>0</v>
      </c>
      <c r="I34" s="28"/>
      <c r="J34" s="29"/>
      <c r="K34" s="26">
        <f t="shared" si="4"/>
        <v>250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250</v>
      </c>
      <c r="H35" s="27">
        <f t="shared" si="0"/>
        <v>0</v>
      </c>
      <c r="I35" s="28"/>
      <c r="J35" s="29"/>
      <c r="K35" s="26">
        <f t="shared" si="4"/>
        <v>250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250</v>
      </c>
      <c r="H36" s="27">
        <f t="shared" si="0"/>
        <v>0</v>
      </c>
      <c r="I36" s="28"/>
      <c r="J36" s="29"/>
      <c r="K36" s="26">
        <f t="shared" si="4"/>
        <v>250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5"/>
        <v>250</v>
      </c>
      <c r="H37" s="27">
        <f t="shared" si="0"/>
        <v>0</v>
      </c>
      <c r="I37" s="28"/>
      <c r="J37" s="29"/>
      <c r="K37" s="26">
        <f t="shared" si="4"/>
        <v>250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20.564999999999998</v>
      </c>
      <c r="I38" s="41"/>
      <c r="J38" s="42"/>
      <c r="K38" s="43"/>
      <c r="L38" s="40">
        <f>SUM(L21:L37)</f>
        <v>19.710040550078251</v>
      </c>
      <c r="M38" s="41"/>
      <c r="N38" s="44">
        <f t="shared" si="2"/>
        <v>-0.85495944992174699</v>
      </c>
      <c r="O38" s="45">
        <f t="shared" si="3"/>
        <v>-4.1573520540809483E-2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250</v>
      </c>
      <c r="H40" s="27">
        <f t="shared" ref="H40:H46" si="6">G40*F40</f>
        <v>-0.45</v>
      </c>
      <c r="I40" s="28"/>
      <c r="J40" s="29">
        <v>-8.2813333909562397E-4</v>
      </c>
      <c r="K40" s="26">
        <f>$F$16</f>
        <v>250</v>
      </c>
      <c r="L40" s="27">
        <f t="shared" ref="L40:L46" si="7">K40*J40</f>
        <v>-0.20703333477390598</v>
      </c>
      <c r="M40" s="28"/>
      <c r="N40" s="31">
        <f t="shared" ref="N40:N65" si="8">L40-H40</f>
        <v>0.24296666522609403</v>
      </c>
      <c r="O40" s="32">
        <f t="shared" ref="O40:O45" si="9">IF((H40)=0,"",(N40/H40))</f>
        <v>-0.53992592272465334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250</v>
      </c>
      <c r="H41" s="27">
        <f t="shared" si="6"/>
        <v>0</v>
      </c>
      <c r="I41" s="47"/>
      <c r="J41" s="29"/>
      <c r="K41" s="26">
        <f>$F$16</f>
        <v>250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250</v>
      </c>
      <c r="H42" s="27">
        <f t="shared" si="6"/>
        <v>0</v>
      </c>
      <c r="I42" s="47"/>
      <c r="J42" s="29"/>
      <c r="K42" s="26">
        <f>$F$16</f>
        <v>250</v>
      </c>
      <c r="L42" s="27">
        <f t="shared" si="7"/>
        <v>0</v>
      </c>
      <c r="M42" s="48"/>
      <c r="N42" s="31">
        <f t="shared" si="8"/>
        <v>0</v>
      </c>
      <c r="O42" s="32" t="str">
        <f t="shared" si="9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250</v>
      </c>
      <c r="H43" s="27">
        <f t="shared" si="6"/>
        <v>0</v>
      </c>
      <c r="I43" s="47"/>
      <c r="J43" s="29"/>
      <c r="K43" s="26">
        <f>$F$16</f>
        <v>250</v>
      </c>
      <c r="L43" s="27">
        <f t="shared" si="7"/>
        <v>0</v>
      </c>
      <c r="M43" s="48"/>
      <c r="N43" s="31">
        <f t="shared" si="8"/>
        <v>0</v>
      </c>
      <c r="O43" s="32" t="str">
        <f t="shared" si="9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250</v>
      </c>
      <c r="H44" s="27">
        <f t="shared" si="6"/>
        <v>0.01</v>
      </c>
      <c r="I44" s="28"/>
      <c r="J44" s="195">
        <v>4.0000000000000003E-5</v>
      </c>
      <c r="K44" s="26">
        <f>$F$16</f>
        <v>250</v>
      </c>
      <c r="L44" s="27">
        <f t="shared" si="7"/>
        <v>0.01</v>
      </c>
      <c r="M44" s="28"/>
      <c r="N44" s="31">
        <f t="shared" si="8"/>
        <v>0</v>
      </c>
      <c r="O44" s="32">
        <f t="shared" si="9"/>
        <v>0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12</v>
      </c>
      <c r="H45" s="183">
        <f t="shared" si="6"/>
        <v>1.1095200000000001</v>
      </c>
      <c r="I45" s="57"/>
      <c r="J45" s="184">
        <f>0.64*$F$55+0.18*$F$56+0.18*$F$57</f>
        <v>9.2460000000000001E-2</v>
      </c>
      <c r="K45" s="26">
        <f>$F$16*(1+$J$74)-$F$16</f>
        <v>11.774999999999977</v>
      </c>
      <c r="L45" s="183">
        <f t="shared" si="7"/>
        <v>1.0887164999999979</v>
      </c>
      <c r="M45" s="57"/>
      <c r="N45" s="185">
        <f t="shared" si="8"/>
        <v>-2.0803500000002195E-2</v>
      </c>
      <c r="O45" s="186">
        <f t="shared" si="9"/>
        <v>-1.8750000000001977E-2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6"/>
        <v>0.79</v>
      </c>
      <c r="I46" s="28"/>
      <c r="J46" s="177">
        <v>0.79</v>
      </c>
      <c r="K46" s="26">
        <v>1</v>
      </c>
      <c r="L46" s="27">
        <f t="shared" si="7"/>
        <v>0.79</v>
      </c>
      <c r="M46" s="28"/>
      <c r="N46" s="31">
        <f t="shared" si="8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22.024519999999999</v>
      </c>
      <c r="I47" s="41"/>
      <c r="J47" s="53"/>
      <c r="K47" s="55"/>
      <c r="L47" s="54">
        <f>SUM(L39:L46)+L38</f>
        <v>21.391723715304344</v>
      </c>
      <c r="M47" s="41"/>
      <c r="N47" s="44">
        <f t="shared" si="8"/>
        <v>-0.63279628469565452</v>
      </c>
      <c r="O47" s="45">
        <f t="shared" ref="O47:O65" si="10">IF((H47)=0,"",(N47/H47))</f>
        <v>-2.8731444984755834E-2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262</v>
      </c>
      <c r="H48" s="27">
        <f>G48*F48</f>
        <v>1.9126000000000001</v>
      </c>
      <c r="I48" s="28"/>
      <c r="J48" s="29">
        <v>7.5910048339565368E-3</v>
      </c>
      <c r="K48" s="59">
        <f>F16*(1+J74)</f>
        <v>261.77499999999998</v>
      </c>
      <c r="L48" s="27">
        <f>K48*J48</f>
        <v>1.9871352904089723</v>
      </c>
      <c r="M48" s="28"/>
      <c r="N48" s="31">
        <f t="shared" si="8"/>
        <v>7.4535290408972221E-2</v>
      </c>
      <c r="O48" s="32">
        <f t="shared" si="10"/>
        <v>3.8970663185701256E-2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262</v>
      </c>
      <c r="H49" s="27">
        <f>G49*F49</f>
        <v>1.4934000000000001</v>
      </c>
      <c r="I49" s="28"/>
      <c r="J49" s="29">
        <v>5.7169521807640556E-3</v>
      </c>
      <c r="K49" s="59">
        <f>K48</f>
        <v>261.77499999999998</v>
      </c>
      <c r="L49" s="27">
        <f>K49*J49</f>
        <v>1.4965551571195106</v>
      </c>
      <c r="M49" s="28"/>
      <c r="N49" s="31">
        <f t="shared" si="8"/>
        <v>3.1551571195105321E-3</v>
      </c>
      <c r="O49" s="32">
        <f t="shared" si="10"/>
        <v>2.1127341097566172E-3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25.430520000000001</v>
      </c>
      <c r="I50" s="62"/>
      <c r="J50" s="63"/>
      <c r="K50" s="64"/>
      <c r="L50" s="54">
        <f>SUM(L47:L49)</f>
        <v>24.875414162832826</v>
      </c>
      <c r="M50" s="62"/>
      <c r="N50" s="44">
        <f t="shared" si="8"/>
        <v>-0.55510583716717576</v>
      </c>
      <c r="O50" s="45">
        <f t="shared" si="10"/>
        <v>-2.1828332144493142E-2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262</v>
      </c>
      <c r="H51" s="67">
        <f t="shared" ref="H51:H57" si="11">G51*F51</f>
        <v>1.1528</v>
      </c>
      <c r="I51" s="28"/>
      <c r="J51" s="66">
        <v>4.4000000000000003E-3</v>
      </c>
      <c r="K51" s="59">
        <f>K49</f>
        <v>261.77499999999998</v>
      </c>
      <c r="L51" s="67">
        <f t="shared" ref="L51:L57" si="12">K51*J51</f>
        <v>1.15181</v>
      </c>
      <c r="M51" s="28"/>
      <c r="N51" s="31">
        <f t="shared" si="8"/>
        <v>-9.900000000000464E-4</v>
      </c>
      <c r="O51" s="68">
        <f t="shared" si="10"/>
        <v>-8.5877862595423867E-4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262</v>
      </c>
      <c r="H52" s="67">
        <f t="shared" si="11"/>
        <v>0.34059999999999996</v>
      </c>
      <c r="I52" s="28"/>
      <c r="J52" s="66">
        <v>1.2999999999999999E-3</v>
      </c>
      <c r="K52" s="59">
        <f>K49</f>
        <v>261.77499999999998</v>
      </c>
      <c r="L52" s="67">
        <f t="shared" si="12"/>
        <v>0.34030749999999993</v>
      </c>
      <c r="M52" s="28"/>
      <c r="N52" s="31">
        <f t="shared" si="8"/>
        <v>-2.9250000000002885E-4</v>
      </c>
      <c r="O52" s="68">
        <f t="shared" si="10"/>
        <v>-8.5877862595428324E-4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1"/>
        <v>0.25</v>
      </c>
      <c r="I53" s="28"/>
      <c r="J53" s="176">
        <v>0.25</v>
      </c>
      <c r="K53" s="30">
        <v>1</v>
      </c>
      <c r="L53" s="67">
        <f t="shared" si="12"/>
        <v>0.25</v>
      </c>
      <c r="M53" s="28"/>
      <c r="N53" s="31">
        <f t="shared" si="8"/>
        <v>0</v>
      </c>
      <c r="O53" s="68">
        <f t="shared" si="10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250</v>
      </c>
      <c r="H54" s="67">
        <f t="shared" si="11"/>
        <v>1.75</v>
      </c>
      <c r="I54" s="28"/>
      <c r="J54" s="66">
        <v>7.0000000000000001E-3</v>
      </c>
      <c r="K54" s="70">
        <f>F16</f>
        <v>250</v>
      </c>
      <c r="L54" s="67">
        <f t="shared" si="12"/>
        <v>1.75</v>
      </c>
      <c r="M54" s="28"/>
      <c r="N54" s="31">
        <f t="shared" si="8"/>
        <v>0</v>
      </c>
      <c r="O54" s="68">
        <f t="shared" si="10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160</v>
      </c>
      <c r="H55" s="67">
        <f t="shared" si="11"/>
        <v>12</v>
      </c>
      <c r="I55" s="28"/>
      <c r="J55" s="66">
        <v>7.4999999999999997E-2</v>
      </c>
      <c r="K55" s="69">
        <f>G55</f>
        <v>160</v>
      </c>
      <c r="L55" s="67">
        <f t="shared" si="12"/>
        <v>12</v>
      </c>
      <c r="M55" s="28"/>
      <c r="N55" s="31">
        <f t="shared" si="8"/>
        <v>0</v>
      </c>
      <c r="O55" s="68">
        <f t="shared" si="10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45</v>
      </c>
      <c r="H56" s="67">
        <f t="shared" si="11"/>
        <v>5.04</v>
      </c>
      <c r="I56" s="28"/>
      <c r="J56" s="66">
        <v>0.112</v>
      </c>
      <c r="K56" s="69">
        <f>G56</f>
        <v>45</v>
      </c>
      <c r="L56" s="67">
        <f t="shared" si="12"/>
        <v>5.04</v>
      </c>
      <c r="M56" s="28"/>
      <c r="N56" s="31">
        <f t="shared" si="8"/>
        <v>0</v>
      </c>
      <c r="O56" s="68">
        <f t="shared" si="10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45</v>
      </c>
      <c r="H57" s="67">
        <f t="shared" si="11"/>
        <v>6.0750000000000002</v>
      </c>
      <c r="I57" s="28"/>
      <c r="J57" s="66">
        <v>0.13500000000000001</v>
      </c>
      <c r="K57" s="69">
        <f>G57</f>
        <v>45</v>
      </c>
      <c r="L57" s="67">
        <f t="shared" si="12"/>
        <v>6.0750000000000002</v>
      </c>
      <c r="M57" s="28"/>
      <c r="N57" s="31">
        <f t="shared" si="8"/>
        <v>0</v>
      </c>
      <c r="O57" s="68">
        <f t="shared" si="10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250</v>
      </c>
      <c r="H58" s="67">
        <f>G58*F58</f>
        <v>21.5</v>
      </c>
      <c r="I58" s="79"/>
      <c r="J58" s="66">
        <v>8.5999999999999993E-2</v>
      </c>
      <c r="K58" s="78">
        <f>G58</f>
        <v>250</v>
      </c>
      <c r="L58" s="67">
        <f>K58*J58</f>
        <v>21.5</v>
      </c>
      <c r="M58" s="79"/>
      <c r="N58" s="80">
        <f t="shared" si="8"/>
        <v>0</v>
      </c>
      <c r="O58" s="68">
        <f t="shared" si="10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0</v>
      </c>
      <c r="H59" s="67">
        <f>G59*F59</f>
        <v>0</v>
      </c>
      <c r="I59" s="79"/>
      <c r="J59" s="66">
        <v>0.10100000000000001</v>
      </c>
      <c r="K59" s="78">
        <f>G59</f>
        <v>0</v>
      </c>
      <c r="L59" s="67">
        <f>K59*J59</f>
        <v>0</v>
      </c>
      <c r="M59" s="79"/>
      <c r="N59" s="80">
        <f t="shared" si="8"/>
        <v>0</v>
      </c>
      <c r="O59" s="68" t="str">
        <f t="shared" si="10"/>
        <v/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52.038920000000005</v>
      </c>
      <c r="I61" s="95"/>
      <c r="J61" s="96"/>
      <c r="K61" s="96"/>
      <c r="L61" s="189">
        <f>SUM(L51:L57,L50)</f>
        <v>51.482531662832827</v>
      </c>
      <c r="M61" s="97"/>
      <c r="N61" s="98">
        <f>L61-H61</f>
        <v>-0.55638833716717784</v>
      </c>
      <c r="O61" s="99">
        <f>IF((H61)=0,"",(N61/H61))</f>
        <v>-1.0691773333635244E-2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6.7650596000000007</v>
      </c>
      <c r="I62" s="104"/>
      <c r="J62" s="105">
        <v>0.13</v>
      </c>
      <c r="K62" s="104"/>
      <c r="L62" s="106">
        <f>L61*J62</f>
        <v>6.6927291161682678</v>
      </c>
      <c r="M62" s="107"/>
      <c r="N62" s="108">
        <f t="shared" si="8"/>
        <v>-7.2330483831732906E-2</v>
      </c>
      <c r="O62" s="109">
        <f t="shared" si="10"/>
        <v>-1.0691773333635213E-2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58.803979600000005</v>
      </c>
      <c r="I63" s="104"/>
      <c r="J63" s="104"/>
      <c r="K63" s="104"/>
      <c r="L63" s="106">
        <f>L61+L62</f>
        <v>58.175260779001093</v>
      </c>
      <c r="M63" s="107"/>
      <c r="N63" s="108">
        <f t="shared" si="8"/>
        <v>-0.62871882099891252</v>
      </c>
      <c r="O63" s="109">
        <f t="shared" si="10"/>
        <v>-1.069177333363527E-2</v>
      </c>
      <c r="S63" s="72"/>
    </row>
    <row r="64" spans="2:19" ht="15.75" customHeight="1" x14ac:dyDescent="0.25">
      <c r="B64" s="248" t="s">
        <v>43</v>
      </c>
      <c r="C64" s="248"/>
      <c r="D64" s="248"/>
      <c r="E64" s="22"/>
      <c r="F64" s="111"/>
      <c r="G64" s="102"/>
      <c r="H64" s="112">
        <f>ROUND(-H63*10%,2)</f>
        <v>-5.88</v>
      </c>
      <c r="I64" s="104"/>
      <c r="J64" s="104"/>
      <c r="K64" s="104"/>
      <c r="L64" s="113">
        <f>ROUND(-L63*10%,2)</f>
        <v>-5.82</v>
      </c>
      <c r="M64" s="107"/>
      <c r="N64" s="114">
        <f t="shared" si="8"/>
        <v>5.9999999999999609E-2</v>
      </c>
      <c r="O64" s="115">
        <f t="shared" si="10"/>
        <v>-1.0204081632652994E-2</v>
      </c>
    </row>
    <row r="65" spans="1:15" ht="15.75" thickBot="1" x14ac:dyDescent="0.3">
      <c r="B65" s="240" t="s">
        <v>44</v>
      </c>
      <c r="C65" s="240"/>
      <c r="D65" s="240"/>
      <c r="E65" s="116"/>
      <c r="F65" s="117"/>
      <c r="G65" s="118"/>
      <c r="H65" s="119">
        <f>H63+H64</f>
        <v>52.923979600000003</v>
      </c>
      <c r="I65" s="120"/>
      <c r="J65" s="120"/>
      <c r="K65" s="120"/>
      <c r="L65" s="121">
        <f>L63+L64</f>
        <v>52.355260779001092</v>
      </c>
      <c r="M65" s="122"/>
      <c r="N65" s="123">
        <f t="shared" si="8"/>
        <v>-0.56871882099891025</v>
      </c>
      <c r="O65" s="124">
        <f t="shared" si="10"/>
        <v>-1.0745957225765958E-2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50.423920000000003</v>
      </c>
      <c r="I67" s="136"/>
      <c r="J67" s="137"/>
      <c r="K67" s="137"/>
      <c r="L67" s="188">
        <f>SUM(L58:L59,L50,L51:L54)</f>
        <v>49.867531662832825</v>
      </c>
      <c r="M67" s="138"/>
      <c r="N67" s="139">
        <f>L67-H67</f>
        <v>-0.55638833716717784</v>
      </c>
      <c r="O67" s="99">
        <f>IF((H67)=0,"",(N67/H67))</f>
        <v>-1.1034214261151807E-2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6.5551096000000006</v>
      </c>
      <c r="I68" s="143"/>
      <c r="J68" s="144">
        <v>0.13</v>
      </c>
      <c r="K68" s="145"/>
      <c r="L68" s="146">
        <f>L67*J68</f>
        <v>6.4827791161682677</v>
      </c>
      <c r="M68" s="147"/>
      <c r="N68" s="148">
        <f>L68-H68</f>
        <v>-7.2330483831732906E-2</v>
      </c>
      <c r="O68" s="109">
        <f>IF((H68)=0,"",(N68/H68))</f>
        <v>-1.1034214261151774E-2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56.979029600000004</v>
      </c>
      <c r="I69" s="143"/>
      <c r="J69" s="143"/>
      <c r="K69" s="143"/>
      <c r="L69" s="146">
        <f>L67+L68</f>
        <v>56.350310779001092</v>
      </c>
      <c r="M69" s="147"/>
      <c r="N69" s="148">
        <f>L69-H69</f>
        <v>-0.62871882099891252</v>
      </c>
      <c r="O69" s="109">
        <f>IF((H69)=0,"",(N69/H69))</f>
        <v>-1.1034214261151833E-2</v>
      </c>
    </row>
    <row r="70" spans="1:15" s="73" customFormat="1" ht="15.75" customHeight="1" x14ac:dyDescent="0.2">
      <c r="B70" s="249" t="s">
        <v>43</v>
      </c>
      <c r="C70" s="249"/>
      <c r="D70" s="249"/>
      <c r="E70" s="75"/>
      <c r="F70" s="150"/>
      <c r="G70" s="151"/>
      <c r="H70" s="152">
        <f>ROUND(-H69*10%,2)</f>
        <v>-5.7</v>
      </c>
      <c r="I70" s="143"/>
      <c r="J70" s="143"/>
      <c r="K70" s="143"/>
      <c r="L70" s="153">
        <f>ROUND(-L69*10%,2)</f>
        <v>-5.64</v>
      </c>
      <c r="M70" s="147"/>
      <c r="N70" s="154">
        <f>L70-H70</f>
        <v>6.0000000000000497E-2</v>
      </c>
      <c r="O70" s="115">
        <f>IF((H70)=0,"",(N70/H70))</f>
        <v>-1.0526315789473771E-2</v>
      </c>
    </row>
    <row r="71" spans="1:15" s="73" customFormat="1" ht="13.5" thickBot="1" x14ac:dyDescent="0.25">
      <c r="B71" s="241" t="s">
        <v>46</v>
      </c>
      <c r="C71" s="241"/>
      <c r="D71" s="241"/>
      <c r="E71" s="155"/>
      <c r="F71" s="156"/>
      <c r="G71" s="157"/>
      <c r="H71" s="158">
        <f>SUM(H69:H70)</f>
        <v>51.279029600000001</v>
      </c>
      <c r="I71" s="159"/>
      <c r="J71" s="159"/>
      <c r="K71" s="159"/>
      <c r="L71" s="160">
        <f>SUM(L69:L70)</f>
        <v>50.710310779001091</v>
      </c>
      <c r="M71" s="161"/>
      <c r="N71" s="162">
        <f>L71-H71</f>
        <v>-0.56871882099891025</v>
      </c>
      <c r="O71" s="163">
        <f>IF((H71)=0,"",(N71/H71))</f>
        <v>-1.1090670502838655E-2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9:O9"/>
    <mergeCell ref="N1:O1"/>
    <mergeCell ref="N2:O2"/>
    <mergeCell ref="N3:O3"/>
    <mergeCell ref="N5:O5"/>
    <mergeCell ref="B8:O8"/>
    <mergeCell ref="B64:D64"/>
    <mergeCell ref="B65:D65"/>
    <mergeCell ref="B70:D70"/>
    <mergeCell ref="B71:D71"/>
    <mergeCell ref="D12:O12"/>
    <mergeCell ref="F18:H18"/>
    <mergeCell ref="J18:L18"/>
    <mergeCell ref="N18:O18"/>
    <mergeCell ref="D19:D20"/>
    <mergeCell ref="N19:N20"/>
    <mergeCell ref="O19:O20"/>
  </mergeCells>
  <dataValidations count="3">
    <dataValidation type="list" allowBlank="1" showInputMessage="1" showErrorMessage="1" sqref="E48:E49 E51:E60 E39:E46 E21:E37 E72 E66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>
    <tabColor theme="0" tint="-0.14999847407452621"/>
    <pageSetUpPr fitToPage="1"/>
  </sheetPr>
  <dimension ref="A1:T89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  <c r="P2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8-D</v>
      </c>
      <c r="O3" s="234"/>
      <c r="P3"/>
    </row>
    <row r="4" spans="1:20" s="2" customFormat="1" ht="9" customHeight="1" x14ac:dyDescent="0.25">
      <c r="L4" s="3"/>
      <c r="N4" s="232"/>
      <c r="O4"/>
      <c r="P4"/>
    </row>
    <row r="5" spans="1:20" s="2" customFormat="1" x14ac:dyDescent="0.25">
      <c r="L5" s="3" t="s">
        <v>75</v>
      </c>
      <c r="N5" s="234">
        <f>'Res (100kWh)'!$N$5:$O$5</f>
        <v>41985</v>
      </c>
      <c r="O5" s="234"/>
      <c r="P5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71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168200</v>
      </c>
      <c r="G16" s="13" t="s">
        <v>7</v>
      </c>
      <c r="H16" s="14">
        <v>470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4.88</v>
      </c>
      <c r="G21" s="58">
        <v>5419</v>
      </c>
      <c r="H21" s="27">
        <f>G21*F21</f>
        <v>26444.720000000001</v>
      </c>
      <c r="I21" s="28"/>
      <c r="J21" s="173">
        <v>5.28</v>
      </c>
      <c r="K21" s="58">
        <v>5419</v>
      </c>
      <c r="L21" s="27">
        <f>K21*J21</f>
        <v>28612.32</v>
      </c>
      <c r="M21" s="28"/>
      <c r="N21" s="31">
        <f>L21-H21</f>
        <v>2167.5999999999985</v>
      </c>
      <c r="O21" s="32">
        <f>IF((H21)=0,"",(N21/H21))</f>
        <v>8.1967213114754037E-2</v>
      </c>
    </row>
    <row r="22" spans="2:15" ht="36.75" customHeight="1" x14ac:dyDescent="0.25">
      <c r="B22" s="65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7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64" si="2">L23-H23</f>
        <v>0</v>
      </c>
      <c r="O23" s="32" t="str">
        <f t="shared" ref="O23:O44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70</v>
      </c>
      <c r="E25" s="24"/>
      <c r="F25" s="25"/>
      <c r="G25" s="178">
        <f>$H$16</f>
        <v>470</v>
      </c>
      <c r="H25" s="27">
        <f t="shared" ref="H25" si="4">G25*F25</f>
        <v>0</v>
      </c>
      <c r="I25" s="28"/>
      <c r="J25" s="29">
        <v>13.032701418722425</v>
      </c>
      <c r="K25" s="178">
        <f>$H$16</f>
        <v>470</v>
      </c>
      <c r="L25" s="27">
        <f t="shared" ref="L25" si="5">K25*J25</f>
        <v>6125.36966679954</v>
      </c>
      <c r="M25" s="28"/>
      <c r="N25" s="31">
        <f t="shared" ref="N25" si="6">L25-H25</f>
        <v>6125.36966679954</v>
      </c>
      <c r="O25" s="32" t="str">
        <f t="shared" ref="O25" si="7">IF((H25)=0,"",(N25/H25))</f>
        <v/>
      </c>
    </row>
    <row r="26" spans="2:15" x14ac:dyDescent="0.25">
      <c r="B26" s="46" t="s">
        <v>65</v>
      </c>
      <c r="C26" s="22"/>
      <c r="D26" s="23" t="s">
        <v>70</v>
      </c>
      <c r="E26" s="24"/>
      <c r="F26" s="25">
        <v>-0.45660000000000001</v>
      </c>
      <c r="G26" s="178">
        <f>$H$16</f>
        <v>470</v>
      </c>
      <c r="H26" s="27">
        <f t="shared" si="0"/>
        <v>-214.602</v>
      </c>
      <c r="I26" s="28"/>
      <c r="J26" s="29"/>
      <c r="K26" s="178">
        <f>$H$16</f>
        <v>470</v>
      </c>
      <c r="L26" s="27">
        <f t="shared" si="1"/>
        <v>0</v>
      </c>
      <c r="M26" s="28"/>
      <c r="N26" s="31">
        <f t="shared" si="2"/>
        <v>214.602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70</v>
      </c>
      <c r="E27" s="24"/>
      <c r="F27" s="25"/>
      <c r="G27" s="178">
        <f>$H$16</f>
        <v>470</v>
      </c>
      <c r="H27" s="27">
        <f t="shared" si="0"/>
        <v>0</v>
      </c>
      <c r="I27" s="28"/>
      <c r="J27" s="29">
        <v>-2.5540519290778212</v>
      </c>
      <c r="K27" s="178">
        <f>$H$16</f>
        <v>470</v>
      </c>
      <c r="L27" s="27">
        <f t="shared" si="1"/>
        <v>-1200.4044066665761</v>
      </c>
      <c r="M27" s="28"/>
      <c r="N27" s="31">
        <f t="shared" si="2"/>
        <v>-1200.4044066665761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70</v>
      </c>
      <c r="E28" s="24"/>
      <c r="F28" s="25">
        <v>26.125499999999999</v>
      </c>
      <c r="G28" s="178">
        <f>$H$16</f>
        <v>470</v>
      </c>
      <c r="H28" s="27">
        <f t="shared" si="0"/>
        <v>12278.984999999999</v>
      </c>
      <c r="I28" s="28"/>
      <c r="J28" s="29">
        <v>28.258900000000001</v>
      </c>
      <c r="K28" s="178">
        <f>$H$16</f>
        <v>470</v>
      </c>
      <c r="L28" s="27">
        <f t="shared" si="1"/>
        <v>13281.683000000001</v>
      </c>
      <c r="M28" s="28"/>
      <c r="N28" s="31">
        <f t="shared" si="2"/>
        <v>1002.6980000000021</v>
      </c>
      <c r="O28" s="32">
        <f t="shared" si="3"/>
        <v>8.1659681154427843E-2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168200</v>
      </c>
      <c r="H29" s="27">
        <f t="shared" si="0"/>
        <v>0</v>
      </c>
      <c r="I29" s="28"/>
      <c r="J29" s="29"/>
      <c r="K29" s="26">
        <f t="shared" ref="K29:K37" si="8">$F$16</f>
        <v>168200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168200</v>
      </c>
      <c r="H30" s="27">
        <f t="shared" si="0"/>
        <v>0</v>
      </c>
      <c r="I30" s="28"/>
      <c r="J30" s="29"/>
      <c r="K30" s="26">
        <f t="shared" si="8"/>
        <v>168200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9">$F$16</f>
        <v>168200</v>
      </c>
      <c r="H31" s="27">
        <f t="shared" si="0"/>
        <v>0</v>
      </c>
      <c r="I31" s="28"/>
      <c r="J31" s="29"/>
      <c r="K31" s="26">
        <f t="shared" si="8"/>
        <v>168200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9"/>
        <v>168200</v>
      </c>
      <c r="H32" s="27">
        <f t="shared" si="0"/>
        <v>0</v>
      </c>
      <c r="I32" s="28"/>
      <c r="J32" s="29"/>
      <c r="K32" s="26">
        <f t="shared" si="8"/>
        <v>168200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9"/>
        <v>168200</v>
      </c>
      <c r="H33" s="27">
        <f t="shared" si="0"/>
        <v>0</v>
      </c>
      <c r="I33" s="28"/>
      <c r="J33" s="29"/>
      <c r="K33" s="26">
        <f t="shared" si="8"/>
        <v>168200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9"/>
        <v>168200</v>
      </c>
      <c r="H34" s="27">
        <f t="shared" si="0"/>
        <v>0</v>
      </c>
      <c r="I34" s="28"/>
      <c r="J34" s="29"/>
      <c r="K34" s="26">
        <f t="shared" si="8"/>
        <v>168200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9"/>
        <v>168200</v>
      </c>
      <c r="H35" s="27">
        <f t="shared" si="0"/>
        <v>0</v>
      </c>
      <c r="I35" s="28"/>
      <c r="J35" s="29"/>
      <c r="K35" s="26">
        <f t="shared" si="8"/>
        <v>168200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9"/>
        <v>168200</v>
      </c>
      <c r="H36" s="27">
        <f t="shared" si="0"/>
        <v>0</v>
      </c>
      <c r="I36" s="28"/>
      <c r="J36" s="29"/>
      <c r="K36" s="26">
        <f t="shared" si="8"/>
        <v>168200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9"/>
        <v>168200</v>
      </c>
      <c r="H37" s="27">
        <f t="shared" si="0"/>
        <v>0</v>
      </c>
      <c r="I37" s="28"/>
      <c r="J37" s="29"/>
      <c r="K37" s="26">
        <f t="shared" si="8"/>
        <v>168200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38509.103000000003</v>
      </c>
      <c r="I38" s="41"/>
      <c r="J38" s="42"/>
      <c r="K38" s="43"/>
      <c r="L38" s="40">
        <f>SUM(L21:L37)</f>
        <v>46818.96826013297</v>
      </c>
      <c r="M38" s="41"/>
      <c r="N38" s="44">
        <f t="shared" si="2"/>
        <v>8309.8652601329668</v>
      </c>
      <c r="O38" s="45">
        <f t="shared" si="3"/>
        <v>0.21578963446988017</v>
      </c>
    </row>
    <row r="39" spans="2:15" x14ac:dyDescent="0.25">
      <c r="B39" s="46" t="s">
        <v>23</v>
      </c>
      <c r="C39" s="22"/>
      <c r="D39" s="56" t="s">
        <v>70</v>
      </c>
      <c r="E39" s="57"/>
      <c r="F39" s="29">
        <v>-0.62739999999999996</v>
      </c>
      <c r="G39" s="178">
        <f>G28</f>
        <v>470</v>
      </c>
      <c r="H39" s="27">
        <f t="shared" ref="H39:H45" si="10">G39*F39</f>
        <v>-294.87799999999999</v>
      </c>
      <c r="I39" s="28"/>
      <c r="J39" s="29">
        <v>-14.385965140645288</v>
      </c>
      <c r="K39" s="178">
        <f>H16</f>
        <v>470</v>
      </c>
      <c r="L39" s="27">
        <f t="shared" ref="L39:L45" si="11">K39*J39</f>
        <v>-6761.4036161032855</v>
      </c>
      <c r="M39" s="28"/>
      <c r="N39" s="31">
        <f t="shared" si="2"/>
        <v>-6466.5256161032858</v>
      </c>
      <c r="O39" s="32">
        <f t="shared" si="3"/>
        <v>21.929494964369287</v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470</v>
      </c>
      <c r="H40" s="27">
        <f t="shared" si="10"/>
        <v>0</v>
      </c>
      <c r="I40" s="47"/>
      <c r="J40" s="29"/>
      <c r="K40" s="178">
        <f>H16</f>
        <v>470</v>
      </c>
      <c r="L40" s="27">
        <f t="shared" si="11"/>
        <v>0</v>
      </c>
      <c r="M40" s="48"/>
      <c r="N40" s="31">
        <f t="shared" si="2"/>
        <v>0</v>
      </c>
      <c r="O40" s="32" t="str">
        <f t="shared" si="3"/>
        <v/>
      </c>
    </row>
    <row r="41" spans="2:15" hidden="1" x14ac:dyDescent="0.25">
      <c r="B41" s="46"/>
      <c r="C41" s="22"/>
      <c r="D41" s="23" t="s">
        <v>70</v>
      </c>
      <c r="E41" s="24"/>
      <c r="F41" s="25"/>
      <c r="G41" s="178">
        <f>H16</f>
        <v>470</v>
      </c>
      <c r="H41" s="27">
        <f t="shared" si="10"/>
        <v>0</v>
      </c>
      <c r="I41" s="47"/>
      <c r="J41" s="29"/>
      <c r="K41" s="178">
        <f>H16</f>
        <v>470</v>
      </c>
      <c r="L41" s="27">
        <f t="shared" si="11"/>
        <v>0</v>
      </c>
      <c r="M41" s="48"/>
      <c r="N41" s="31">
        <f t="shared" si="2"/>
        <v>0</v>
      </c>
      <c r="O41" s="32" t="str">
        <f t="shared" si="3"/>
        <v/>
      </c>
    </row>
    <row r="42" spans="2:15" ht="30" customHeight="1" x14ac:dyDescent="0.25">
      <c r="B42" s="46" t="s">
        <v>74</v>
      </c>
      <c r="C42" s="22"/>
      <c r="D42" s="23" t="s">
        <v>70</v>
      </c>
      <c r="E42" s="24"/>
      <c r="F42" s="29">
        <v>0.28560000000000002</v>
      </c>
      <c r="G42" s="178">
        <f>H16</f>
        <v>470</v>
      </c>
      <c r="H42" s="27">
        <f t="shared" si="10"/>
        <v>134.232</v>
      </c>
      <c r="I42" s="47"/>
      <c r="J42" s="29">
        <v>0.6390782977143874</v>
      </c>
      <c r="K42" s="178">
        <f>H16</f>
        <v>470</v>
      </c>
      <c r="L42" s="27">
        <f t="shared" si="11"/>
        <v>300.36679992576205</v>
      </c>
      <c r="M42" s="48"/>
      <c r="N42" s="31">
        <f t="shared" si="2"/>
        <v>166.13479992576205</v>
      </c>
      <c r="O42" s="32">
        <f t="shared" si="3"/>
        <v>1.2376691096442134</v>
      </c>
    </row>
    <row r="43" spans="2:15" x14ac:dyDescent="0.25">
      <c r="B43" s="49" t="s">
        <v>24</v>
      </c>
      <c r="C43" s="22"/>
      <c r="D43" s="23" t="s">
        <v>70</v>
      </c>
      <c r="E43" s="24"/>
      <c r="F43" s="25">
        <v>1.0800000000000001E-2</v>
      </c>
      <c r="G43" s="178">
        <f>H16</f>
        <v>470</v>
      </c>
      <c r="H43" s="27">
        <f t="shared" si="10"/>
        <v>5.0760000000000005</v>
      </c>
      <c r="I43" s="28"/>
      <c r="J43" s="29">
        <v>1.14E-2</v>
      </c>
      <c r="K43" s="178">
        <f>H16</f>
        <v>470</v>
      </c>
      <c r="L43" s="27">
        <f t="shared" si="11"/>
        <v>5.3580000000000005</v>
      </c>
      <c r="M43" s="28"/>
      <c r="N43" s="31">
        <f t="shared" si="2"/>
        <v>0.28200000000000003</v>
      </c>
      <c r="O43" s="32">
        <f t="shared" si="3"/>
        <v>5.5555555555555552E-2</v>
      </c>
    </row>
    <row r="44" spans="2:15" s="34" customFormat="1" x14ac:dyDescent="0.25">
      <c r="B44" s="180" t="s">
        <v>25</v>
      </c>
      <c r="C44" s="24"/>
      <c r="D44" s="181" t="s">
        <v>61</v>
      </c>
      <c r="E44" s="24"/>
      <c r="F44" s="182">
        <f>IF(ISBLANK(D14)=TRUE, 0, IF(D14="TOU", 0.64*$F$54+0.18*$F$55+0.18*$F$56, IF(AND(D14="non-TOU", G58&gt;0), F58,F57)))</f>
        <v>8.7999999999999995E-2</v>
      </c>
      <c r="G44" s="26">
        <f>$F$16*(1+$F$73)-$F$16</f>
        <v>8073.6000000000058</v>
      </c>
      <c r="H44" s="183">
        <f t="shared" si="10"/>
        <v>710.47680000000048</v>
      </c>
      <c r="I44" s="57"/>
      <c r="J44" s="184">
        <f>IF(ISBLANK(D14)=TRUE, 0, IF(D14="TOU", 0.64*$F$54+0.18*$F$55+0.18*$F$56, IF(AND(D14="non-TOU", K58&gt;0), J58,J57)))</f>
        <v>8.7999999999999995E-2</v>
      </c>
      <c r="K44" s="26">
        <f>$F$16*(1+$J$73)-$F$16</f>
        <v>7922.2199999999721</v>
      </c>
      <c r="L44" s="183">
        <f t="shared" si="11"/>
        <v>697.15535999999747</v>
      </c>
      <c r="M44" s="57"/>
      <c r="N44" s="185">
        <f t="shared" si="2"/>
        <v>-13.321440000003008</v>
      </c>
      <c r="O44" s="186">
        <f t="shared" si="3"/>
        <v>-1.8750000000004222E-2</v>
      </c>
    </row>
    <row r="45" spans="2:15" x14ac:dyDescent="0.25">
      <c r="B45" s="49" t="s">
        <v>26</v>
      </c>
      <c r="C45" s="22"/>
      <c r="D45" s="23" t="s">
        <v>60</v>
      </c>
      <c r="E45" s="24"/>
      <c r="F45" s="177"/>
      <c r="G45" s="26">
        <v>0</v>
      </c>
      <c r="H45" s="27">
        <f t="shared" si="10"/>
        <v>0</v>
      </c>
      <c r="I45" s="28"/>
      <c r="J45" s="177"/>
      <c r="K45" s="26">
        <v>0</v>
      </c>
      <c r="L45" s="27">
        <f t="shared" si="11"/>
        <v>0</v>
      </c>
      <c r="M45" s="28"/>
      <c r="N45" s="31">
        <f t="shared" si="2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SUM(H39:H45)+H38</f>
        <v>39064.0098</v>
      </c>
      <c r="I46" s="41"/>
      <c r="J46" s="53"/>
      <c r="K46" s="55"/>
      <c r="L46" s="54">
        <f>SUM(L39:L45)+L38</f>
        <v>41060.444803955441</v>
      </c>
      <c r="M46" s="41"/>
      <c r="N46" s="44">
        <f t="shared" si="2"/>
        <v>1996.4350039554411</v>
      </c>
      <c r="O46" s="45">
        <f t="shared" ref="O46:O64" si="12">IF((H46)=0,"",(N46/H46))</f>
        <v>5.1106760779981199E-2</v>
      </c>
    </row>
    <row r="47" spans="2:15" x14ac:dyDescent="0.25">
      <c r="B47" s="28" t="s">
        <v>28</v>
      </c>
      <c r="C47" s="28"/>
      <c r="D47" s="56" t="s">
        <v>70</v>
      </c>
      <c r="E47" s="57"/>
      <c r="F47" s="29">
        <v>2.0562</v>
      </c>
      <c r="G47" s="58">
        <f>H16</f>
        <v>470</v>
      </c>
      <c r="H47" s="27">
        <f>G47*F47</f>
        <v>966.41399999999999</v>
      </c>
      <c r="I47" s="28"/>
      <c r="J47" s="29">
        <v>2.1433744363307281</v>
      </c>
      <c r="K47" s="59">
        <f>H16</f>
        <v>470</v>
      </c>
      <c r="L47" s="27">
        <f>K47*J47</f>
        <v>1007.3859850754422</v>
      </c>
      <c r="M47" s="28"/>
      <c r="N47" s="31">
        <f t="shared" si="2"/>
        <v>40.971985075442262</v>
      </c>
      <c r="O47" s="32">
        <f t="shared" si="12"/>
        <v>4.239589355642847E-2</v>
      </c>
    </row>
    <row r="48" spans="2:15" x14ac:dyDescent="0.25">
      <c r="B48" s="60" t="s">
        <v>29</v>
      </c>
      <c r="C48" s="28"/>
      <c r="D48" s="56" t="s">
        <v>70</v>
      </c>
      <c r="E48" s="57"/>
      <c r="F48" s="29">
        <v>1.5665</v>
      </c>
      <c r="G48" s="58">
        <f>G47</f>
        <v>470</v>
      </c>
      <c r="H48" s="27">
        <f>G48*F48</f>
        <v>736.255</v>
      </c>
      <c r="I48" s="28"/>
      <c r="J48" s="29">
        <v>1.5698966422422653</v>
      </c>
      <c r="K48" s="59">
        <f>K47</f>
        <v>470</v>
      </c>
      <c r="L48" s="27">
        <f>K48*J48</f>
        <v>737.85142185386474</v>
      </c>
      <c r="M48" s="28"/>
      <c r="N48" s="31">
        <f t="shared" si="2"/>
        <v>1.5964218538647401</v>
      </c>
      <c r="O48" s="32">
        <f t="shared" si="12"/>
        <v>2.168300186572234E-3</v>
      </c>
    </row>
    <row r="49" spans="2:19" x14ac:dyDescent="0.25">
      <c r="B49" s="50" t="s">
        <v>30</v>
      </c>
      <c r="C49" s="36"/>
      <c r="D49" s="36"/>
      <c r="E49" s="36"/>
      <c r="F49" s="61"/>
      <c r="G49" s="53"/>
      <c r="H49" s="54">
        <f>SUM(H46:H48)</f>
        <v>40766.678799999994</v>
      </c>
      <c r="I49" s="62"/>
      <c r="J49" s="63"/>
      <c r="K49" s="64"/>
      <c r="L49" s="54">
        <f>SUM(L46:L48)</f>
        <v>42805.682210884748</v>
      </c>
      <c r="M49" s="62"/>
      <c r="N49" s="44">
        <f t="shared" si="2"/>
        <v>2039.003410884754</v>
      </c>
      <c r="O49" s="45">
        <f t="shared" si="12"/>
        <v>5.0016422011909249E-2</v>
      </c>
    </row>
    <row r="50" spans="2:19" x14ac:dyDescent="0.25">
      <c r="B50" s="65" t="s">
        <v>31</v>
      </c>
      <c r="C50" s="22"/>
      <c r="D50" s="23" t="s">
        <v>61</v>
      </c>
      <c r="E50" s="24"/>
      <c r="F50" s="66">
        <v>4.4000000000000003E-3</v>
      </c>
      <c r="G50" s="58">
        <f>F16*(1+F73)</f>
        <v>176273.6</v>
      </c>
      <c r="H50" s="67">
        <f t="shared" ref="H50:H56" si="13">G50*F50</f>
        <v>775.6038400000001</v>
      </c>
      <c r="I50" s="28"/>
      <c r="J50" s="66">
        <v>4.4000000000000003E-3</v>
      </c>
      <c r="K50" s="59">
        <f>F16*(1+J73)</f>
        <v>176122.21999999997</v>
      </c>
      <c r="L50" s="67">
        <f t="shared" ref="L50:L56" si="14">K50*J50</f>
        <v>774.93776799999989</v>
      </c>
      <c r="M50" s="28"/>
      <c r="N50" s="31">
        <f t="shared" si="2"/>
        <v>-0.66607200000021294</v>
      </c>
      <c r="O50" s="68">
        <f t="shared" si="12"/>
        <v>-8.5877862595447286E-4</v>
      </c>
    </row>
    <row r="51" spans="2:19" x14ac:dyDescent="0.25">
      <c r="B51" s="65" t="s">
        <v>32</v>
      </c>
      <c r="C51" s="22"/>
      <c r="D51" s="23" t="s">
        <v>61</v>
      </c>
      <c r="E51" s="24"/>
      <c r="F51" s="66">
        <v>1.2999999999999999E-3</v>
      </c>
      <c r="G51" s="58">
        <f>G50</f>
        <v>176273.6</v>
      </c>
      <c r="H51" s="67">
        <f t="shared" si="13"/>
        <v>229.15567999999999</v>
      </c>
      <c r="I51" s="28"/>
      <c r="J51" s="66">
        <v>1.2999999999999999E-3</v>
      </c>
      <c r="K51" s="59">
        <f>K50</f>
        <v>176122.21999999997</v>
      </c>
      <c r="L51" s="67">
        <f t="shared" si="14"/>
        <v>228.95888599999995</v>
      </c>
      <c r="M51" s="28"/>
      <c r="N51" s="31">
        <f t="shared" si="2"/>
        <v>-0.19679400000003966</v>
      </c>
      <c r="O51" s="68">
        <f t="shared" si="12"/>
        <v>-8.587786259543716E-4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v>0.25</v>
      </c>
      <c r="G52" s="69">
        <f>G21</f>
        <v>5419</v>
      </c>
      <c r="H52" s="67">
        <f t="shared" si="13"/>
        <v>1354.75</v>
      </c>
      <c r="I52" s="28"/>
      <c r="J52" s="176">
        <v>0.25</v>
      </c>
      <c r="K52" s="69">
        <f>K21</f>
        <v>5419</v>
      </c>
      <c r="L52" s="67">
        <f t="shared" si="14"/>
        <v>1354.75</v>
      </c>
      <c r="M52" s="28"/>
      <c r="N52" s="31">
        <f t="shared" si="2"/>
        <v>0</v>
      </c>
      <c r="O52" s="68">
        <f t="shared" si="12"/>
        <v>0</v>
      </c>
    </row>
    <row r="53" spans="2:19" x14ac:dyDescent="0.25">
      <c r="B53" s="22" t="s">
        <v>34</v>
      </c>
      <c r="C53" s="22"/>
      <c r="D53" s="23" t="s">
        <v>61</v>
      </c>
      <c r="E53" s="24"/>
      <c r="F53" s="66">
        <v>7.0000000000000001E-3</v>
      </c>
      <c r="G53" s="69">
        <f>F16</f>
        <v>168200</v>
      </c>
      <c r="H53" s="67">
        <f t="shared" si="13"/>
        <v>1177.4000000000001</v>
      </c>
      <c r="I53" s="28"/>
      <c r="J53" s="66">
        <v>7.0000000000000001E-3</v>
      </c>
      <c r="K53" s="70">
        <f>F16</f>
        <v>168200</v>
      </c>
      <c r="L53" s="67">
        <f t="shared" si="14"/>
        <v>1177.4000000000001</v>
      </c>
      <c r="M53" s="28"/>
      <c r="N53" s="31">
        <f t="shared" si="2"/>
        <v>0</v>
      </c>
      <c r="O53" s="68">
        <f t="shared" si="12"/>
        <v>0</v>
      </c>
    </row>
    <row r="54" spans="2:19" ht="15.75" thickBot="1" x14ac:dyDescent="0.3">
      <c r="B54" s="49" t="s">
        <v>73</v>
      </c>
      <c r="C54" s="22"/>
      <c r="D54" s="23" t="s">
        <v>61</v>
      </c>
      <c r="E54" s="24"/>
      <c r="F54" s="66">
        <v>8.2699999999999996E-2</v>
      </c>
      <c r="G54" s="69">
        <f>F16</f>
        <v>168200</v>
      </c>
      <c r="H54" s="67">
        <f t="shared" si="13"/>
        <v>13910.14</v>
      </c>
      <c r="I54" s="28"/>
      <c r="J54" s="66">
        <v>8.2699999999999996E-2</v>
      </c>
      <c r="K54" s="69">
        <f>F16</f>
        <v>168200</v>
      </c>
      <c r="L54" s="67">
        <f t="shared" si="14"/>
        <v>13910.14</v>
      </c>
      <c r="M54" s="28"/>
      <c r="N54" s="31">
        <f t="shared" si="2"/>
        <v>0</v>
      </c>
      <c r="O54" s="68">
        <f t="shared" si="12"/>
        <v>0</v>
      </c>
      <c r="S54" s="72"/>
    </row>
    <row r="55" spans="2:19" ht="15.75" hidden="1" thickBot="1" x14ac:dyDescent="0.3">
      <c r="B55" s="49" t="s">
        <v>36</v>
      </c>
      <c r="C55" s="22"/>
      <c r="D55" s="23"/>
      <c r="E55" s="24"/>
      <c r="F55" s="71">
        <v>0.104</v>
      </c>
      <c r="G55" s="69">
        <v>0</v>
      </c>
      <c r="H55" s="67">
        <f t="shared" si="13"/>
        <v>0</v>
      </c>
      <c r="I55" s="28"/>
      <c r="J55" s="66">
        <v>0.104</v>
      </c>
      <c r="K55" s="69">
        <v>0</v>
      </c>
      <c r="L55" s="67">
        <f t="shared" si="14"/>
        <v>0</v>
      </c>
      <c r="M55" s="28"/>
      <c r="N55" s="31">
        <f t="shared" si="2"/>
        <v>0</v>
      </c>
      <c r="O55" s="68" t="str">
        <f t="shared" si="12"/>
        <v/>
      </c>
      <c r="S55" s="72"/>
    </row>
    <row r="56" spans="2:19" ht="15.75" hidden="1" thickBot="1" x14ac:dyDescent="0.3">
      <c r="B56" s="12" t="s">
        <v>37</v>
      </c>
      <c r="C56" s="22"/>
      <c r="D56" s="23"/>
      <c r="E56" s="24"/>
      <c r="F56" s="71">
        <v>0.124</v>
      </c>
      <c r="G56" s="69">
        <v>0</v>
      </c>
      <c r="H56" s="67">
        <f t="shared" si="13"/>
        <v>0</v>
      </c>
      <c r="I56" s="28"/>
      <c r="J56" s="66">
        <v>0.124</v>
      </c>
      <c r="K56" s="69">
        <v>0</v>
      </c>
      <c r="L56" s="67">
        <f t="shared" si="14"/>
        <v>0</v>
      </c>
      <c r="M56" s="28"/>
      <c r="N56" s="31">
        <f t="shared" si="2"/>
        <v>0</v>
      </c>
      <c r="O56" s="68" t="str">
        <f t="shared" si="12"/>
        <v/>
      </c>
      <c r="S56" s="72"/>
    </row>
    <row r="57" spans="2:19" s="73" customFormat="1" ht="15.75" hidden="1" thickBot="1" x14ac:dyDescent="0.25">
      <c r="B57" s="179" t="s">
        <v>38</v>
      </c>
      <c r="C57" s="75"/>
      <c r="D57" s="76"/>
      <c r="E57" s="77"/>
      <c r="F57" s="71">
        <v>7.4999999999999997E-2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7">
        <f>G57*F57</f>
        <v>45</v>
      </c>
      <c r="I57" s="79"/>
      <c r="J57" s="66">
        <v>7.4999999999999997E-2</v>
      </c>
      <c r="K57" s="78">
        <f>G57</f>
        <v>600</v>
      </c>
      <c r="L57" s="67">
        <f>K57*J57</f>
        <v>45</v>
      </c>
      <c r="M57" s="79"/>
      <c r="N57" s="80">
        <f t="shared" si="2"/>
        <v>0</v>
      </c>
      <c r="O57" s="68">
        <f t="shared" si="12"/>
        <v>0</v>
      </c>
    </row>
    <row r="58" spans="2:19" s="73" customFormat="1" ht="15.75" hidden="1" thickBot="1" x14ac:dyDescent="0.25">
      <c r="B58" s="179" t="s">
        <v>39</v>
      </c>
      <c r="C58" s="75"/>
      <c r="D58" s="76"/>
      <c r="E58" s="77"/>
      <c r="F58" s="71">
        <v>8.7999999999999995E-2</v>
      </c>
      <c r="G58" s="78">
        <f>IF(AND($T$1=1, F16&gt;=600), F16-600, IF(AND($T$1=1, AND(F16&lt;600, F16&gt;=0)), 0, IF(AND($T$1=2, F16&gt;=1000), F16-1000, IF(AND($T$1=2, AND(F16&lt;1000, F16&gt;=0)), 0))))</f>
        <v>167600</v>
      </c>
      <c r="H58" s="67">
        <f>G58*F58</f>
        <v>14748.8</v>
      </c>
      <c r="I58" s="79"/>
      <c r="J58" s="66">
        <v>8.7999999999999995E-2</v>
      </c>
      <c r="K58" s="78">
        <f>G58</f>
        <v>167600</v>
      </c>
      <c r="L58" s="67">
        <f>K58*J58</f>
        <v>14748.8</v>
      </c>
      <c r="M58" s="79"/>
      <c r="N58" s="80">
        <f t="shared" si="2"/>
        <v>0</v>
      </c>
      <c r="O58" s="68">
        <f t="shared" si="12"/>
        <v>0</v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t="15.75" hidden="1" thickBot="1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58213.728319999995</v>
      </c>
      <c r="I60" s="95"/>
      <c r="J60" s="96"/>
      <c r="K60" s="96"/>
      <c r="L60" s="94">
        <f>SUM(L50:L56,L49)</f>
        <v>60251.868864884746</v>
      </c>
      <c r="M60" s="97"/>
      <c r="N60" s="98">
        <f>L60-H60</f>
        <v>2038.1405448847509</v>
      </c>
      <c r="O60" s="99">
        <f>IF((H60)=0,"",(N60/H60))</f>
        <v>3.501133845406916E-2</v>
      </c>
      <c r="S60" s="72"/>
    </row>
    <row r="61" spans="2:19" ht="15.75" hidden="1" thickBot="1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7567.7846815999992</v>
      </c>
      <c r="I61" s="104"/>
      <c r="J61" s="105">
        <v>0.13</v>
      </c>
      <c r="K61" s="104"/>
      <c r="L61" s="106">
        <f>L60*J61</f>
        <v>7832.7429524350173</v>
      </c>
      <c r="M61" s="107"/>
      <c r="N61" s="108">
        <f t="shared" si="2"/>
        <v>264.95827083501808</v>
      </c>
      <c r="O61" s="109">
        <f t="shared" si="12"/>
        <v>3.5011338454069223E-2</v>
      </c>
      <c r="S61" s="72"/>
    </row>
    <row r="62" spans="2:19" ht="15.75" hidden="1" thickBot="1" x14ac:dyDescent="0.3">
      <c r="B62" s="110" t="s">
        <v>42</v>
      </c>
      <c r="C62" s="22"/>
      <c r="D62" s="22"/>
      <c r="E62" s="22"/>
      <c r="F62" s="111"/>
      <c r="G62" s="102"/>
      <c r="H62" s="103">
        <f>H60+H61</f>
        <v>65781.513001599989</v>
      </c>
      <c r="I62" s="104"/>
      <c r="J62" s="104"/>
      <c r="K62" s="104"/>
      <c r="L62" s="106">
        <f>L60+L61</f>
        <v>68084.611817319761</v>
      </c>
      <c r="M62" s="107"/>
      <c r="N62" s="108">
        <f t="shared" si="2"/>
        <v>2303.0988157197717</v>
      </c>
      <c r="O62" s="109">
        <f t="shared" si="12"/>
        <v>3.5011338454069216E-2</v>
      </c>
      <c r="S62" s="72"/>
    </row>
    <row r="63" spans="2:19" ht="15.75" hidden="1" customHeight="1" x14ac:dyDescent="0.3">
      <c r="B63" s="248" t="s">
        <v>43</v>
      </c>
      <c r="C63" s="248"/>
      <c r="D63" s="248"/>
      <c r="E63" s="22"/>
      <c r="F63" s="111"/>
      <c r="G63" s="102"/>
      <c r="H63" s="112">
        <f>ROUND(-H62*10%,2)</f>
        <v>-6578.15</v>
      </c>
      <c r="I63" s="104"/>
      <c r="J63" s="104"/>
      <c r="K63" s="104"/>
      <c r="L63" s="113">
        <f>ROUND(-L62*10%,2)</f>
        <v>-6808.46</v>
      </c>
      <c r="M63" s="107"/>
      <c r="N63" s="114">
        <f t="shared" si="2"/>
        <v>-230.3100000000004</v>
      </c>
      <c r="O63" s="115">
        <f t="shared" si="12"/>
        <v>3.5011363377241388E-2</v>
      </c>
    </row>
    <row r="64" spans="2:19" ht="15.75" hidden="1" thickBot="1" x14ac:dyDescent="0.3">
      <c r="B64" s="240" t="s">
        <v>44</v>
      </c>
      <c r="C64" s="240"/>
      <c r="D64" s="240"/>
      <c r="E64" s="116"/>
      <c r="F64" s="117"/>
      <c r="G64" s="118"/>
      <c r="H64" s="119">
        <f>H62+H63</f>
        <v>59203.363001599988</v>
      </c>
      <c r="I64" s="120"/>
      <c r="J64" s="120"/>
      <c r="K64" s="120"/>
      <c r="L64" s="121">
        <f>L62+L63</f>
        <v>61276.151817319762</v>
      </c>
      <c r="M64" s="122"/>
      <c r="N64" s="123">
        <f t="shared" si="2"/>
        <v>2072.788815719774</v>
      </c>
      <c r="O64" s="124">
        <f t="shared" si="12"/>
        <v>3.5011335684828518E-2</v>
      </c>
    </row>
    <row r="65" spans="1:15" s="73" customFormat="1" ht="8.25" hidden="1" customHeigh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SUM(H54,H49,H50:H53)</f>
        <v>58213.728320000002</v>
      </c>
      <c r="I66" s="136"/>
      <c r="J66" s="137"/>
      <c r="K66" s="137"/>
      <c r="L66" s="188">
        <f>SUM(L54,L49,L50:L53)</f>
        <v>60251.868864884753</v>
      </c>
      <c r="M66" s="138"/>
      <c r="N66" s="139">
        <f>L66-H66</f>
        <v>2038.1405448847509</v>
      </c>
      <c r="O66" s="99">
        <f>IF((H66)=0,"",(N66/H66))</f>
        <v>3.501133845406916E-2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7567.7846816000001</v>
      </c>
      <c r="I67" s="143"/>
      <c r="J67" s="144">
        <v>0.13</v>
      </c>
      <c r="K67" s="145"/>
      <c r="L67" s="146">
        <f>L66*J67</f>
        <v>7832.7429524350182</v>
      </c>
      <c r="M67" s="147"/>
      <c r="N67" s="148">
        <f>L67-H67</f>
        <v>264.95827083501808</v>
      </c>
      <c r="O67" s="109">
        <f>IF((H67)=0,"",(N67/H67))</f>
        <v>3.5011338454069223E-2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65781.513001600004</v>
      </c>
      <c r="I68" s="143"/>
      <c r="J68" s="143"/>
      <c r="K68" s="143"/>
      <c r="L68" s="146">
        <f>L66+L67</f>
        <v>68084.611817319776</v>
      </c>
      <c r="M68" s="147"/>
      <c r="N68" s="148">
        <f>L68-H68</f>
        <v>2303.0988157197717</v>
      </c>
      <c r="O68" s="109">
        <f>IF((H68)=0,"",(N68/H68))</f>
        <v>3.5011338454069209E-2</v>
      </c>
    </row>
    <row r="69" spans="1:15" s="73" customFormat="1" ht="15.75" customHeight="1" x14ac:dyDescent="0.2">
      <c r="B69" s="249" t="s">
        <v>43</v>
      </c>
      <c r="C69" s="249"/>
      <c r="D69" s="249"/>
      <c r="E69" s="75"/>
      <c r="F69" s="150"/>
      <c r="G69" s="151"/>
      <c r="H69" s="152"/>
      <c r="I69" s="143"/>
      <c r="J69" s="143"/>
      <c r="K69" s="143"/>
      <c r="L69" s="153"/>
      <c r="M69" s="147"/>
      <c r="N69" s="154">
        <f>L69-H69</f>
        <v>0</v>
      </c>
      <c r="O69" s="115" t="str">
        <f>IF((H69)=0,"",(N69/H69))</f>
        <v/>
      </c>
    </row>
    <row r="70" spans="1:15" s="73" customFormat="1" ht="13.5" thickBot="1" x14ac:dyDescent="0.25">
      <c r="B70" s="241" t="s">
        <v>46</v>
      </c>
      <c r="C70" s="241"/>
      <c r="D70" s="241"/>
      <c r="E70" s="155"/>
      <c r="F70" s="156"/>
      <c r="G70" s="157"/>
      <c r="H70" s="158">
        <f>SUM(H68:H69)</f>
        <v>65781.513001600004</v>
      </c>
      <c r="I70" s="159"/>
      <c r="J70" s="159"/>
      <c r="K70" s="159"/>
      <c r="L70" s="160">
        <f>SUM(L68:L69)</f>
        <v>68084.611817319776</v>
      </c>
      <c r="M70" s="161"/>
      <c r="N70" s="162">
        <f>L70-H70</f>
        <v>2303.0988157197717</v>
      </c>
      <c r="O70" s="163">
        <f>IF((H70)=0,"",(N70/H70))</f>
        <v>3.5011338454069209E-2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v>4.8000000000000001E-2</v>
      </c>
      <c r="J73" s="170">
        <f>'Res (100kWh)'!$J$74</f>
        <v>4.7100000000000003E-2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9:O9"/>
    <mergeCell ref="N1:O1"/>
    <mergeCell ref="N2:O2"/>
    <mergeCell ref="N3:O3"/>
    <mergeCell ref="N5:O5"/>
    <mergeCell ref="B8:O8"/>
    <mergeCell ref="B63:D63"/>
    <mergeCell ref="B64:D64"/>
    <mergeCell ref="B69:D69"/>
    <mergeCell ref="B70:D70"/>
    <mergeCell ref="D12:O12"/>
    <mergeCell ref="F18:H18"/>
    <mergeCell ref="J18:L18"/>
    <mergeCell ref="N18:O18"/>
    <mergeCell ref="D19:D20"/>
    <mergeCell ref="N19:N20"/>
    <mergeCell ref="O19:O20"/>
  </mergeCells>
  <dataValidations count="3">
    <dataValidation type="list" allowBlank="1" showInputMessage="1" showErrorMessage="1" sqref="E47:E48 E39:E45 E21:E37 E50:E59 E71 E65">
      <formula1>#REF!</formula1>
    </dataValidation>
    <dataValidation type="list" allowBlank="1" showInputMessage="1" showErrorMessage="1" prompt="Select Charge Unit - monthly, per kWh, per kW" sqref="D47:D48 D39:D45 D65 D50:D59 D71 D21:D37">
      <formula1>"Monthly, per kWh, per kW"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6" fitToHeight="0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theme="0" tint="-0.14999847407452621"/>
    <pageSetUpPr fitToPage="1"/>
  </sheetPr>
  <dimension ref="A1:T88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  <c r="P2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8-D</v>
      </c>
      <c r="O3" s="234"/>
      <c r="P3"/>
    </row>
    <row r="4" spans="1:20" s="2" customFormat="1" ht="9" customHeight="1" x14ac:dyDescent="0.25">
      <c r="L4" s="3"/>
      <c r="N4" s="232"/>
      <c r="O4"/>
      <c r="P4"/>
    </row>
    <row r="5" spans="1:20" s="2" customFormat="1" x14ac:dyDescent="0.25">
      <c r="L5" s="3" t="s">
        <v>75</v>
      </c>
      <c r="N5" s="234">
        <f>'Res (100kWh)'!$N$5:$O$5</f>
        <v>41985</v>
      </c>
      <c r="O5" s="234"/>
      <c r="P5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82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150</v>
      </c>
      <c r="G16" s="13" t="s">
        <v>7</v>
      </c>
      <c r="H16" s="14">
        <v>1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4.42</v>
      </c>
      <c r="G21" s="26">
        <v>1</v>
      </c>
      <c r="H21" s="27">
        <f>G21*F21</f>
        <v>4.42</v>
      </c>
      <c r="I21" s="28"/>
      <c r="J21" s="173">
        <v>5.0862999999999996</v>
      </c>
      <c r="K21" s="30">
        <v>1</v>
      </c>
      <c r="L21" s="27">
        <f>K21*J21</f>
        <v>5.0862999999999996</v>
      </c>
      <c r="M21" s="28"/>
      <c r="N21" s="31">
        <f>L21-H21</f>
        <v>0.66629999999999967</v>
      </c>
      <c r="O21" s="32">
        <f>IF((H21)=0,"",(N21/H21))</f>
        <v>0.15074660633484155</v>
      </c>
    </row>
    <row r="22" spans="2:15" ht="36.75" customHeight="1" x14ac:dyDescent="0.25">
      <c r="B22" s="65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46" t="s">
        <v>65</v>
      </c>
      <c r="C25" s="22"/>
      <c r="D25" s="23" t="s">
        <v>70</v>
      </c>
      <c r="E25" s="24"/>
      <c r="F25" s="25">
        <v>-0.22969999999999999</v>
      </c>
      <c r="G25" s="178">
        <f>$H$16</f>
        <v>1</v>
      </c>
      <c r="H25" s="27">
        <f t="shared" si="0"/>
        <v>-0.22969999999999999</v>
      </c>
      <c r="I25" s="28"/>
      <c r="J25" s="29"/>
      <c r="K25" s="178">
        <f>$H$16</f>
        <v>1</v>
      </c>
      <c r="L25" s="27">
        <f t="shared" si="1"/>
        <v>0</v>
      </c>
      <c r="M25" s="28"/>
      <c r="N25" s="31">
        <f t="shared" si="2"/>
        <v>0.22969999999999999</v>
      </c>
      <c r="O25" s="32">
        <f t="shared" si="3"/>
        <v>-1</v>
      </c>
    </row>
    <row r="26" spans="2:15" x14ac:dyDescent="0.25">
      <c r="B26" s="46" t="s">
        <v>66</v>
      </c>
      <c r="C26" s="22"/>
      <c r="D26" s="23" t="s">
        <v>70</v>
      </c>
      <c r="E26" s="24"/>
      <c r="F26" s="25"/>
      <c r="G26" s="178">
        <f>$H$16</f>
        <v>1</v>
      </c>
      <c r="H26" s="27">
        <f t="shared" si="0"/>
        <v>0</v>
      </c>
      <c r="I26" s="28"/>
      <c r="J26" s="29">
        <v>-2.3633622852963354</v>
      </c>
      <c r="K26" s="178">
        <f>$H$16</f>
        <v>1</v>
      </c>
      <c r="L26" s="27">
        <f t="shared" si="1"/>
        <v>-2.3633622852963354</v>
      </c>
      <c r="M26" s="28"/>
      <c r="N26" s="31">
        <f t="shared" si="2"/>
        <v>-2.3633622852963354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v>15.436999999999999</v>
      </c>
      <c r="G27" s="178">
        <f>$H$16</f>
        <v>1</v>
      </c>
      <c r="H27" s="27">
        <f t="shared" si="0"/>
        <v>15.436999999999999</v>
      </c>
      <c r="I27" s="28"/>
      <c r="J27" s="29">
        <v>17.764199999999999</v>
      </c>
      <c r="K27" s="178">
        <f>$H$16</f>
        <v>1</v>
      </c>
      <c r="L27" s="27">
        <f t="shared" si="1"/>
        <v>17.764199999999999</v>
      </c>
      <c r="M27" s="28"/>
      <c r="N27" s="31">
        <f t="shared" si="2"/>
        <v>2.3271999999999995</v>
      </c>
      <c r="O27" s="32">
        <f t="shared" si="3"/>
        <v>0.1507546803135324</v>
      </c>
    </row>
    <row r="28" spans="2:15" hidden="1" x14ac:dyDescent="0.25">
      <c r="B28" s="22" t="s">
        <v>20</v>
      </c>
      <c r="C28" s="22"/>
      <c r="D28" s="23"/>
      <c r="E28" s="24"/>
      <c r="F28" s="25"/>
      <c r="G28" s="26">
        <f>$F$16</f>
        <v>150</v>
      </c>
      <c r="H28" s="27">
        <f t="shared" si="0"/>
        <v>0</v>
      </c>
      <c r="I28" s="28"/>
      <c r="J28" s="29"/>
      <c r="K28" s="26">
        <f t="shared" ref="K28:K36" si="4">$F$16</f>
        <v>150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25">
      <c r="B29" s="22" t="s">
        <v>21</v>
      </c>
      <c r="C29" s="22"/>
      <c r="D29" s="23"/>
      <c r="E29" s="24"/>
      <c r="F29" s="25"/>
      <c r="G29" s="26">
        <f>$F$16</f>
        <v>150</v>
      </c>
      <c r="H29" s="27">
        <f t="shared" si="0"/>
        <v>0</v>
      </c>
      <c r="I29" s="28"/>
      <c r="J29" s="29"/>
      <c r="K29" s="26">
        <f t="shared" si="4"/>
        <v>150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33"/>
      <c r="C30" s="22"/>
      <c r="D30" s="23"/>
      <c r="E30" s="24"/>
      <c r="F30" s="25"/>
      <c r="G30" s="26">
        <f t="shared" ref="G30:G36" si="5">$F$16</f>
        <v>150</v>
      </c>
      <c r="H30" s="27">
        <f t="shared" si="0"/>
        <v>0</v>
      </c>
      <c r="I30" s="28"/>
      <c r="J30" s="29"/>
      <c r="K30" s="26">
        <f t="shared" si="4"/>
        <v>150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si="5"/>
        <v>150</v>
      </c>
      <c r="H31" s="27">
        <f t="shared" si="0"/>
        <v>0</v>
      </c>
      <c r="I31" s="28"/>
      <c r="J31" s="29"/>
      <c r="K31" s="26">
        <f t="shared" si="4"/>
        <v>150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150</v>
      </c>
      <c r="H32" s="27">
        <f t="shared" si="0"/>
        <v>0</v>
      </c>
      <c r="I32" s="28"/>
      <c r="J32" s="29"/>
      <c r="K32" s="26">
        <f t="shared" si="4"/>
        <v>150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150</v>
      </c>
      <c r="H33" s="27">
        <f t="shared" si="0"/>
        <v>0</v>
      </c>
      <c r="I33" s="28"/>
      <c r="J33" s="29"/>
      <c r="K33" s="26">
        <f t="shared" si="4"/>
        <v>150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150</v>
      </c>
      <c r="H34" s="27">
        <f t="shared" si="0"/>
        <v>0</v>
      </c>
      <c r="I34" s="28"/>
      <c r="J34" s="29"/>
      <c r="K34" s="26">
        <f t="shared" si="4"/>
        <v>150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150</v>
      </c>
      <c r="H35" s="27">
        <f t="shared" si="0"/>
        <v>0</v>
      </c>
      <c r="I35" s="28"/>
      <c r="J35" s="29"/>
      <c r="K35" s="26">
        <f t="shared" si="4"/>
        <v>150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150</v>
      </c>
      <c r="H36" s="27">
        <f t="shared" si="0"/>
        <v>0</v>
      </c>
      <c r="I36" s="28"/>
      <c r="J36" s="29"/>
      <c r="K36" s="26">
        <f t="shared" si="4"/>
        <v>150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19.627299999999998</v>
      </c>
      <c r="I37" s="41"/>
      <c r="J37" s="42"/>
      <c r="K37" s="43"/>
      <c r="L37" s="40">
        <f>SUM(L21:L36)</f>
        <v>20.487137714703664</v>
      </c>
      <c r="M37" s="41"/>
      <c r="N37" s="44">
        <f t="shared" si="2"/>
        <v>0.85983771470366577</v>
      </c>
      <c r="O37" s="45">
        <f t="shared" si="3"/>
        <v>4.380825252091046E-2</v>
      </c>
    </row>
    <row r="38" spans="2:15" x14ac:dyDescent="0.25">
      <c r="B38" s="46" t="s">
        <v>23</v>
      </c>
      <c r="C38" s="22"/>
      <c r="D38" s="56" t="s">
        <v>70</v>
      </c>
      <c r="E38" s="57"/>
      <c r="F38" s="29">
        <v>-0.36430000000000001</v>
      </c>
      <c r="G38" s="178">
        <f>G27</f>
        <v>1</v>
      </c>
      <c r="H38" s="27">
        <f t="shared" ref="H38:H44" si="6">G38*F38</f>
        <v>-0.36430000000000001</v>
      </c>
      <c r="I38" s="28"/>
      <c r="J38" s="29">
        <v>-4.5313091717798768</v>
      </c>
      <c r="K38" s="178">
        <f>H16</f>
        <v>1</v>
      </c>
      <c r="L38" s="27">
        <f t="shared" ref="L38:L44" si="7">K38*J38</f>
        <v>-4.5313091717798768</v>
      </c>
      <c r="M38" s="28"/>
      <c r="N38" s="31">
        <f t="shared" si="2"/>
        <v>-4.1670091717798767</v>
      </c>
      <c r="O38" s="32">
        <f t="shared" si="3"/>
        <v>11.438400142135263</v>
      </c>
    </row>
    <row r="39" spans="2:15" hidden="1" x14ac:dyDescent="0.25">
      <c r="B39" s="46"/>
      <c r="C39" s="22"/>
      <c r="D39" s="23" t="s">
        <v>70</v>
      </c>
      <c r="E39" s="24"/>
      <c r="F39" s="25"/>
      <c r="G39" s="178">
        <f>H16</f>
        <v>1</v>
      </c>
      <c r="H39" s="27">
        <f t="shared" si="6"/>
        <v>0</v>
      </c>
      <c r="I39" s="47"/>
      <c r="J39" s="29"/>
      <c r="K39" s="178">
        <f>H16</f>
        <v>1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1</v>
      </c>
      <c r="H40" s="27">
        <f t="shared" si="6"/>
        <v>0</v>
      </c>
      <c r="I40" s="47"/>
      <c r="J40" s="29"/>
      <c r="K40" s="178">
        <f>H16</f>
        <v>1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" customHeight="1" x14ac:dyDescent="0.25">
      <c r="B41" s="46" t="s">
        <v>74</v>
      </c>
      <c r="C41" s="22"/>
      <c r="D41" s="23" t="s">
        <v>70</v>
      </c>
      <c r="E41" s="24"/>
      <c r="F41" s="29">
        <v>0.1658</v>
      </c>
      <c r="G41" s="178">
        <f>H16</f>
        <v>1</v>
      </c>
      <c r="H41" s="27">
        <f t="shared" si="6"/>
        <v>0.1658</v>
      </c>
      <c r="I41" s="47"/>
      <c r="J41" s="29">
        <v>0.59136367940447854</v>
      </c>
      <c r="K41" s="178">
        <f>H16</f>
        <v>1</v>
      </c>
      <c r="L41" s="27">
        <f t="shared" si="7"/>
        <v>0.59136367940447854</v>
      </c>
      <c r="M41" s="48"/>
      <c r="N41" s="31">
        <f t="shared" si="2"/>
        <v>0.42556367940447853</v>
      </c>
      <c r="O41" s="32">
        <f t="shared" si="3"/>
        <v>2.5667290675782781</v>
      </c>
    </row>
    <row r="42" spans="2:15" x14ac:dyDescent="0.25">
      <c r="B42" s="49" t="s">
        <v>24</v>
      </c>
      <c r="C42" s="22"/>
      <c r="D42" s="23" t="s">
        <v>70</v>
      </c>
      <c r="E42" s="24"/>
      <c r="F42" s="25">
        <v>1.0999999999999999E-2</v>
      </c>
      <c r="G42" s="178">
        <f>H16</f>
        <v>1</v>
      </c>
      <c r="H42" s="27">
        <f t="shared" si="6"/>
        <v>1.0999999999999999E-2</v>
      </c>
      <c r="I42" s="28"/>
      <c r="J42" s="29">
        <v>1.1599999999999999E-2</v>
      </c>
      <c r="K42" s="178">
        <f>H16</f>
        <v>1</v>
      </c>
      <c r="L42" s="27">
        <f t="shared" si="7"/>
        <v>1.1599999999999999E-2</v>
      </c>
      <c r="M42" s="28"/>
      <c r="N42" s="31">
        <f t="shared" si="2"/>
        <v>5.9999999999999984E-4</v>
      </c>
      <c r="O42" s="32">
        <f t="shared" si="3"/>
        <v>5.4545454545454536E-2</v>
      </c>
    </row>
    <row r="43" spans="2:15" s="34" customFormat="1" x14ac:dyDescent="0.25">
      <c r="B43" s="180" t="s">
        <v>25</v>
      </c>
      <c r="C43" s="24"/>
      <c r="D43" s="181" t="s">
        <v>61</v>
      </c>
      <c r="E43" s="24"/>
      <c r="F43" s="182">
        <f>IF(ISBLANK(D14)=TRUE, 0, IF(D14="TOU", 0.64*$F$53+0.18*$F$54+0.18*$F$55, IF(AND(D14="non-TOU", G57&gt;0), F57,F56)))</f>
        <v>7.4999999999999997E-2</v>
      </c>
      <c r="G43" s="26">
        <f>$F$16*(1+$F$72)-$F$16</f>
        <v>7.2000000000000171</v>
      </c>
      <c r="H43" s="183">
        <f t="shared" si="6"/>
        <v>0.54000000000000126</v>
      </c>
      <c r="I43" s="57"/>
      <c r="J43" s="184">
        <f>IF(ISBLANK(D14)=TRUE, 0, IF(D14="TOU", 0.64*$F$53+0.18*$F$54+0.18*$F$55, IF(AND(D14="non-TOU", K57&gt;0), J57,J56)))</f>
        <v>7.4999999999999997E-2</v>
      </c>
      <c r="K43" s="26">
        <f>$F$16*(1+$J$72)-$F$16</f>
        <v>7.0649999999999977</v>
      </c>
      <c r="L43" s="183">
        <f t="shared" si="7"/>
        <v>0.52987499999999976</v>
      </c>
      <c r="M43" s="57"/>
      <c r="N43" s="185">
        <f t="shared" si="2"/>
        <v>-1.0125000000001494E-2</v>
      </c>
      <c r="O43" s="186">
        <f t="shared" si="3"/>
        <v>-1.8750000000002723E-2</v>
      </c>
    </row>
    <row r="44" spans="2:15" x14ac:dyDescent="0.25">
      <c r="B44" s="49" t="s">
        <v>26</v>
      </c>
      <c r="C44" s="22"/>
      <c r="D44" s="23" t="s">
        <v>60</v>
      </c>
      <c r="E44" s="24"/>
      <c r="F44" s="177"/>
      <c r="G44" s="26">
        <v>0</v>
      </c>
      <c r="H44" s="27">
        <f t="shared" si="6"/>
        <v>0</v>
      </c>
      <c r="I44" s="28"/>
      <c r="J44" s="177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ht="25.5" x14ac:dyDescent="0.25">
      <c r="B45" s="50" t="s">
        <v>27</v>
      </c>
      <c r="C45" s="51"/>
      <c r="D45" s="51"/>
      <c r="E45" s="51"/>
      <c r="F45" s="52"/>
      <c r="G45" s="53"/>
      <c r="H45" s="54">
        <f>SUM(H38:H44)+H37</f>
        <v>19.979800000000001</v>
      </c>
      <c r="I45" s="41"/>
      <c r="J45" s="53"/>
      <c r="K45" s="55"/>
      <c r="L45" s="54">
        <f>SUM(L38:L44)+L37</f>
        <v>17.088667222328265</v>
      </c>
      <c r="M45" s="41"/>
      <c r="N45" s="44">
        <f t="shared" si="2"/>
        <v>-2.8911327776717357</v>
      </c>
      <c r="O45" s="45">
        <f t="shared" ref="O45:O63" si="8">IF((H45)=0,"",(N45/H45))</f>
        <v>-0.14470278870017395</v>
      </c>
    </row>
    <row r="46" spans="2:15" x14ac:dyDescent="0.25">
      <c r="B46" s="28" t="s">
        <v>28</v>
      </c>
      <c r="C46" s="28"/>
      <c r="D46" s="56" t="s">
        <v>70</v>
      </c>
      <c r="E46" s="57"/>
      <c r="F46" s="29">
        <v>2.0665</v>
      </c>
      <c r="G46" s="58">
        <f>H16</f>
        <v>1</v>
      </c>
      <c r="H46" s="27">
        <f>G46*F46</f>
        <v>2.0665</v>
      </c>
      <c r="I46" s="28"/>
      <c r="J46" s="29">
        <v>2.154110286024467</v>
      </c>
      <c r="K46" s="59">
        <f>H16</f>
        <v>1</v>
      </c>
      <c r="L46" s="27">
        <f>K46*J46</f>
        <v>2.154110286024467</v>
      </c>
      <c r="M46" s="28"/>
      <c r="N46" s="31">
        <f t="shared" si="2"/>
        <v>8.7610286024466966E-2</v>
      </c>
      <c r="O46" s="32">
        <f t="shared" si="8"/>
        <v>4.2395492874167419E-2</v>
      </c>
    </row>
    <row r="47" spans="2:15" x14ac:dyDescent="0.25">
      <c r="B47" s="60" t="s">
        <v>29</v>
      </c>
      <c r="C47" s="28"/>
      <c r="D47" s="56" t="s">
        <v>70</v>
      </c>
      <c r="E47" s="57"/>
      <c r="F47" s="29">
        <v>1.5992999999999999</v>
      </c>
      <c r="G47" s="58">
        <f>G46</f>
        <v>1</v>
      </c>
      <c r="H47" s="27">
        <f>G47*F47</f>
        <v>1.5992999999999999</v>
      </c>
      <c r="I47" s="28"/>
      <c r="J47" s="29">
        <v>1.602796084037228</v>
      </c>
      <c r="K47" s="59">
        <f>K46</f>
        <v>1</v>
      </c>
      <c r="L47" s="27">
        <f>K47*J47</f>
        <v>1.602796084037228</v>
      </c>
      <c r="M47" s="28"/>
      <c r="N47" s="31">
        <f t="shared" si="2"/>
        <v>3.4960840372280089E-3</v>
      </c>
      <c r="O47" s="32">
        <f t="shared" si="8"/>
        <v>2.1860089021622014E-3</v>
      </c>
    </row>
    <row r="48" spans="2:15" x14ac:dyDescent="0.25">
      <c r="B48" s="50" t="s">
        <v>30</v>
      </c>
      <c r="C48" s="36"/>
      <c r="D48" s="36"/>
      <c r="E48" s="36"/>
      <c r="F48" s="61"/>
      <c r="G48" s="53"/>
      <c r="H48" s="54">
        <f>SUM(H45:H47)</f>
        <v>23.645600000000002</v>
      </c>
      <c r="I48" s="62"/>
      <c r="J48" s="63"/>
      <c r="K48" s="64"/>
      <c r="L48" s="54">
        <f>SUM(L45:L47)</f>
        <v>20.845573592389957</v>
      </c>
      <c r="M48" s="62"/>
      <c r="N48" s="44">
        <f t="shared" si="2"/>
        <v>-2.8000264076100443</v>
      </c>
      <c r="O48" s="45">
        <f t="shared" si="8"/>
        <v>-0.11841638222798509</v>
      </c>
    </row>
    <row r="49" spans="2:19" x14ac:dyDescent="0.25">
      <c r="B49" s="65" t="s">
        <v>31</v>
      </c>
      <c r="C49" s="22"/>
      <c r="D49" s="23" t="s">
        <v>61</v>
      </c>
      <c r="E49" s="24"/>
      <c r="F49" s="66">
        <v>4.4000000000000003E-3</v>
      </c>
      <c r="G49" s="58">
        <f>F16*(1+F72)</f>
        <v>157.20000000000002</v>
      </c>
      <c r="H49" s="67">
        <f t="shared" ref="H49:H55" si="9">G49*F49</f>
        <v>0.69168000000000007</v>
      </c>
      <c r="I49" s="28"/>
      <c r="J49" s="66">
        <v>4.4000000000000003E-3</v>
      </c>
      <c r="K49" s="59">
        <f>F16*(1+J72)</f>
        <v>157.065</v>
      </c>
      <c r="L49" s="67">
        <f t="shared" ref="L49:L55" si="10">K49*J49</f>
        <v>0.69108599999999998</v>
      </c>
      <c r="M49" s="28"/>
      <c r="N49" s="31">
        <f t="shared" si="2"/>
        <v>-5.9400000000009445E-4</v>
      </c>
      <c r="O49" s="68">
        <f t="shared" si="8"/>
        <v>-8.5877862595433495E-4</v>
      </c>
    </row>
    <row r="50" spans="2:19" x14ac:dyDescent="0.25">
      <c r="B50" s="65" t="s">
        <v>32</v>
      </c>
      <c r="C50" s="22"/>
      <c r="D50" s="23" t="s">
        <v>61</v>
      </c>
      <c r="E50" s="24"/>
      <c r="F50" s="66">
        <v>1.2999999999999999E-3</v>
      </c>
      <c r="G50" s="58">
        <f>G49</f>
        <v>157.20000000000002</v>
      </c>
      <c r="H50" s="67">
        <f t="shared" si="9"/>
        <v>0.20436000000000001</v>
      </c>
      <c r="I50" s="28"/>
      <c r="J50" s="66">
        <v>1.2999999999999999E-3</v>
      </c>
      <c r="K50" s="59">
        <f>K49</f>
        <v>157.065</v>
      </c>
      <c r="L50" s="67">
        <f t="shared" si="10"/>
        <v>0.20418449999999999</v>
      </c>
      <c r="M50" s="28"/>
      <c r="N50" s="31">
        <f t="shared" si="2"/>
        <v>-1.7550000000002286E-4</v>
      </c>
      <c r="O50" s="68">
        <f t="shared" si="8"/>
        <v>-8.5877862595431023E-4</v>
      </c>
    </row>
    <row r="51" spans="2:19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7">
        <f t="shared" si="9"/>
        <v>0.25</v>
      </c>
      <c r="I51" s="28"/>
      <c r="J51" s="176">
        <v>0.25</v>
      </c>
      <c r="K51" s="30">
        <v>1</v>
      </c>
      <c r="L51" s="67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25">
      <c r="B52" s="22" t="s">
        <v>34</v>
      </c>
      <c r="C52" s="22"/>
      <c r="D52" s="23" t="s">
        <v>61</v>
      </c>
      <c r="E52" s="24"/>
      <c r="F52" s="66">
        <v>7.0000000000000001E-3</v>
      </c>
      <c r="G52" s="69">
        <f>F16</f>
        <v>150</v>
      </c>
      <c r="H52" s="67">
        <f t="shared" si="9"/>
        <v>1.05</v>
      </c>
      <c r="I52" s="28"/>
      <c r="J52" s="66">
        <v>7.0000000000000001E-3</v>
      </c>
      <c r="K52" s="70">
        <f>F16</f>
        <v>150</v>
      </c>
      <c r="L52" s="67">
        <f t="shared" si="10"/>
        <v>1.05</v>
      </c>
      <c r="M52" s="28"/>
      <c r="N52" s="31">
        <f t="shared" si="2"/>
        <v>0</v>
      </c>
      <c r="O52" s="68">
        <f t="shared" si="8"/>
        <v>0</v>
      </c>
    </row>
    <row r="53" spans="2:19" ht="15.75" thickBot="1" x14ac:dyDescent="0.3">
      <c r="B53" s="49" t="s">
        <v>73</v>
      </c>
      <c r="C53" s="22"/>
      <c r="D53" s="23" t="s">
        <v>61</v>
      </c>
      <c r="E53" s="24"/>
      <c r="F53" s="66">
        <v>8.2699999999999996E-2</v>
      </c>
      <c r="G53" s="69">
        <f>F16</f>
        <v>150</v>
      </c>
      <c r="H53" s="67">
        <f t="shared" si="9"/>
        <v>12.404999999999999</v>
      </c>
      <c r="I53" s="28"/>
      <c r="J53" s="66">
        <v>8.2699999999999996E-2</v>
      </c>
      <c r="K53" s="69">
        <f>F16</f>
        <v>150</v>
      </c>
      <c r="L53" s="67">
        <f t="shared" si="10"/>
        <v>12.404999999999999</v>
      </c>
      <c r="M53" s="28"/>
      <c r="N53" s="31">
        <f t="shared" si="2"/>
        <v>0</v>
      </c>
      <c r="O53" s="68">
        <f t="shared" si="8"/>
        <v>0</v>
      </c>
      <c r="S53" s="72"/>
    </row>
    <row r="54" spans="2:19" ht="15.75" hidden="1" thickBot="1" x14ac:dyDescent="0.3">
      <c r="B54" s="49" t="s">
        <v>36</v>
      </c>
      <c r="C54" s="22"/>
      <c r="D54" s="23"/>
      <c r="E54" s="24"/>
      <c r="F54" s="71">
        <v>0.104</v>
      </c>
      <c r="G54" s="69">
        <v>0</v>
      </c>
      <c r="H54" s="67">
        <f t="shared" si="9"/>
        <v>0</v>
      </c>
      <c r="I54" s="28"/>
      <c r="J54" s="66">
        <v>0.104</v>
      </c>
      <c r="K54" s="69">
        <v>0</v>
      </c>
      <c r="L54" s="67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t="15.75" hidden="1" thickBot="1" x14ac:dyDescent="0.3">
      <c r="B55" s="12" t="s">
        <v>37</v>
      </c>
      <c r="C55" s="22"/>
      <c r="D55" s="23"/>
      <c r="E55" s="24"/>
      <c r="F55" s="71">
        <v>0.124</v>
      </c>
      <c r="G55" s="69">
        <v>0</v>
      </c>
      <c r="H55" s="67">
        <f t="shared" si="9"/>
        <v>0</v>
      </c>
      <c r="I55" s="28"/>
      <c r="J55" s="66">
        <v>0.124</v>
      </c>
      <c r="K55" s="69">
        <v>0</v>
      </c>
      <c r="L55" s="67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t="15.75" hidden="1" thickBot="1" x14ac:dyDescent="0.25">
      <c r="B56" s="179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150</v>
      </c>
      <c r="H56" s="67">
        <f>G56*F56</f>
        <v>11.25</v>
      </c>
      <c r="I56" s="79"/>
      <c r="J56" s="66">
        <v>7.4999999999999997E-2</v>
      </c>
      <c r="K56" s="78">
        <f>G56</f>
        <v>150</v>
      </c>
      <c r="L56" s="67">
        <f>K56*J56</f>
        <v>11.25</v>
      </c>
      <c r="M56" s="79"/>
      <c r="N56" s="80">
        <f t="shared" si="2"/>
        <v>0</v>
      </c>
      <c r="O56" s="68">
        <f t="shared" si="8"/>
        <v>0</v>
      </c>
    </row>
    <row r="57" spans="2:19" s="73" customFormat="1" ht="15.75" hidden="1" thickBot="1" x14ac:dyDescent="0.25">
      <c r="B57" s="179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0</v>
      </c>
      <c r="H57" s="67">
        <f>G57*F57</f>
        <v>0</v>
      </c>
      <c r="I57" s="79"/>
      <c r="J57" s="66">
        <v>8.7999999999999995E-2</v>
      </c>
      <c r="K57" s="78">
        <f>G57</f>
        <v>0</v>
      </c>
      <c r="L57" s="67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.75" hidden="1" thickBot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38.246639999999999</v>
      </c>
      <c r="I59" s="95"/>
      <c r="J59" s="96"/>
      <c r="K59" s="96"/>
      <c r="L59" s="94">
        <f>SUM(L49:L55,L48)</f>
        <v>35.445844092389962</v>
      </c>
      <c r="M59" s="97"/>
      <c r="N59" s="98">
        <f>L59-H59</f>
        <v>-2.8007959076100377</v>
      </c>
      <c r="O59" s="99">
        <f>IF((H59)=0,"",(N59/H59))</f>
        <v>-7.322985516139556E-2</v>
      </c>
      <c r="S59" s="72"/>
    </row>
    <row r="60" spans="2:19" ht="15.75" hidden="1" thickBot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4.9720632</v>
      </c>
      <c r="I60" s="104"/>
      <c r="J60" s="105">
        <v>0.13</v>
      </c>
      <c r="K60" s="104"/>
      <c r="L60" s="106">
        <f>L59*J60</f>
        <v>4.6079597320106949</v>
      </c>
      <c r="M60" s="107"/>
      <c r="N60" s="108">
        <f t="shared" si="2"/>
        <v>-0.36410346798930515</v>
      </c>
      <c r="O60" s="109">
        <f t="shared" si="8"/>
        <v>-7.3229855161395602E-2</v>
      </c>
      <c r="S60" s="72"/>
    </row>
    <row r="61" spans="2:19" ht="15.75" hidden="1" thickBot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43.2187032</v>
      </c>
      <c r="I61" s="104"/>
      <c r="J61" s="104"/>
      <c r="K61" s="104"/>
      <c r="L61" s="106">
        <f>L59+L60</f>
        <v>40.05380382440066</v>
      </c>
      <c r="M61" s="107"/>
      <c r="N61" s="108">
        <f t="shared" si="2"/>
        <v>-3.1648993755993402</v>
      </c>
      <c r="O61" s="109">
        <f t="shared" si="8"/>
        <v>-7.3229855161395505E-2</v>
      </c>
      <c r="S61" s="72"/>
    </row>
    <row r="62" spans="2:19" ht="15.75" hidden="1" customHeight="1" x14ac:dyDescent="0.3">
      <c r="B62" s="248" t="s">
        <v>43</v>
      </c>
      <c r="C62" s="248"/>
      <c r="D62" s="248"/>
      <c r="E62" s="22"/>
      <c r="F62" s="111"/>
      <c r="G62" s="102"/>
      <c r="H62" s="112">
        <f>ROUND(-H61*10%,2)</f>
        <v>-4.32</v>
      </c>
      <c r="I62" s="104"/>
      <c r="J62" s="104"/>
      <c r="K62" s="104"/>
      <c r="L62" s="113">
        <f>ROUND(-L61*10%,2)</f>
        <v>-4.01</v>
      </c>
      <c r="M62" s="107"/>
      <c r="N62" s="114">
        <f t="shared" si="2"/>
        <v>0.3100000000000005</v>
      </c>
      <c r="O62" s="115">
        <f t="shared" si="8"/>
        <v>-7.175925925925937E-2</v>
      </c>
    </row>
    <row r="63" spans="2:19" ht="15.75" hidden="1" thickBot="1" x14ac:dyDescent="0.3">
      <c r="B63" s="240" t="s">
        <v>44</v>
      </c>
      <c r="C63" s="240"/>
      <c r="D63" s="240"/>
      <c r="E63" s="116"/>
      <c r="F63" s="117"/>
      <c r="G63" s="118"/>
      <c r="H63" s="119">
        <f>H61+H62</f>
        <v>38.8987032</v>
      </c>
      <c r="I63" s="120"/>
      <c r="J63" s="120"/>
      <c r="K63" s="120"/>
      <c r="L63" s="121">
        <f>L61+L62</f>
        <v>36.043803824400662</v>
      </c>
      <c r="M63" s="122"/>
      <c r="N63" s="123">
        <f t="shared" si="2"/>
        <v>-2.8548993755993379</v>
      </c>
      <c r="O63" s="124">
        <f t="shared" si="8"/>
        <v>-7.3393176140621005E-2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38.246639999999999</v>
      </c>
      <c r="I65" s="136"/>
      <c r="J65" s="137"/>
      <c r="K65" s="137"/>
      <c r="L65" s="188">
        <f>SUM(L53,L48,L49:L52)</f>
        <v>35.445844092389947</v>
      </c>
      <c r="M65" s="138"/>
      <c r="N65" s="139">
        <f>L65-H65</f>
        <v>-2.8007959076100519</v>
      </c>
      <c r="O65" s="99">
        <f>IF((H65)=0,"",(N65/H65))</f>
        <v>-7.3229855161395935E-2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4.9720632</v>
      </c>
      <c r="I66" s="143"/>
      <c r="J66" s="144">
        <v>0.13</v>
      </c>
      <c r="K66" s="145"/>
      <c r="L66" s="146">
        <f>L65*J66</f>
        <v>4.6079597320106931</v>
      </c>
      <c r="M66" s="147"/>
      <c r="N66" s="148">
        <f>L66-H66</f>
        <v>-0.36410346798930693</v>
      </c>
      <c r="O66" s="109">
        <f>IF((H66)=0,"",(N66/H66))</f>
        <v>-7.3229855161395963E-2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43.2187032</v>
      </c>
      <c r="I67" s="143"/>
      <c r="J67" s="143"/>
      <c r="K67" s="143"/>
      <c r="L67" s="146">
        <f>L65+L66</f>
        <v>40.053803824400639</v>
      </c>
      <c r="M67" s="147"/>
      <c r="N67" s="148">
        <f>L67-H67</f>
        <v>-3.1648993755993615</v>
      </c>
      <c r="O67" s="109">
        <f>IF((H67)=0,"",(N67/H67))</f>
        <v>-7.322985516139599E-2</v>
      </c>
    </row>
    <row r="68" spans="1:15" s="73" customFormat="1" ht="15.75" customHeight="1" x14ac:dyDescent="0.2">
      <c r="B68" s="249" t="s">
        <v>43</v>
      </c>
      <c r="C68" s="249"/>
      <c r="D68" s="249"/>
      <c r="E68" s="75"/>
      <c r="F68" s="150"/>
      <c r="G68" s="151"/>
      <c r="H68" s="152">
        <f>ROUND(-H67*10%,2)</f>
        <v>-4.32</v>
      </c>
      <c r="I68" s="143"/>
      <c r="J68" s="143"/>
      <c r="K68" s="143"/>
      <c r="L68" s="153">
        <f>ROUND(-L67*10%,2)</f>
        <v>-4.01</v>
      </c>
      <c r="M68" s="147"/>
      <c r="N68" s="154">
        <f>L68-H68</f>
        <v>0.3100000000000005</v>
      </c>
      <c r="O68" s="115">
        <f>IF((H68)=0,"",(N68/H68))</f>
        <v>-7.175925925925937E-2</v>
      </c>
    </row>
    <row r="69" spans="1:15" s="73" customFormat="1" ht="13.5" thickBot="1" x14ac:dyDescent="0.25">
      <c r="B69" s="241" t="s">
        <v>46</v>
      </c>
      <c r="C69" s="241"/>
      <c r="D69" s="241"/>
      <c r="E69" s="155"/>
      <c r="F69" s="156"/>
      <c r="G69" s="157"/>
      <c r="H69" s="158">
        <f>SUM(H67:H68)</f>
        <v>38.8987032</v>
      </c>
      <c r="I69" s="159"/>
      <c r="J69" s="159"/>
      <c r="K69" s="159"/>
      <c r="L69" s="160">
        <f>SUM(L67:L68)</f>
        <v>36.043803824400641</v>
      </c>
      <c r="M69" s="161"/>
      <c r="N69" s="162">
        <f>L69-H69</f>
        <v>-2.8548993755993592</v>
      </c>
      <c r="O69" s="163">
        <f>IF((H69)=0,"",(N69/H69))</f>
        <v>-7.3393176140621547E-2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v>4.8000000000000001E-2</v>
      </c>
      <c r="J72" s="170">
        <f>'Res (100kWh)'!$J$74</f>
        <v>4.7100000000000003E-2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9:O9"/>
    <mergeCell ref="N1:O1"/>
    <mergeCell ref="N2:O2"/>
    <mergeCell ref="N3:O3"/>
    <mergeCell ref="N5:O5"/>
    <mergeCell ref="B8:O8"/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</mergeCells>
  <dataValidations count="3">
    <dataValidation type="list" allowBlank="1" showInputMessage="1" showErrorMessage="1" sqref="E46:E47 E38:E44 E21:E36 E49:E58 E70 E64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6" fitToHeight="0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>
    <tabColor theme="0" tint="-0.14999847407452621"/>
    <pageSetUpPr fitToPage="1"/>
  </sheetPr>
  <dimension ref="A1:T88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  <c r="P2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8-D</v>
      </c>
      <c r="O3" s="234"/>
      <c r="P3"/>
    </row>
    <row r="4" spans="1:20" s="2" customFormat="1" ht="9" customHeight="1" x14ac:dyDescent="0.25">
      <c r="L4" s="3"/>
      <c r="N4" s="232"/>
      <c r="O4"/>
      <c r="P4"/>
    </row>
    <row r="5" spans="1:20" s="2" customFormat="1" x14ac:dyDescent="0.25">
      <c r="L5" s="3" t="s">
        <v>75</v>
      </c>
      <c r="N5" s="234">
        <f>'Res (100kWh)'!$N$5:$O$5</f>
        <v>41985</v>
      </c>
      <c r="O5" s="234"/>
      <c r="P5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72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150</v>
      </c>
      <c r="G16" s="13" t="s">
        <v>7</v>
      </c>
      <c r="H16" s="14"/>
      <c r="I16" s="13"/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7.03</v>
      </c>
      <c r="G21" s="26">
        <v>1</v>
      </c>
      <c r="H21" s="27">
        <f>G21*F21</f>
        <v>7.03</v>
      </c>
      <c r="I21" s="28"/>
      <c r="J21" s="173">
        <v>5.2374000000000001</v>
      </c>
      <c r="K21" s="30">
        <v>1</v>
      </c>
      <c r="L21" s="27">
        <f>K21*J21</f>
        <v>5.2374000000000001</v>
      </c>
      <c r="M21" s="28"/>
      <c r="N21" s="31">
        <f>L21-H21</f>
        <v>-1.7926000000000002</v>
      </c>
      <c r="O21" s="32">
        <f>IF((H21)=0,"",(N21/H21))</f>
        <v>-0.25499288762446659</v>
      </c>
    </row>
    <row r="22" spans="2:15" ht="36.75" customHeight="1" x14ac:dyDescent="0.25">
      <c r="B22" s="65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46" t="s">
        <v>65</v>
      </c>
      <c r="C25" s="22"/>
      <c r="D25" s="23" t="s">
        <v>61</v>
      </c>
      <c r="E25" s="24"/>
      <c r="F25" s="25">
        <v>-2.0000000000000001E-4</v>
      </c>
      <c r="G25" s="178">
        <f>$F$16</f>
        <v>150</v>
      </c>
      <c r="H25" s="27">
        <f t="shared" si="0"/>
        <v>-3.0000000000000002E-2</v>
      </c>
      <c r="I25" s="28"/>
      <c r="J25" s="29"/>
      <c r="K25" s="178">
        <f>$F$16</f>
        <v>150</v>
      </c>
      <c r="L25" s="27">
        <f t="shared" si="1"/>
        <v>0</v>
      </c>
      <c r="M25" s="28"/>
      <c r="N25" s="31">
        <f t="shared" si="2"/>
        <v>3.0000000000000002E-2</v>
      </c>
      <c r="O25" s="32">
        <f t="shared" si="3"/>
        <v>-1</v>
      </c>
    </row>
    <row r="26" spans="2:15" x14ac:dyDescent="0.25">
      <c r="B26" s="46" t="s">
        <v>66</v>
      </c>
      <c r="C26" s="22"/>
      <c r="D26" s="23" t="s">
        <v>61</v>
      </c>
      <c r="E26" s="24"/>
      <c r="F26" s="25"/>
      <c r="G26" s="178">
        <f>$F$16</f>
        <v>150</v>
      </c>
      <c r="H26" s="27">
        <f t="shared" si="0"/>
        <v>0</v>
      </c>
      <c r="I26" s="28"/>
      <c r="J26" s="29">
        <v>-7.1368536247813147E-3</v>
      </c>
      <c r="K26" s="178">
        <f>$F$16</f>
        <v>150</v>
      </c>
      <c r="L26" s="27">
        <f t="shared" si="1"/>
        <v>-1.0705280437171971</v>
      </c>
      <c r="M26" s="28"/>
      <c r="N26" s="31">
        <f t="shared" si="2"/>
        <v>-1.0705280437171971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61</v>
      </c>
      <c r="E27" s="24"/>
      <c r="F27" s="25">
        <v>1.6199999999999999E-2</v>
      </c>
      <c r="G27" s="178">
        <f>$F$16</f>
        <v>150</v>
      </c>
      <c r="H27" s="27">
        <f t="shared" si="0"/>
        <v>2.4299999999999997</v>
      </c>
      <c r="I27" s="28"/>
      <c r="J27" s="29">
        <v>1.21E-2</v>
      </c>
      <c r="K27" s="178">
        <f>$F$16</f>
        <v>150</v>
      </c>
      <c r="L27" s="27">
        <f t="shared" si="1"/>
        <v>1.8149999999999999</v>
      </c>
      <c r="M27" s="28"/>
      <c r="N27" s="31">
        <f t="shared" si="2"/>
        <v>-0.61499999999999977</v>
      </c>
      <c r="O27" s="32">
        <f t="shared" si="3"/>
        <v>-0.25308641975308638</v>
      </c>
    </row>
    <row r="28" spans="2:15" hidden="1" x14ac:dyDescent="0.25">
      <c r="B28" s="22" t="s">
        <v>20</v>
      </c>
      <c r="C28" s="22"/>
      <c r="D28" s="23"/>
      <c r="E28" s="24"/>
      <c r="F28" s="25"/>
      <c r="G28" s="26">
        <f>$F$16</f>
        <v>150</v>
      </c>
      <c r="H28" s="27">
        <f t="shared" si="0"/>
        <v>0</v>
      </c>
      <c r="I28" s="28"/>
      <c r="J28" s="29"/>
      <c r="K28" s="26">
        <f t="shared" ref="K28:K36" si="4">$F$16</f>
        <v>150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25">
      <c r="B29" s="22" t="s">
        <v>21</v>
      </c>
      <c r="C29" s="22"/>
      <c r="D29" s="23"/>
      <c r="E29" s="24"/>
      <c r="F29" s="25"/>
      <c r="G29" s="26">
        <f>$F$16</f>
        <v>150</v>
      </c>
      <c r="H29" s="27">
        <f t="shared" si="0"/>
        <v>0</v>
      </c>
      <c r="I29" s="28"/>
      <c r="J29" s="29"/>
      <c r="K29" s="26">
        <f t="shared" si="4"/>
        <v>150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33"/>
      <c r="C30" s="22"/>
      <c r="D30" s="23"/>
      <c r="E30" s="24"/>
      <c r="F30" s="25"/>
      <c r="G30" s="26">
        <f t="shared" ref="G30:G36" si="5">$F$16</f>
        <v>150</v>
      </c>
      <c r="H30" s="27">
        <f t="shared" si="0"/>
        <v>0</v>
      </c>
      <c r="I30" s="28"/>
      <c r="J30" s="29"/>
      <c r="K30" s="26">
        <f t="shared" si="4"/>
        <v>150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si="5"/>
        <v>150</v>
      </c>
      <c r="H31" s="27">
        <f t="shared" si="0"/>
        <v>0</v>
      </c>
      <c r="I31" s="28"/>
      <c r="J31" s="29"/>
      <c r="K31" s="26">
        <f t="shared" si="4"/>
        <v>150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150</v>
      </c>
      <c r="H32" s="27">
        <f t="shared" si="0"/>
        <v>0</v>
      </c>
      <c r="I32" s="28"/>
      <c r="J32" s="29"/>
      <c r="K32" s="26">
        <f t="shared" si="4"/>
        <v>150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150</v>
      </c>
      <c r="H33" s="27">
        <f t="shared" si="0"/>
        <v>0</v>
      </c>
      <c r="I33" s="28"/>
      <c r="J33" s="29"/>
      <c r="K33" s="26">
        <f t="shared" si="4"/>
        <v>150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150</v>
      </c>
      <c r="H34" s="27">
        <f t="shared" si="0"/>
        <v>0</v>
      </c>
      <c r="I34" s="28"/>
      <c r="J34" s="29"/>
      <c r="K34" s="26">
        <f t="shared" si="4"/>
        <v>150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150</v>
      </c>
      <c r="H35" s="27">
        <f t="shared" si="0"/>
        <v>0</v>
      </c>
      <c r="I35" s="28"/>
      <c r="J35" s="29"/>
      <c r="K35" s="26">
        <f t="shared" si="4"/>
        <v>150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150</v>
      </c>
      <c r="H36" s="27">
        <f t="shared" si="0"/>
        <v>0</v>
      </c>
      <c r="I36" s="28"/>
      <c r="J36" s="29"/>
      <c r="K36" s="26">
        <f t="shared" si="4"/>
        <v>150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9.43</v>
      </c>
      <c r="I37" s="41"/>
      <c r="J37" s="42"/>
      <c r="K37" s="43"/>
      <c r="L37" s="40">
        <f>SUM(L21:L36)</f>
        <v>5.9818719562828022</v>
      </c>
      <c r="M37" s="41"/>
      <c r="N37" s="44">
        <f t="shared" si="2"/>
        <v>-3.4481280437171975</v>
      </c>
      <c r="O37" s="45">
        <f t="shared" si="3"/>
        <v>-0.36565514779609731</v>
      </c>
    </row>
    <row r="38" spans="2:15" x14ac:dyDescent="0.25">
      <c r="B38" s="46" t="s">
        <v>23</v>
      </c>
      <c r="C38" s="22"/>
      <c r="D38" s="56" t="s">
        <v>61</v>
      </c>
      <c r="E38" s="57"/>
      <c r="F38" s="29">
        <v>-1.8E-3</v>
      </c>
      <c r="G38" s="178">
        <f>F16</f>
        <v>150</v>
      </c>
      <c r="H38" s="27">
        <f t="shared" ref="H38:H44" si="6">G38*F38</f>
        <v>-0.27</v>
      </c>
      <c r="I38" s="28"/>
      <c r="J38" s="29">
        <v>-1.8653105439124077E-3</v>
      </c>
      <c r="K38" s="178">
        <f>F16</f>
        <v>150</v>
      </c>
      <c r="L38" s="27">
        <f t="shared" ref="L38:L44" si="7">K38*J38</f>
        <v>-0.27979658158686116</v>
      </c>
      <c r="M38" s="28"/>
      <c r="N38" s="31">
        <f t="shared" ref="N38:N44" si="8">L38-H38</f>
        <v>-9.7965815868611417E-3</v>
      </c>
      <c r="O38" s="32">
        <f t="shared" ref="O38:O43" si="9">IF((H38)=0,"",(N38/H38))</f>
        <v>3.6283635506893112E-2</v>
      </c>
    </row>
    <row r="39" spans="2:15" hidden="1" x14ac:dyDescent="0.25">
      <c r="B39" s="46"/>
      <c r="C39" s="22"/>
      <c r="D39" s="23" t="s">
        <v>61</v>
      </c>
      <c r="E39" s="24"/>
      <c r="F39" s="25"/>
      <c r="G39" s="178">
        <f>F16</f>
        <v>150</v>
      </c>
      <c r="H39" s="27">
        <f t="shared" si="6"/>
        <v>0</v>
      </c>
      <c r="I39" s="47"/>
      <c r="J39" s="29"/>
      <c r="K39" s="178">
        <f>F16</f>
        <v>150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hidden="1" x14ac:dyDescent="0.25">
      <c r="B40" s="46"/>
      <c r="C40" s="22"/>
      <c r="D40" s="23" t="s">
        <v>61</v>
      </c>
      <c r="E40" s="24"/>
      <c r="F40" s="25"/>
      <c r="G40" s="178">
        <f>F16</f>
        <v>150</v>
      </c>
      <c r="H40" s="27">
        <f t="shared" si="6"/>
        <v>0</v>
      </c>
      <c r="I40" s="47"/>
      <c r="J40" s="29"/>
      <c r="K40" s="178">
        <f>F16</f>
        <v>150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27.75" customHeight="1" x14ac:dyDescent="0.25">
      <c r="B41" s="46" t="s">
        <v>74</v>
      </c>
      <c r="C41" s="22"/>
      <c r="D41" s="23" t="s">
        <v>61</v>
      </c>
      <c r="E41" s="24"/>
      <c r="F41" s="29"/>
      <c r="G41" s="26">
        <f>$F$16</f>
        <v>150</v>
      </c>
      <c r="H41" s="27">
        <f t="shared" si="6"/>
        <v>0</v>
      </c>
      <c r="I41" s="47"/>
      <c r="J41" s="29">
        <v>0</v>
      </c>
      <c r="K41" s="26">
        <f>$F$16</f>
        <v>150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x14ac:dyDescent="0.25">
      <c r="B42" s="49" t="s">
        <v>24</v>
      </c>
      <c r="C42" s="22"/>
      <c r="D42" s="23" t="s">
        <v>61</v>
      </c>
      <c r="E42" s="24"/>
      <c r="F42" s="195">
        <v>4.0000000000000003E-5</v>
      </c>
      <c r="G42" s="178">
        <f>F16</f>
        <v>150</v>
      </c>
      <c r="H42" s="27">
        <f t="shared" si="6"/>
        <v>6.0000000000000001E-3</v>
      </c>
      <c r="I42" s="28"/>
      <c r="J42" s="196">
        <v>4.0000000000000003E-5</v>
      </c>
      <c r="K42" s="178">
        <f>F16</f>
        <v>150</v>
      </c>
      <c r="L42" s="27">
        <f t="shared" si="7"/>
        <v>6.0000000000000001E-3</v>
      </c>
      <c r="M42" s="28"/>
      <c r="N42" s="31">
        <f t="shared" si="8"/>
        <v>0</v>
      </c>
      <c r="O42" s="32">
        <f t="shared" si="9"/>
        <v>0</v>
      </c>
    </row>
    <row r="43" spans="2:15" s="34" customFormat="1" x14ac:dyDescent="0.25">
      <c r="B43" s="180" t="s">
        <v>25</v>
      </c>
      <c r="C43" s="24"/>
      <c r="D43" s="181" t="s">
        <v>61</v>
      </c>
      <c r="E43" s="24"/>
      <c r="F43" s="182">
        <f>IF(ISBLANK(D14)=TRUE, 0, IF(D14="TOU", 0.64*$F$53+0.18*$F$54+0.18*$F$55, IF(AND(D14="non-TOU", G57&gt;0), F57,F56)))</f>
        <v>7.4999999999999997E-2</v>
      </c>
      <c r="G43" s="26">
        <f>$F$16*(1+$F$72)-$F$16</f>
        <v>7.2000000000000171</v>
      </c>
      <c r="H43" s="183">
        <f t="shared" si="6"/>
        <v>0.54000000000000126</v>
      </c>
      <c r="I43" s="57"/>
      <c r="J43" s="184">
        <f>IF(ISBLANK(D14)=TRUE, 0, IF(D14="TOU", 0.64*$F$53+0.18*$F$54+0.18*$F$55, IF(AND(D14="non-TOU", K57&gt;0), J57,J56)))</f>
        <v>7.4999999999999997E-2</v>
      </c>
      <c r="K43" s="26">
        <f>$F$16*(1+$J$72)-$F$16</f>
        <v>7.0649999999999977</v>
      </c>
      <c r="L43" s="183">
        <f t="shared" si="7"/>
        <v>0.52987499999999976</v>
      </c>
      <c r="M43" s="57"/>
      <c r="N43" s="185">
        <f t="shared" si="8"/>
        <v>-1.0125000000001494E-2</v>
      </c>
      <c r="O43" s="186">
        <f t="shared" si="9"/>
        <v>-1.8750000000002723E-2</v>
      </c>
    </row>
    <row r="44" spans="2:15" x14ac:dyDescent="0.25">
      <c r="B44" s="49" t="s">
        <v>26</v>
      </c>
      <c r="C44" s="22"/>
      <c r="D44" s="23" t="s">
        <v>60</v>
      </c>
      <c r="E44" s="24"/>
      <c r="F44" s="177"/>
      <c r="G44" s="26">
        <v>0</v>
      </c>
      <c r="H44" s="27">
        <f t="shared" si="6"/>
        <v>0</v>
      </c>
      <c r="I44" s="28"/>
      <c r="J44" s="177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ht="25.5" x14ac:dyDescent="0.25">
      <c r="B45" s="50" t="s">
        <v>27</v>
      </c>
      <c r="C45" s="51"/>
      <c r="D45" s="51"/>
      <c r="E45" s="51"/>
      <c r="F45" s="52"/>
      <c r="G45" s="53"/>
      <c r="H45" s="54">
        <f>SUM(H38:H44)+H37</f>
        <v>9.7060000000000013</v>
      </c>
      <c r="I45" s="41"/>
      <c r="J45" s="53"/>
      <c r="K45" s="55"/>
      <c r="L45" s="54">
        <f>SUM(L38:L44)+L37</f>
        <v>6.2379503746959406</v>
      </c>
      <c r="M45" s="41"/>
      <c r="N45" s="44">
        <f t="shared" ref="N45:N63" si="10">L45-H45</f>
        <v>-3.4680496253040607</v>
      </c>
      <c r="O45" s="45">
        <f t="shared" ref="O45:O63" si="11">IF((H45)=0,"",(N45/H45))</f>
        <v>-0.35730987279044513</v>
      </c>
    </row>
    <row r="46" spans="2:15" x14ac:dyDescent="0.25">
      <c r="B46" s="28" t="s">
        <v>28</v>
      </c>
      <c r="C46" s="28"/>
      <c r="D46" s="56" t="s">
        <v>61</v>
      </c>
      <c r="E46" s="57"/>
      <c r="F46" s="29">
        <v>6.8999999999999999E-3</v>
      </c>
      <c r="G46" s="58">
        <f>F16*(1+F72)</f>
        <v>157.20000000000002</v>
      </c>
      <c r="H46" s="27">
        <f>G46*F46</f>
        <v>1.0846800000000001</v>
      </c>
      <c r="I46" s="28"/>
      <c r="J46" s="29">
        <v>7.1572331291590201E-3</v>
      </c>
      <c r="K46" s="59">
        <f>F16*(1+J72)</f>
        <v>157.065</v>
      </c>
      <c r="L46" s="27">
        <f>K46*J46</f>
        <v>1.1241508214313616</v>
      </c>
      <c r="M46" s="28"/>
      <c r="N46" s="31">
        <f t="shared" si="10"/>
        <v>3.9470821431361491E-2</v>
      </c>
      <c r="O46" s="32">
        <f t="shared" si="11"/>
        <v>3.6389369612569132E-2</v>
      </c>
    </row>
    <row r="47" spans="2:15" x14ac:dyDescent="0.25">
      <c r="B47" s="60" t="s">
        <v>29</v>
      </c>
      <c r="C47" s="28"/>
      <c r="D47" s="56" t="s">
        <v>61</v>
      </c>
      <c r="E47" s="57"/>
      <c r="F47" s="29">
        <v>5.1999999999999998E-3</v>
      </c>
      <c r="G47" s="58">
        <f>G46</f>
        <v>157.20000000000002</v>
      </c>
      <c r="H47" s="27">
        <f>G47*F47</f>
        <v>0.81744000000000006</v>
      </c>
      <c r="I47" s="28"/>
      <c r="J47" s="29">
        <v>5.1776170693712178E-3</v>
      </c>
      <c r="K47" s="59">
        <f>K46</f>
        <v>157.065</v>
      </c>
      <c r="L47" s="27">
        <f>K47*J47</f>
        <v>0.81322242500079034</v>
      </c>
      <c r="M47" s="28"/>
      <c r="N47" s="31">
        <f t="shared" si="10"/>
        <v>-4.2175749992097167E-3</v>
      </c>
      <c r="O47" s="32">
        <f t="shared" si="11"/>
        <v>-5.1594918271796299E-3</v>
      </c>
    </row>
    <row r="48" spans="2:15" x14ac:dyDescent="0.25">
      <c r="B48" s="50" t="s">
        <v>30</v>
      </c>
      <c r="C48" s="36"/>
      <c r="D48" s="36"/>
      <c r="E48" s="36"/>
      <c r="F48" s="61"/>
      <c r="G48" s="53"/>
      <c r="H48" s="54">
        <f>SUM(H45:H47)</f>
        <v>11.608120000000001</v>
      </c>
      <c r="I48" s="62"/>
      <c r="J48" s="63"/>
      <c r="K48" s="64"/>
      <c r="L48" s="54">
        <f>SUM(L45:L47)</f>
        <v>8.1753236211280917</v>
      </c>
      <c r="M48" s="62"/>
      <c r="N48" s="44">
        <f t="shared" si="10"/>
        <v>-3.4327963788719096</v>
      </c>
      <c r="O48" s="45">
        <f t="shared" si="11"/>
        <v>-0.29572371571554301</v>
      </c>
    </row>
    <row r="49" spans="2:19" x14ac:dyDescent="0.25">
      <c r="B49" s="65" t="s">
        <v>31</v>
      </c>
      <c r="C49" s="22"/>
      <c r="D49" s="23" t="s">
        <v>61</v>
      </c>
      <c r="E49" s="24"/>
      <c r="F49" s="66">
        <v>4.4000000000000003E-3</v>
      </c>
      <c r="G49" s="58">
        <f>F16*(1+F72)</f>
        <v>157.20000000000002</v>
      </c>
      <c r="H49" s="67">
        <f t="shared" ref="H49:H55" si="12">G49*F49</f>
        <v>0.69168000000000007</v>
      </c>
      <c r="I49" s="28"/>
      <c r="J49" s="66">
        <v>4.4000000000000003E-3</v>
      </c>
      <c r="K49" s="59">
        <f>F16*(1+J72)</f>
        <v>157.065</v>
      </c>
      <c r="L49" s="67">
        <f t="shared" ref="L49:L55" si="13">K49*J49</f>
        <v>0.69108599999999998</v>
      </c>
      <c r="M49" s="28"/>
      <c r="N49" s="31">
        <f t="shared" si="10"/>
        <v>-5.9400000000009445E-4</v>
      </c>
      <c r="O49" s="68">
        <f t="shared" si="11"/>
        <v>-8.5877862595433495E-4</v>
      </c>
    </row>
    <row r="50" spans="2:19" x14ac:dyDescent="0.25">
      <c r="B50" s="65" t="s">
        <v>32</v>
      </c>
      <c r="C50" s="22"/>
      <c r="D50" s="23" t="s">
        <v>61</v>
      </c>
      <c r="E50" s="24"/>
      <c r="F50" s="66">
        <v>1.2999999999999999E-3</v>
      </c>
      <c r="G50" s="58">
        <f>G49</f>
        <v>157.20000000000002</v>
      </c>
      <c r="H50" s="67">
        <f t="shared" si="12"/>
        <v>0.20436000000000001</v>
      </c>
      <c r="I50" s="28"/>
      <c r="J50" s="66">
        <v>1.2999999999999999E-3</v>
      </c>
      <c r="K50" s="59">
        <f>K49</f>
        <v>157.065</v>
      </c>
      <c r="L50" s="67">
        <f t="shared" si="13"/>
        <v>0.20418449999999999</v>
      </c>
      <c r="M50" s="28"/>
      <c r="N50" s="31">
        <f t="shared" si="10"/>
        <v>-1.7550000000002286E-4</v>
      </c>
      <c r="O50" s="68">
        <f t="shared" si="11"/>
        <v>-8.5877862595431023E-4</v>
      </c>
    </row>
    <row r="51" spans="2:19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7">
        <f t="shared" si="12"/>
        <v>0.25</v>
      </c>
      <c r="I51" s="28"/>
      <c r="J51" s="176">
        <v>0.25</v>
      </c>
      <c r="K51" s="30">
        <v>1</v>
      </c>
      <c r="L51" s="67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x14ac:dyDescent="0.25">
      <c r="B52" s="22" t="s">
        <v>34</v>
      </c>
      <c r="C52" s="22"/>
      <c r="D52" s="23" t="s">
        <v>61</v>
      </c>
      <c r="E52" s="24"/>
      <c r="F52" s="66">
        <v>7.0000000000000001E-3</v>
      </c>
      <c r="G52" s="69">
        <f>F16</f>
        <v>150</v>
      </c>
      <c r="H52" s="67">
        <f t="shared" si="12"/>
        <v>1.05</v>
      </c>
      <c r="I52" s="28"/>
      <c r="J52" s="66">
        <v>7.0000000000000001E-3</v>
      </c>
      <c r="K52" s="70">
        <f>F16</f>
        <v>150</v>
      </c>
      <c r="L52" s="67">
        <f t="shared" si="13"/>
        <v>1.05</v>
      </c>
      <c r="M52" s="28"/>
      <c r="N52" s="31">
        <f t="shared" si="10"/>
        <v>0</v>
      </c>
      <c r="O52" s="68">
        <f t="shared" si="11"/>
        <v>0</v>
      </c>
    </row>
    <row r="53" spans="2:19" ht="15.75" thickBot="1" x14ac:dyDescent="0.3">
      <c r="B53" s="49" t="s">
        <v>73</v>
      </c>
      <c r="C53" s="22"/>
      <c r="D53" s="23" t="s">
        <v>61</v>
      </c>
      <c r="E53" s="24"/>
      <c r="F53" s="66">
        <v>8.2699999999999996E-2</v>
      </c>
      <c r="G53" s="69">
        <f>F16</f>
        <v>150</v>
      </c>
      <c r="H53" s="67">
        <f t="shared" si="12"/>
        <v>12.404999999999999</v>
      </c>
      <c r="I53" s="28"/>
      <c r="J53" s="66">
        <v>8.2699999999999996E-2</v>
      </c>
      <c r="K53" s="69">
        <f>F16</f>
        <v>150</v>
      </c>
      <c r="L53" s="67">
        <f t="shared" si="13"/>
        <v>12.404999999999999</v>
      </c>
      <c r="M53" s="28"/>
      <c r="N53" s="31">
        <f t="shared" si="10"/>
        <v>0</v>
      </c>
      <c r="O53" s="68">
        <f t="shared" si="11"/>
        <v>0</v>
      </c>
      <c r="S53" s="72"/>
    </row>
    <row r="54" spans="2:19" hidden="1" x14ac:dyDescent="0.25">
      <c r="B54" s="49" t="s">
        <v>36</v>
      </c>
      <c r="C54" s="22"/>
      <c r="D54" s="23"/>
      <c r="E54" s="24"/>
      <c r="F54" s="71">
        <v>0.104</v>
      </c>
      <c r="G54" s="58">
        <v>0</v>
      </c>
      <c r="H54" s="67">
        <f t="shared" si="12"/>
        <v>0</v>
      </c>
      <c r="I54" s="28"/>
      <c r="J54" s="66">
        <v>0.104</v>
      </c>
      <c r="K54" s="58">
        <v>0</v>
      </c>
      <c r="L54" s="67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idden="1" x14ac:dyDescent="0.25">
      <c r="B55" s="12" t="s">
        <v>37</v>
      </c>
      <c r="C55" s="22"/>
      <c r="D55" s="23"/>
      <c r="E55" s="24"/>
      <c r="F55" s="71">
        <v>0.124</v>
      </c>
      <c r="G55" s="58">
        <v>0</v>
      </c>
      <c r="H55" s="67">
        <f t="shared" si="12"/>
        <v>0</v>
      </c>
      <c r="I55" s="28"/>
      <c r="J55" s="66">
        <v>0.124</v>
      </c>
      <c r="K55" s="58">
        <v>0</v>
      </c>
      <c r="L55" s="67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idden="1" x14ac:dyDescent="0.2">
      <c r="B56" s="179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150</v>
      </c>
      <c r="H56" s="67">
        <f>G56*F56</f>
        <v>11.25</v>
      </c>
      <c r="I56" s="79"/>
      <c r="J56" s="66">
        <v>7.4999999999999997E-2</v>
      </c>
      <c r="K56" s="78">
        <f>G56</f>
        <v>150</v>
      </c>
      <c r="L56" s="67">
        <f>K56*J56</f>
        <v>11.25</v>
      </c>
      <c r="M56" s="79"/>
      <c r="N56" s="80">
        <f t="shared" si="10"/>
        <v>0</v>
      </c>
      <c r="O56" s="68">
        <f t="shared" si="11"/>
        <v>0</v>
      </c>
    </row>
    <row r="57" spans="2:19" s="73" customFormat="1" ht="15.75" hidden="1" thickBot="1" x14ac:dyDescent="0.25">
      <c r="B57" s="179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0</v>
      </c>
      <c r="H57" s="67">
        <f>G57*F57</f>
        <v>0</v>
      </c>
      <c r="I57" s="79"/>
      <c r="J57" s="66">
        <v>8.7999999999999995E-2</v>
      </c>
      <c r="K57" s="78">
        <f>G57</f>
        <v>0</v>
      </c>
      <c r="L57" s="67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idden="1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26.209160000000001</v>
      </c>
      <c r="I59" s="95"/>
      <c r="J59" s="96"/>
      <c r="K59" s="96"/>
      <c r="L59" s="94">
        <f>SUM(L49:L55,L48)</f>
        <v>22.775594121128094</v>
      </c>
      <c r="M59" s="97"/>
      <c r="N59" s="98">
        <f>L59-H59</f>
        <v>-3.4335658788719066</v>
      </c>
      <c r="O59" s="99">
        <f>IF((H59)=0,"",(N59/H59))</f>
        <v>-0.13100633056808789</v>
      </c>
      <c r="S59" s="72"/>
    </row>
    <row r="60" spans="2:19" hidden="1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3.4071908000000004</v>
      </c>
      <c r="I60" s="104"/>
      <c r="J60" s="105">
        <v>0.13</v>
      </c>
      <c r="K60" s="104"/>
      <c r="L60" s="106">
        <f>L59*J60</f>
        <v>2.9608272357466525</v>
      </c>
      <c r="M60" s="107"/>
      <c r="N60" s="108">
        <f t="shared" si="10"/>
        <v>-0.44636356425334789</v>
      </c>
      <c r="O60" s="109">
        <f t="shared" si="11"/>
        <v>-0.13100633056808789</v>
      </c>
      <c r="S60" s="72"/>
    </row>
    <row r="61" spans="2:19" hidden="1" x14ac:dyDescent="0.25">
      <c r="B61" s="110" t="s">
        <v>42</v>
      </c>
      <c r="C61" s="22"/>
      <c r="D61" s="22"/>
      <c r="E61" s="22"/>
      <c r="F61" s="111"/>
      <c r="G61" s="102"/>
      <c r="H61" s="103">
        <f>H59+H60</f>
        <v>29.616350799999999</v>
      </c>
      <c r="I61" s="104"/>
      <c r="J61" s="104"/>
      <c r="K61" s="104"/>
      <c r="L61" s="106">
        <f>L59+L60</f>
        <v>25.736421356874747</v>
      </c>
      <c r="M61" s="107"/>
      <c r="N61" s="108">
        <f t="shared" si="10"/>
        <v>-3.8799294431252527</v>
      </c>
      <c r="O61" s="109">
        <f t="shared" si="11"/>
        <v>-0.13100633056808783</v>
      </c>
      <c r="S61" s="72"/>
    </row>
    <row r="62" spans="2:19" ht="15.75" hidden="1" customHeight="1" x14ac:dyDescent="0.25">
      <c r="B62" s="248" t="s">
        <v>43</v>
      </c>
      <c r="C62" s="248"/>
      <c r="D62" s="248"/>
      <c r="E62" s="22"/>
      <c r="F62" s="111"/>
      <c r="G62" s="102"/>
      <c r="H62" s="112">
        <f>ROUND(-H61*10%,2)</f>
        <v>-2.96</v>
      </c>
      <c r="I62" s="104"/>
      <c r="J62" s="104"/>
      <c r="K62" s="104"/>
      <c r="L62" s="113">
        <f>ROUND(-L61*10%,2)</f>
        <v>-2.57</v>
      </c>
      <c r="M62" s="107"/>
      <c r="N62" s="114">
        <f t="shared" si="10"/>
        <v>0.39000000000000012</v>
      </c>
      <c r="O62" s="115">
        <f t="shared" si="11"/>
        <v>-0.1317567567567568</v>
      </c>
    </row>
    <row r="63" spans="2:19" hidden="1" x14ac:dyDescent="0.25">
      <c r="B63" s="240" t="s">
        <v>44</v>
      </c>
      <c r="C63" s="240"/>
      <c r="D63" s="240"/>
      <c r="E63" s="116"/>
      <c r="F63" s="117"/>
      <c r="G63" s="118"/>
      <c r="H63" s="119">
        <f>H61+H62</f>
        <v>26.656350799999998</v>
      </c>
      <c r="I63" s="120"/>
      <c r="J63" s="120"/>
      <c r="K63" s="120"/>
      <c r="L63" s="121">
        <f>L61+L62</f>
        <v>23.166421356874746</v>
      </c>
      <c r="M63" s="122"/>
      <c r="N63" s="123">
        <f t="shared" si="10"/>
        <v>-3.4899294431252521</v>
      </c>
      <c r="O63" s="124">
        <f t="shared" si="11"/>
        <v>-0.13092300102552867</v>
      </c>
    </row>
    <row r="64" spans="2:19" s="73" customFormat="1" ht="8.25" hidden="1" customHeight="1" x14ac:dyDescent="0.2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26.209160000000004</v>
      </c>
      <c r="I65" s="136"/>
      <c r="J65" s="137"/>
      <c r="K65" s="137"/>
      <c r="L65" s="188">
        <f>SUM(L53,L48,L49:L52)</f>
        <v>22.775594121128091</v>
      </c>
      <c r="M65" s="138"/>
      <c r="N65" s="139">
        <f>L65-H65</f>
        <v>-3.4335658788719137</v>
      </c>
      <c r="O65" s="99">
        <f>IF((H65)=0,"",(N65/H65))</f>
        <v>-0.13100633056808814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3.4071908000000009</v>
      </c>
      <c r="I66" s="143"/>
      <c r="J66" s="144">
        <v>0.13</v>
      </c>
      <c r="K66" s="145"/>
      <c r="L66" s="146">
        <f>L65*J66</f>
        <v>2.9608272357466521</v>
      </c>
      <c r="M66" s="147"/>
      <c r="N66" s="148">
        <f>L66-H66</f>
        <v>-0.44636356425334878</v>
      </c>
      <c r="O66" s="109">
        <f>IF((H66)=0,"",(N66/H66))</f>
        <v>-0.13100633056808814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29.616350800000006</v>
      </c>
      <c r="I67" s="143"/>
      <c r="J67" s="143"/>
      <c r="K67" s="143"/>
      <c r="L67" s="146">
        <f>L65+L66</f>
        <v>25.736421356874743</v>
      </c>
      <c r="M67" s="147"/>
      <c r="N67" s="148">
        <f>L67-H67</f>
        <v>-3.8799294431252633</v>
      </c>
      <c r="O67" s="109">
        <f>IF((H67)=0,"",(N67/H67))</f>
        <v>-0.13100633056808816</v>
      </c>
    </row>
    <row r="68" spans="1:15" s="73" customFormat="1" ht="15.75" customHeight="1" x14ac:dyDescent="0.2">
      <c r="B68" s="249" t="s">
        <v>43</v>
      </c>
      <c r="C68" s="249"/>
      <c r="D68" s="249"/>
      <c r="E68" s="75"/>
      <c r="F68" s="150"/>
      <c r="G68" s="151"/>
      <c r="H68" s="152">
        <f>ROUND(-H67*10%,2)</f>
        <v>-2.96</v>
      </c>
      <c r="I68" s="143"/>
      <c r="J68" s="143"/>
      <c r="K68" s="143"/>
      <c r="L68" s="153">
        <f>ROUND(-L67*10%,2)</f>
        <v>-2.57</v>
      </c>
      <c r="M68" s="147"/>
      <c r="N68" s="154">
        <f>L68-H68</f>
        <v>0.39000000000000012</v>
      </c>
      <c r="O68" s="115">
        <f>IF((H68)=0,"",(N68/H68))</f>
        <v>-0.1317567567567568</v>
      </c>
    </row>
    <row r="69" spans="1:15" s="73" customFormat="1" ht="13.5" thickBot="1" x14ac:dyDescent="0.25">
      <c r="B69" s="241" t="s">
        <v>46</v>
      </c>
      <c r="C69" s="241"/>
      <c r="D69" s="241"/>
      <c r="E69" s="155"/>
      <c r="F69" s="156"/>
      <c r="G69" s="157"/>
      <c r="H69" s="158">
        <f>SUM(H67:H68)</f>
        <v>26.656350800000006</v>
      </c>
      <c r="I69" s="159"/>
      <c r="J69" s="159"/>
      <c r="K69" s="159"/>
      <c r="L69" s="160">
        <f>SUM(L67:L68)</f>
        <v>23.166421356874743</v>
      </c>
      <c r="M69" s="161"/>
      <c r="N69" s="162">
        <f>L69-H69</f>
        <v>-3.4899294431252628</v>
      </c>
      <c r="O69" s="163">
        <f>IF((H69)=0,"",(N69/H69))</f>
        <v>-0.13092300102552903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v>4.8000000000000001E-2</v>
      </c>
      <c r="J72" s="170">
        <f>'Res (100kWh)'!$J$74</f>
        <v>4.7100000000000003E-2</v>
      </c>
    </row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69:D69"/>
    <mergeCell ref="D19:D20"/>
    <mergeCell ref="N19:N20"/>
    <mergeCell ref="O19:O20"/>
    <mergeCell ref="B62:D62"/>
    <mergeCell ref="B63:D63"/>
    <mergeCell ref="B68:D68"/>
    <mergeCell ref="N18:O18"/>
    <mergeCell ref="N1:O1"/>
    <mergeCell ref="N2:O2"/>
    <mergeCell ref="N3:O3"/>
    <mergeCell ref="N5:O5"/>
    <mergeCell ref="B8:O8"/>
    <mergeCell ref="B9:O9"/>
    <mergeCell ref="D12:O12"/>
    <mergeCell ref="F18:H18"/>
    <mergeCell ref="J18:L18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6" fitToHeight="0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T27"/>
  <sheetViews>
    <sheetView zoomScaleNormal="100" workbookViewId="0">
      <selection activeCell="B8" sqref="B8:M27"/>
    </sheetView>
  </sheetViews>
  <sheetFormatPr defaultRowHeight="15" x14ac:dyDescent="0.25"/>
  <cols>
    <col min="1" max="1" width="1.7109375" customWidth="1"/>
    <col min="2" max="2" width="7.5703125" customWidth="1"/>
    <col min="3" max="3" width="4.7109375" customWidth="1"/>
    <col min="4" max="4" width="9.140625" bestFit="1" customWidth="1"/>
    <col min="5" max="5" width="5.5703125" bestFit="1" customWidth="1"/>
    <col min="6" max="6" width="10.140625" style="198" bestFit="1" customWidth="1"/>
    <col min="7" max="7" width="11.5703125" style="198" customWidth="1"/>
    <col min="8" max="8" width="11.85546875" style="198" bestFit="1" customWidth="1"/>
    <col min="9" max="9" width="12.7109375" style="198" bestFit="1" customWidth="1"/>
    <col min="10" max="11" width="11.140625" style="198" bestFit="1" customWidth="1"/>
    <col min="12" max="12" width="10.5703125" style="198" bestFit="1" customWidth="1"/>
    <col min="13" max="13" width="9.85546875" style="198" customWidth="1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P1"/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  <c r="P2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8-D</v>
      </c>
      <c r="O3" s="234"/>
      <c r="P3"/>
    </row>
    <row r="4" spans="1:20" s="2" customFormat="1" ht="9" customHeight="1" x14ac:dyDescent="0.25">
      <c r="L4" s="3"/>
      <c r="N4" s="232"/>
      <c r="O4"/>
      <c r="P4"/>
    </row>
    <row r="5" spans="1:20" s="2" customFormat="1" x14ac:dyDescent="0.25">
      <c r="L5" s="3" t="s">
        <v>75</v>
      </c>
      <c r="N5" s="234">
        <f>'Res (100kWh)'!$N$5:$O$5</f>
        <v>41985</v>
      </c>
      <c r="O5" s="234"/>
      <c r="P5"/>
    </row>
    <row r="6" spans="1:20" ht="21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0" ht="22.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0" ht="26.25" customHeight="1" thickBot="1" x14ac:dyDescent="0.3">
      <c r="B8" s="252" t="s">
        <v>76</v>
      </c>
      <c r="C8" s="253"/>
      <c r="D8" s="201" t="s">
        <v>77</v>
      </c>
      <c r="E8" s="201" t="s">
        <v>69</v>
      </c>
      <c r="F8" s="201" t="s">
        <v>85</v>
      </c>
      <c r="G8" s="201" t="s">
        <v>86</v>
      </c>
      <c r="H8" s="201" t="s">
        <v>78</v>
      </c>
      <c r="I8" s="201" t="s">
        <v>79</v>
      </c>
      <c r="J8" s="201" t="s">
        <v>83</v>
      </c>
      <c r="K8" s="201" t="s">
        <v>84</v>
      </c>
      <c r="L8" s="201" t="s">
        <v>89</v>
      </c>
      <c r="M8" s="202" t="s">
        <v>79</v>
      </c>
    </row>
    <row r="9" spans="1:20" x14ac:dyDescent="0.25">
      <c r="B9" s="265" t="s">
        <v>90</v>
      </c>
      <c r="C9" s="266"/>
      <c r="D9" s="229">
        <v>100</v>
      </c>
      <c r="E9" s="262"/>
      <c r="F9" s="211">
        <f>'Res (100kWh)'!$H$38</f>
        <v>18.63</v>
      </c>
      <c r="G9" s="211">
        <f>'Res (100kWh)'!$L$38</f>
        <v>18.51556859379545</v>
      </c>
      <c r="H9" s="211">
        <f>G9-F9</f>
        <v>-0.11443140620454884</v>
      </c>
      <c r="I9" s="212">
        <f>H9/F9</f>
        <v>-6.1423191736204421E-3</v>
      </c>
      <c r="J9" s="211">
        <f>'Res (100kWh)'!$H$65</f>
        <v>32.383231839999993</v>
      </c>
      <c r="K9" s="211">
        <f>'Res (100kWh)'!$L$65</f>
        <v>32.388878493953932</v>
      </c>
      <c r="L9" s="211">
        <f>K9-J9</f>
        <v>5.6466539539385963E-3</v>
      </c>
      <c r="M9" s="213">
        <f>L9/J9</f>
        <v>1.743696855779481E-4</v>
      </c>
    </row>
    <row r="10" spans="1:20" x14ac:dyDescent="0.25">
      <c r="B10" s="267"/>
      <c r="C10" s="268"/>
      <c r="D10" s="230">
        <v>250</v>
      </c>
      <c r="E10" s="263"/>
      <c r="F10" s="214">
        <f>'Res (250kWh)'!$H$38</f>
        <v>20.564999999999998</v>
      </c>
      <c r="G10" s="214">
        <f>'Res (250kWh)'!$L$38</f>
        <v>19.710040550078251</v>
      </c>
      <c r="H10" s="214">
        <f t="shared" ref="H10:H15" si="0">G10-F10</f>
        <v>-0.85495944992174699</v>
      </c>
      <c r="I10" s="215">
        <f t="shared" ref="I10:I15" si="1">H10/F10</f>
        <v>-4.1573520540809483E-2</v>
      </c>
      <c r="J10" s="214">
        <f>'Res (250kWh)'!$H$65</f>
        <v>52.923979600000003</v>
      </c>
      <c r="K10" s="214">
        <f>'Res (250kWh)'!$L$65</f>
        <v>52.355260779001092</v>
      </c>
      <c r="L10" s="214">
        <f t="shared" ref="L10:L15" si="2">K10-J10</f>
        <v>-0.56871882099891025</v>
      </c>
      <c r="M10" s="216">
        <f t="shared" ref="M10:M15" si="3">L10/J10</f>
        <v>-1.0745957225765958E-2</v>
      </c>
    </row>
    <row r="11" spans="1:20" x14ac:dyDescent="0.25">
      <c r="B11" s="267"/>
      <c r="C11" s="268"/>
      <c r="D11" s="230">
        <v>500</v>
      </c>
      <c r="E11" s="263"/>
      <c r="F11" s="214">
        <f>'Res (500kWh)'!$H$38</f>
        <v>23.79</v>
      </c>
      <c r="G11" s="214">
        <f>'Res (500kWh)'!$L$38</f>
        <v>21.700827143882925</v>
      </c>
      <c r="H11" s="214">
        <f t="shared" si="0"/>
        <v>-2.0891728561170737</v>
      </c>
      <c r="I11" s="215">
        <f t="shared" si="1"/>
        <v>-8.7817270118414198E-2</v>
      </c>
      <c r="J11" s="214">
        <f>'Res (500kWh)'!$H$65</f>
        <v>87.158559199999985</v>
      </c>
      <c r="K11" s="214">
        <f>'Res (500kWh)'!$L$65</f>
        <v>85.632564587413043</v>
      </c>
      <c r="L11" s="214">
        <f t="shared" si="2"/>
        <v>-1.5259946125869419</v>
      </c>
      <c r="M11" s="216">
        <f t="shared" si="3"/>
        <v>-1.7508258816960137E-2</v>
      </c>
      <c r="P11" s="194"/>
    </row>
    <row r="12" spans="1:20" s="192" customFormat="1" x14ac:dyDescent="0.25">
      <c r="B12" s="267"/>
      <c r="C12" s="268"/>
      <c r="D12" s="217">
        <v>800</v>
      </c>
      <c r="E12" s="263"/>
      <c r="F12" s="218">
        <f>'Res (800kWh)'!$H$38</f>
        <v>27.66</v>
      </c>
      <c r="G12" s="218">
        <f>'Res (800kWh)'!$L$38</f>
        <v>24.227817146075083</v>
      </c>
      <c r="H12" s="218">
        <f t="shared" si="0"/>
        <v>-3.4321828539249175</v>
      </c>
      <c r="I12" s="219">
        <f t="shared" si="1"/>
        <v>-0.12408470187725659</v>
      </c>
      <c r="J12" s="218">
        <f>'Res (800kWh)'!$H$65</f>
        <v>128.23005472000003</v>
      </c>
      <c r="K12" s="218">
        <f>'Res (800kWh)'!$L$65</f>
        <v>125.71132123878539</v>
      </c>
      <c r="L12" s="218">
        <f t="shared" si="2"/>
        <v>-2.5187334812146389</v>
      </c>
      <c r="M12" s="220">
        <f t="shared" si="3"/>
        <v>-1.9642302163205679E-2</v>
      </c>
      <c r="Q12"/>
      <c r="R12"/>
      <c r="S12"/>
      <c r="T12"/>
    </row>
    <row r="13" spans="1:20" x14ac:dyDescent="0.25">
      <c r="B13" s="267"/>
      <c r="C13" s="268"/>
      <c r="D13" s="221">
        <v>1000</v>
      </c>
      <c r="E13" s="263"/>
      <c r="F13" s="214">
        <f>'Res (1000kWh)'!$H$38</f>
        <v>30.240000000000002</v>
      </c>
      <c r="G13" s="214">
        <f>'Res (1000kWh)'!$L$38</f>
        <v>25.85988816101213</v>
      </c>
      <c r="H13" s="214">
        <f t="shared" si="0"/>
        <v>-4.3801118389878724</v>
      </c>
      <c r="I13" s="215">
        <f t="shared" si="1"/>
        <v>-0.14484496822049842</v>
      </c>
      <c r="J13" s="214">
        <f>'Res (1000kWh)'!$H$65</f>
        <v>155.6177184</v>
      </c>
      <c r="K13" s="214">
        <f>'Res (1000kWh)'!$L$65</f>
        <v>152.37773345159439</v>
      </c>
      <c r="L13" s="214">
        <f t="shared" si="2"/>
        <v>-3.2399849484056062</v>
      </c>
      <c r="M13" s="216">
        <f t="shared" si="3"/>
        <v>-2.0820154553850639E-2</v>
      </c>
    </row>
    <row r="14" spans="1:20" x14ac:dyDescent="0.25">
      <c r="B14" s="267"/>
      <c r="C14" s="268"/>
      <c r="D14" s="221">
        <v>1500</v>
      </c>
      <c r="E14" s="263"/>
      <c r="F14" s="214">
        <f>'Res (1500kWh)'!$H$38</f>
        <v>36.69</v>
      </c>
      <c r="G14" s="214">
        <f>'Res (1500kWh)'!$L$38</f>
        <v>29.940065698354729</v>
      </c>
      <c r="H14" s="214">
        <f t="shared" si="0"/>
        <v>-6.7499343016452684</v>
      </c>
      <c r="I14" s="215">
        <f t="shared" si="1"/>
        <v>-0.18397204419856278</v>
      </c>
      <c r="J14" s="214">
        <f>'Res (1500kWh)'!$H$65</f>
        <v>224.07687759999999</v>
      </c>
      <c r="K14" s="214">
        <f>'Res (1500kWh)'!$L$65</f>
        <v>219.03376398361689</v>
      </c>
      <c r="L14" s="214">
        <f t="shared" si="2"/>
        <v>-5.0431136163830956</v>
      </c>
      <c r="M14" s="216">
        <f t="shared" si="3"/>
        <v>-2.2506175873199939E-2</v>
      </c>
    </row>
    <row r="15" spans="1:20" ht="15.75" thickBot="1" x14ac:dyDescent="0.3">
      <c r="B15" s="269"/>
      <c r="C15" s="270"/>
      <c r="D15" s="222">
        <v>2000</v>
      </c>
      <c r="E15" s="264"/>
      <c r="F15" s="223">
        <f>'Res (2000kWh)'!$H$38</f>
        <v>43.14</v>
      </c>
      <c r="G15" s="223">
        <f>'Res (2000kWh)'!$L$38</f>
        <v>34.020243235697329</v>
      </c>
      <c r="H15" s="223">
        <f t="shared" si="0"/>
        <v>-9.1197567643026716</v>
      </c>
      <c r="I15" s="224">
        <f t="shared" si="1"/>
        <v>-0.21139909050307537</v>
      </c>
      <c r="J15" s="223">
        <f>'Res (2000kWh)'!$H$65</f>
        <v>292.54603680000002</v>
      </c>
      <c r="K15" s="223">
        <f>'Res (2000kWh)'!$L$65</f>
        <v>285.69979451563933</v>
      </c>
      <c r="L15" s="223">
        <f t="shared" si="2"/>
        <v>-6.8462422843606987</v>
      </c>
      <c r="M15" s="225">
        <f t="shared" si="3"/>
        <v>-2.3402273225944101E-2</v>
      </c>
    </row>
    <row r="16" spans="1:20" x14ac:dyDescent="0.25">
      <c r="B16" s="256" t="s">
        <v>91</v>
      </c>
      <c r="C16" s="257"/>
      <c r="D16" s="226">
        <v>1000</v>
      </c>
      <c r="E16" s="262"/>
      <c r="F16" s="211">
        <f>'GS&lt;50 (1,000kWh)'!$H$38</f>
        <v>49.239999999999995</v>
      </c>
      <c r="G16" s="211">
        <f>'GS&lt;50 (1,000kWh)'!$L$38</f>
        <v>39.821671147609209</v>
      </c>
      <c r="H16" s="211">
        <f>G16-F16</f>
        <v>-9.4183288523907862</v>
      </c>
      <c r="I16" s="212">
        <f>H16/F16</f>
        <v>-0.19127394095025968</v>
      </c>
      <c r="J16" s="211">
        <f>'GS&lt;50 (1,000kWh)'!$H$65</f>
        <v>173.98190239999997</v>
      </c>
      <c r="K16" s="211">
        <f>'GS&lt;50 (1,000kWh)'!$L$65</f>
        <v>166.61834116133423</v>
      </c>
      <c r="L16" s="211">
        <f>K16-J16</f>
        <v>-7.3635612386657385</v>
      </c>
      <c r="M16" s="213">
        <f>L16/J16</f>
        <v>-4.2323719519609872E-2</v>
      </c>
    </row>
    <row r="17" spans="2:20" s="192" customFormat="1" x14ac:dyDescent="0.25">
      <c r="B17" s="258"/>
      <c r="C17" s="259"/>
      <c r="D17" s="227">
        <v>2000</v>
      </c>
      <c r="E17" s="263"/>
      <c r="F17" s="218">
        <f>'GS&lt;50 (2,000kWh)'!$H$38</f>
        <v>65.740000000000009</v>
      </c>
      <c r="G17" s="218">
        <f>'GS&lt;50 (2,000kWh)'!$L$38</f>
        <v>52.773342295218413</v>
      </c>
      <c r="H17" s="218">
        <f t="shared" ref="H17:H19" si="4">G17-F17</f>
        <v>-12.966657704781596</v>
      </c>
      <c r="I17" s="219">
        <f t="shared" ref="I17:I19" si="5">H17/F17</f>
        <v>-0.19724152273777903</v>
      </c>
      <c r="J17" s="218">
        <f>'GS&lt;50 (2,000kWh)'!$H$65</f>
        <v>313.60240479999999</v>
      </c>
      <c r="K17" s="218">
        <f>'GS&lt;50 (2,000kWh)'!$L$65</f>
        <v>304.84838232266839</v>
      </c>
      <c r="L17" s="218">
        <f t="shared" ref="L17:L19" si="6">K17-J17</f>
        <v>-8.7540224773316027</v>
      </c>
      <c r="M17" s="220">
        <f t="shared" ref="M17:M19" si="7">L17/J17</f>
        <v>-2.7914398433629622E-2</v>
      </c>
      <c r="Q17"/>
      <c r="R17"/>
      <c r="S17"/>
      <c r="T17"/>
    </row>
    <row r="18" spans="2:20" x14ac:dyDescent="0.25">
      <c r="B18" s="258"/>
      <c r="C18" s="259"/>
      <c r="D18" s="221">
        <v>5000</v>
      </c>
      <c r="E18" s="263"/>
      <c r="F18" s="214">
        <f>'GS&lt;50 (5,000kWh)'!$H$38</f>
        <v>115.24000000000001</v>
      </c>
      <c r="G18" s="214">
        <f>'GS&lt;50 (5,000kWh)'!$L$38</f>
        <v>91.628355738046025</v>
      </c>
      <c r="H18" s="214">
        <f t="shared" si="4"/>
        <v>-23.611644261953984</v>
      </c>
      <c r="I18" s="215">
        <f t="shared" si="5"/>
        <v>-0.20489104704923622</v>
      </c>
      <c r="J18" s="214">
        <f>'GS&lt;50 (5,000kWh)'!$H$65</f>
        <v>732.48391200000003</v>
      </c>
      <c r="K18" s="214">
        <f>'GS&lt;50 (5,000kWh)'!$L$65</f>
        <v>719.53850580667108</v>
      </c>
      <c r="L18" s="214">
        <f t="shared" si="6"/>
        <v>-12.945406193328949</v>
      </c>
      <c r="M18" s="216">
        <f t="shared" si="7"/>
        <v>-1.7673297640056495E-2</v>
      </c>
    </row>
    <row r="19" spans="2:20" x14ac:dyDescent="0.25">
      <c r="B19" s="258"/>
      <c r="C19" s="259"/>
      <c r="D19" s="221">
        <v>10000</v>
      </c>
      <c r="E19" s="263"/>
      <c r="F19" s="214">
        <f>'GS&lt;50 (10,000kWh)'!$H$38</f>
        <v>197.74</v>
      </c>
      <c r="G19" s="214">
        <f>'GS&lt;50 (10,000kWh)'!$L$38</f>
        <v>156.38671147609205</v>
      </c>
      <c r="H19" s="214">
        <f t="shared" si="4"/>
        <v>-41.353288523907963</v>
      </c>
      <c r="I19" s="215">
        <f t="shared" si="5"/>
        <v>-0.20912960718068152</v>
      </c>
      <c r="J19" s="214">
        <f>'GS&lt;50 (10,000kWh)'!$H$65</f>
        <v>1430.6164239999998</v>
      </c>
      <c r="K19" s="214">
        <f>'GS&lt;50 (10,000kWh)'!$L$65</f>
        <v>1410.6987116133423</v>
      </c>
      <c r="L19" s="214">
        <f t="shared" si="6"/>
        <v>-19.917712386657513</v>
      </c>
      <c r="M19" s="216">
        <f t="shared" si="7"/>
        <v>-1.3922468701266297E-2</v>
      </c>
    </row>
    <row r="20" spans="2:20" ht="15.75" thickBot="1" x14ac:dyDescent="0.3">
      <c r="B20" s="260"/>
      <c r="C20" s="261"/>
      <c r="D20" s="222">
        <v>15000</v>
      </c>
      <c r="E20" s="264"/>
      <c r="F20" s="223">
        <f>'GS&lt;50 (15,000kWh)'!$H$38</f>
        <v>280.24</v>
      </c>
      <c r="G20" s="223">
        <f>'GS&lt;50 (15,000kWh)'!$L$38</f>
        <v>221.14506721413812</v>
      </c>
      <c r="H20" s="223">
        <f t="shared" ref="H20:H27" si="8">G20-F20</f>
        <v>-59.094932785861886</v>
      </c>
      <c r="I20" s="224">
        <f t="shared" ref="I20:I27" si="9">H20/F20</f>
        <v>-0.21087258344940724</v>
      </c>
      <c r="J20" s="223">
        <f>'GS&lt;50 (15,000kWh)'!$H$65</f>
        <v>2128.7489360000004</v>
      </c>
      <c r="K20" s="223">
        <f>'GS&lt;50 (15,000kWh)'!$L$65</f>
        <v>2101.8489174200131</v>
      </c>
      <c r="L20" s="223">
        <f t="shared" ref="L20:L27" si="10">K20-J20</f>
        <v>-26.900018579987318</v>
      </c>
      <c r="M20" s="225">
        <f t="shared" ref="M20:M27" si="11">L20/J20</f>
        <v>-1.2636538825726188E-2</v>
      </c>
    </row>
    <row r="21" spans="2:20" x14ac:dyDescent="0.25">
      <c r="B21" s="256" t="s">
        <v>87</v>
      </c>
      <c r="C21" s="257"/>
      <c r="D21" s="226">
        <v>20000</v>
      </c>
      <c r="E21" s="229">
        <v>60</v>
      </c>
      <c r="F21" s="211">
        <f>'GS 50-2999 (60kW)'!$H$38</f>
        <v>418.31400000000002</v>
      </c>
      <c r="G21" s="211">
        <f>'GS 50-2999 (60kW)'!$L$38</f>
        <v>320.49964741245026</v>
      </c>
      <c r="H21" s="211">
        <f t="shared" si="8"/>
        <v>-97.814352587549763</v>
      </c>
      <c r="I21" s="212">
        <f t="shared" si="9"/>
        <v>-0.23382997601693886</v>
      </c>
      <c r="J21" s="211">
        <f>'GS 50-2999 (60kW)'!$H$70</f>
        <v>2711.7161800000003</v>
      </c>
      <c r="K21" s="211">
        <f>'GS 50-2999 (60kW)'!$L$70</f>
        <v>2722.8873428776533</v>
      </c>
      <c r="L21" s="211">
        <f t="shared" si="10"/>
        <v>11.171162877652932</v>
      </c>
      <c r="M21" s="213">
        <f t="shared" si="11"/>
        <v>4.1195914823405049E-3</v>
      </c>
      <c r="P21" s="194"/>
    </row>
    <row r="22" spans="2:20" ht="15.75" thickBot="1" x14ac:dyDescent="0.3">
      <c r="B22" s="260"/>
      <c r="C22" s="261"/>
      <c r="D22" s="222">
        <v>40000</v>
      </c>
      <c r="E22" s="231">
        <v>100</v>
      </c>
      <c r="F22" s="223">
        <f>'GS 50-2999 (100kW)'!$H$38</f>
        <v>501.21000000000004</v>
      </c>
      <c r="G22" s="223">
        <f>'GS 50-2999 (100kW)'!$L$38</f>
        <v>305.07941235408367</v>
      </c>
      <c r="H22" s="223">
        <f t="shared" si="8"/>
        <v>-196.13058764591636</v>
      </c>
      <c r="I22" s="224">
        <f t="shared" si="9"/>
        <v>-0.39131419494007769</v>
      </c>
      <c r="J22" s="223">
        <f>'GS 50-2999 (100kW)'!$H$70</f>
        <v>4993.119020000001</v>
      </c>
      <c r="K22" s="223">
        <f>'GS 50-2999 (100kW)'!$L$70</f>
        <v>4977.5766121294218</v>
      </c>
      <c r="L22" s="223">
        <f t="shared" si="10"/>
        <v>-15.542407870579154</v>
      </c>
      <c r="M22" s="225">
        <f t="shared" si="11"/>
        <v>-3.1127653493385286E-3</v>
      </c>
    </row>
    <row r="23" spans="2:20" x14ac:dyDescent="0.25">
      <c r="B23" s="256" t="s">
        <v>81</v>
      </c>
      <c r="C23" s="257"/>
      <c r="D23" s="226">
        <v>900000</v>
      </c>
      <c r="E23" s="226">
        <v>3000</v>
      </c>
      <c r="F23" s="211">
        <f>'GS 3000-4999 (3,000kW)'!$H$37</f>
        <v>9133</v>
      </c>
      <c r="G23" s="211">
        <f>'GS 3000-4999 (3,000kW)'!$L$37</f>
        <v>-858.69345288491422</v>
      </c>
      <c r="H23" s="211">
        <f t="shared" si="8"/>
        <v>-9991.6934528849142</v>
      </c>
      <c r="I23" s="212">
        <f t="shared" si="9"/>
        <v>-1.0940209627597628</v>
      </c>
      <c r="J23" s="211">
        <f>'GS 3000-4999 (3,000kW)'!$H$69</f>
        <v>110442.28492400001</v>
      </c>
      <c r="K23" s="211">
        <f>'GS 3000-4999 (3,000kW)'!$L$69</f>
        <v>108436.00858595937</v>
      </c>
      <c r="L23" s="211">
        <f t="shared" si="10"/>
        <v>-2006.2763380406395</v>
      </c>
      <c r="M23" s="213">
        <f t="shared" si="11"/>
        <v>-1.8165835118507761E-2</v>
      </c>
      <c r="P23" s="194"/>
    </row>
    <row r="24" spans="2:20" ht="15.75" thickBot="1" x14ac:dyDescent="0.3">
      <c r="B24" s="260"/>
      <c r="C24" s="261"/>
      <c r="D24" s="222">
        <v>1800000</v>
      </c>
      <c r="E24" s="222">
        <v>5000</v>
      </c>
      <c r="F24" s="223">
        <f>'GS 3000-4999 (5,000kW)'!$H$37</f>
        <v>11325.6</v>
      </c>
      <c r="G24" s="223">
        <f>'GS 3000-4999 (5,000kW)'!$L$37</f>
        <v>-5914.5690881415239</v>
      </c>
      <c r="H24" s="223">
        <f t="shared" si="8"/>
        <v>-17240.169088141523</v>
      </c>
      <c r="I24" s="224">
        <f t="shared" si="9"/>
        <v>-1.5222300883080386</v>
      </c>
      <c r="J24" s="223">
        <f>'GS 3000-4999 (5,000kW)'!$H$69</f>
        <v>208847.70094000001</v>
      </c>
      <c r="K24" s="223">
        <f>'GS 3000-4999 (5,000kW)'!$L$69</f>
        <v>204880.82743993227</v>
      </c>
      <c r="L24" s="223">
        <f t="shared" si="10"/>
        <v>-3966.8735000677407</v>
      </c>
      <c r="M24" s="225">
        <f t="shared" si="11"/>
        <v>-1.8994097048774247E-2</v>
      </c>
    </row>
    <row r="25" spans="2:20" ht="40.5" customHeight="1" thickBot="1" x14ac:dyDescent="0.3">
      <c r="B25" s="254" t="s">
        <v>72</v>
      </c>
      <c r="C25" s="255"/>
      <c r="D25" s="228">
        <v>150</v>
      </c>
      <c r="E25" s="203"/>
      <c r="F25" s="204">
        <f>'USL (150kWh)'!H37</f>
        <v>9.43</v>
      </c>
      <c r="G25" s="204">
        <f>'USL (150kWh)'!L37</f>
        <v>5.9818719562828022</v>
      </c>
      <c r="H25" s="204">
        <f t="shared" si="8"/>
        <v>-3.4481280437171975</v>
      </c>
      <c r="I25" s="205">
        <f t="shared" si="9"/>
        <v>-0.36565514779609731</v>
      </c>
      <c r="J25" s="204">
        <f>'USL (150kWh)'!H69</f>
        <v>26.656350800000006</v>
      </c>
      <c r="K25" s="204">
        <f>'USL (150kWh)'!L69</f>
        <v>23.166421356874743</v>
      </c>
      <c r="L25" s="204">
        <f t="shared" si="10"/>
        <v>-3.4899294431252628</v>
      </c>
      <c r="M25" s="206">
        <f t="shared" si="11"/>
        <v>-0.13092300102552903</v>
      </c>
    </row>
    <row r="26" spans="2:20" ht="32.25" customHeight="1" thickBot="1" x14ac:dyDescent="0.3">
      <c r="B26" s="254" t="s">
        <v>71</v>
      </c>
      <c r="C26" s="255"/>
      <c r="D26" s="203">
        <v>150</v>
      </c>
      <c r="E26" s="203">
        <v>1</v>
      </c>
      <c r="F26" s="204">
        <f>'ST (1kW)'!H38</f>
        <v>30.5489</v>
      </c>
      <c r="G26" s="204">
        <f>'ST (1kW)'!L38</f>
        <v>44.017549489644608</v>
      </c>
      <c r="H26" s="204">
        <f t="shared" si="8"/>
        <v>13.468649489644609</v>
      </c>
      <c r="I26" s="205">
        <f t="shared" si="9"/>
        <v>0.44088819858144185</v>
      </c>
      <c r="J26" s="204">
        <f>'ST (1kW)'!H70</f>
        <v>49.995748447999993</v>
      </c>
      <c r="K26" s="204">
        <f>'ST (1kW)'!L70</f>
        <v>50.139422951188862</v>
      </c>
      <c r="L26" s="204">
        <f t="shared" si="10"/>
        <v>0.1436745031888691</v>
      </c>
      <c r="M26" s="206">
        <f t="shared" si="11"/>
        <v>2.873734420403833E-3</v>
      </c>
    </row>
    <row r="27" spans="2:20" ht="30.75" customHeight="1" thickBot="1" x14ac:dyDescent="0.3">
      <c r="B27" s="250" t="s">
        <v>82</v>
      </c>
      <c r="C27" s="251"/>
      <c r="D27" s="207">
        <v>150</v>
      </c>
      <c r="E27" s="207">
        <v>1</v>
      </c>
      <c r="F27" s="208">
        <f>'SL (1kW)'!H45</f>
        <v>19.979800000000001</v>
      </c>
      <c r="G27" s="208">
        <f>'SL (1kW)'!L45</f>
        <v>17.088667222328265</v>
      </c>
      <c r="H27" s="208">
        <f t="shared" si="8"/>
        <v>-2.8911327776717357</v>
      </c>
      <c r="I27" s="209">
        <f t="shared" si="9"/>
        <v>-0.14470278870017395</v>
      </c>
      <c r="J27" s="208">
        <f>'SL (1kW)'!H69</f>
        <v>38.8987032</v>
      </c>
      <c r="K27" s="208">
        <f>'SL (1kW)'!L69</f>
        <v>36.043803824400641</v>
      </c>
      <c r="L27" s="208">
        <f t="shared" si="10"/>
        <v>-2.8548993755993592</v>
      </c>
      <c r="M27" s="210">
        <f t="shared" si="11"/>
        <v>-7.3393176140621547E-2</v>
      </c>
    </row>
  </sheetData>
  <mergeCells count="14">
    <mergeCell ref="N1:O1"/>
    <mergeCell ref="N2:O2"/>
    <mergeCell ref="N3:O3"/>
    <mergeCell ref="N5:O5"/>
    <mergeCell ref="B27:C27"/>
    <mergeCell ref="B8:C8"/>
    <mergeCell ref="B26:C26"/>
    <mergeCell ref="B25:C25"/>
    <mergeCell ref="B16:C20"/>
    <mergeCell ref="E16:E20"/>
    <mergeCell ref="B21:C22"/>
    <mergeCell ref="B23:C24"/>
    <mergeCell ref="E9:E15"/>
    <mergeCell ref="B9:C15"/>
  </mergeCells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0" tint="-0.14999847407452621"/>
    <pageSetUpPr fitToPage="1"/>
  </sheetPr>
  <dimension ref="A1:T90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8-D</v>
      </c>
      <c r="O3" s="234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34">
        <f>'Res (100kWh)'!$N$5:$O$5</f>
        <v>41985</v>
      </c>
      <c r="O5" s="234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59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500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14.64</v>
      </c>
      <c r="G21" s="26">
        <v>1</v>
      </c>
      <c r="H21" s="27">
        <f>G21*F21</f>
        <v>14.64</v>
      </c>
      <c r="I21" s="28"/>
      <c r="J21" s="173">
        <v>16.850000000000001</v>
      </c>
      <c r="K21" s="30">
        <v>1</v>
      </c>
      <c r="L21" s="27">
        <f>K21*J21</f>
        <v>16.850000000000001</v>
      </c>
      <c r="M21" s="28"/>
      <c r="N21" s="31">
        <f>L21-H21</f>
        <v>2.2100000000000009</v>
      </c>
      <c r="O21" s="32">
        <f>IF((H21)=0,"",(N21/H21))</f>
        <v>0.15095628415300552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v>0.8495330863269237</v>
      </c>
      <c r="K24" s="30">
        <v>1</v>
      </c>
      <c r="L24" s="27">
        <f t="shared" si="1"/>
        <v>0.8495330863269237</v>
      </c>
      <c r="M24" s="28"/>
      <c r="N24" s="31">
        <f t="shared" si="2"/>
        <v>0.8495330863269237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v>100</v>
      </c>
      <c r="H25" s="27">
        <v>0</v>
      </c>
      <c r="I25" s="28"/>
      <c r="J25" s="29">
        <v>1.9720869946651326E-4</v>
      </c>
      <c r="K25" s="30">
        <v>100</v>
      </c>
      <c r="L25" s="27">
        <v>1.9720869946651325E-2</v>
      </c>
      <c r="M25" s="28"/>
      <c r="N25" s="31">
        <v>1.9720869946651325E-2</v>
      </c>
      <c r="O25" s="32" t="s">
        <v>92</v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500</v>
      </c>
      <c r="H26" s="27">
        <f t="shared" si="0"/>
        <v>-0.1</v>
      </c>
      <c r="I26" s="28"/>
      <c r="J26" s="173"/>
      <c r="K26" s="26">
        <f>$F$16</f>
        <v>500</v>
      </c>
      <c r="L26" s="27">
        <f t="shared" si="1"/>
        <v>0</v>
      </c>
      <c r="M26" s="28"/>
      <c r="N26" s="31">
        <f t="shared" si="2"/>
        <v>0.1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500</v>
      </c>
      <c r="H27" s="27">
        <f t="shared" si="0"/>
        <v>0</v>
      </c>
      <c r="I27" s="28"/>
      <c r="J27" s="29">
        <v>-7.1368536247813138E-3</v>
      </c>
      <c r="K27" s="26">
        <f>$F$16</f>
        <v>500</v>
      </c>
      <c r="L27" s="27">
        <f t="shared" si="1"/>
        <v>-3.5684268123906571</v>
      </c>
      <c r="M27" s="28"/>
      <c r="N27" s="31">
        <f t="shared" si="2"/>
        <v>-3.5684268123906571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v>1.3100000000000001E-2</v>
      </c>
      <c r="G28" s="26">
        <f>$F$16</f>
        <v>500</v>
      </c>
      <c r="H28" s="27">
        <f t="shared" si="0"/>
        <v>6.5500000000000007</v>
      </c>
      <c r="I28" s="28"/>
      <c r="J28" s="29">
        <v>1.5100000000000001E-2</v>
      </c>
      <c r="K28" s="26">
        <f>$F$16</f>
        <v>500</v>
      </c>
      <c r="L28" s="27">
        <f t="shared" si="1"/>
        <v>7.5500000000000007</v>
      </c>
      <c r="M28" s="28"/>
      <c r="N28" s="31">
        <f t="shared" si="2"/>
        <v>1</v>
      </c>
      <c r="O28" s="32">
        <f t="shared" si="3"/>
        <v>0.15267175572519082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500</v>
      </c>
      <c r="H29" s="27">
        <f t="shared" si="0"/>
        <v>0</v>
      </c>
      <c r="I29" s="28"/>
      <c r="J29" s="29"/>
      <c r="K29" s="26">
        <f t="shared" ref="K29:K37" si="4">$F$16</f>
        <v>500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500</v>
      </c>
      <c r="H30" s="27">
        <f t="shared" si="0"/>
        <v>0</v>
      </c>
      <c r="I30" s="28"/>
      <c r="J30" s="29"/>
      <c r="K30" s="26">
        <f t="shared" si="4"/>
        <v>500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5">$F$16</f>
        <v>500</v>
      </c>
      <c r="H31" s="27">
        <f t="shared" si="0"/>
        <v>0</v>
      </c>
      <c r="I31" s="28"/>
      <c r="J31" s="29"/>
      <c r="K31" s="26">
        <f t="shared" si="4"/>
        <v>500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500</v>
      </c>
      <c r="H32" s="27">
        <f t="shared" si="0"/>
        <v>0</v>
      </c>
      <c r="I32" s="28"/>
      <c r="J32" s="29"/>
      <c r="K32" s="26">
        <f t="shared" si="4"/>
        <v>500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500</v>
      </c>
      <c r="H33" s="27">
        <f t="shared" si="0"/>
        <v>0</v>
      </c>
      <c r="I33" s="28"/>
      <c r="J33" s="29"/>
      <c r="K33" s="26">
        <f t="shared" si="4"/>
        <v>500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500</v>
      </c>
      <c r="H34" s="27">
        <f t="shared" si="0"/>
        <v>0</v>
      </c>
      <c r="I34" s="28"/>
      <c r="J34" s="29"/>
      <c r="K34" s="26">
        <f t="shared" si="4"/>
        <v>500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500</v>
      </c>
      <c r="H35" s="27">
        <f t="shared" si="0"/>
        <v>0</v>
      </c>
      <c r="I35" s="28"/>
      <c r="J35" s="29"/>
      <c r="K35" s="26">
        <f t="shared" si="4"/>
        <v>500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500</v>
      </c>
      <c r="H36" s="27">
        <f t="shared" si="0"/>
        <v>0</v>
      </c>
      <c r="I36" s="28"/>
      <c r="J36" s="29"/>
      <c r="K36" s="26">
        <f t="shared" si="4"/>
        <v>500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5"/>
        <v>500</v>
      </c>
      <c r="H37" s="27">
        <f t="shared" si="0"/>
        <v>0</v>
      </c>
      <c r="I37" s="28"/>
      <c r="J37" s="29"/>
      <c r="K37" s="26">
        <f t="shared" si="4"/>
        <v>500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23.79</v>
      </c>
      <c r="I38" s="41"/>
      <c r="J38" s="42"/>
      <c r="K38" s="43"/>
      <c r="L38" s="40">
        <f>SUM(L21:L37)</f>
        <v>21.700827143882925</v>
      </c>
      <c r="M38" s="41"/>
      <c r="N38" s="44">
        <f t="shared" si="2"/>
        <v>-2.0891728561170737</v>
      </c>
      <c r="O38" s="45">
        <f t="shared" si="3"/>
        <v>-8.7817270118414198E-2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500</v>
      </c>
      <c r="H40" s="27">
        <f t="shared" ref="H40:H46" si="6">G40*F40</f>
        <v>-0.9</v>
      </c>
      <c r="I40" s="28"/>
      <c r="J40" s="29">
        <v>-8.2813333909562397E-4</v>
      </c>
      <c r="K40" s="26">
        <f>$F$16</f>
        <v>500</v>
      </c>
      <c r="L40" s="27">
        <f t="shared" ref="L40:L46" si="7">K40*J40</f>
        <v>-0.41406666954781196</v>
      </c>
      <c r="M40" s="28"/>
      <c r="N40" s="31">
        <f t="shared" ref="N40:N65" si="8">L40-H40</f>
        <v>0.48593333045218806</v>
      </c>
      <c r="O40" s="32">
        <f t="shared" ref="O40:O45" si="9">IF((H40)=0,"",(N40/H40))</f>
        <v>-0.53992592272465334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500</v>
      </c>
      <c r="H41" s="27">
        <f t="shared" si="6"/>
        <v>0</v>
      </c>
      <c r="I41" s="47"/>
      <c r="J41" s="29"/>
      <c r="K41" s="26">
        <f>$F$16</f>
        <v>500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500</v>
      </c>
      <c r="H42" s="27">
        <f t="shared" si="6"/>
        <v>0</v>
      </c>
      <c r="I42" s="47"/>
      <c r="J42" s="29"/>
      <c r="K42" s="26">
        <f>$F$16</f>
        <v>500</v>
      </c>
      <c r="L42" s="27">
        <f t="shared" si="7"/>
        <v>0</v>
      </c>
      <c r="M42" s="48"/>
      <c r="N42" s="31">
        <f t="shared" si="8"/>
        <v>0</v>
      </c>
      <c r="O42" s="32" t="str">
        <f t="shared" si="9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500</v>
      </c>
      <c r="H43" s="27">
        <f t="shared" si="6"/>
        <v>0</v>
      </c>
      <c r="I43" s="47"/>
      <c r="J43" s="29"/>
      <c r="K43" s="26">
        <f>$F$16</f>
        <v>500</v>
      </c>
      <c r="L43" s="27">
        <f t="shared" si="7"/>
        <v>0</v>
      </c>
      <c r="M43" s="48"/>
      <c r="N43" s="31">
        <f t="shared" si="8"/>
        <v>0</v>
      </c>
      <c r="O43" s="32" t="str">
        <f t="shared" si="9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500</v>
      </c>
      <c r="H44" s="27">
        <f t="shared" si="6"/>
        <v>0.02</v>
      </c>
      <c r="I44" s="28"/>
      <c r="J44" s="195">
        <v>4.0000000000000003E-5</v>
      </c>
      <c r="K44" s="26">
        <f>$F$16</f>
        <v>500</v>
      </c>
      <c r="L44" s="27">
        <f t="shared" si="7"/>
        <v>0.02</v>
      </c>
      <c r="M44" s="28"/>
      <c r="N44" s="31">
        <f t="shared" si="8"/>
        <v>0</v>
      </c>
      <c r="O44" s="32">
        <f t="shared" si="9"/>
        <v>0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24</v>
      </c>
      <c r="H45" s="183">
        <f t="shared" si="6"/>
        <v>2.2190400000000001</v>
      </c>
      <c r="I45" s="57"/>
      <c r="J45" s="184">
        <f>0.64*$F$55+0.18*$F$56+0.18*$F$57</f>
        <v>9.2460000000000001E-2</v>
      </c>
      <c r="K45" s="26">
        <f>$F$16*(1+$J$74)-$F$16</f>
        <v>23.549999999999955</v>
      </c>
      <c r="L45" s="183">
        <f t="shared" si="7"/>
        <v>2.1774329999999957</v>
      </c>
      <c r="M45" s="57"/>
      <c r="N45" s="185">
        <f t="shared" si="8"/>
        <v>-4.160700000000439E-2</v>
      </c>
      <c r="O45" s="186">
        <f t="shared" si="9"/>
        <v>-1.8750000000001977E-2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6"/>
        <v>0.79</v>
      </c>
      <c r="I46" s="28"/>
      <c r="J46" s="177">
        <v>0.79</v>
      </c>
      <c r="K46" s="26">
        <v>1</v>
      </c>
      <c r="L46" s="27">
        <f t="shared" si="7"/>
        <v>0.79</v>
      </c>
      <c r="M46" s="28"/>
      <c r="N46" s="31">
        <f t="shared" si="8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25.919039999999999</v>
      </c>
      <c r="I47" s="41"/>
      <c r="J47" s="53"/>
      <c r="K47" s="55"/>
      <c r="L47" s="54">
        <f>SUM(L39:L46)+L38</f>
        <v>24.27419347433511</v>
      </c>
      <c r="M47" s="41"/>
      <c r="N47" s="44">
        <f t="shared" si="8"/>
        <v>-1.6448465256648888</v>
      </c>
      <c r="O47" s="45">
        <f t="shared" ref="O47:O65" si="10">IF((H47)=0,"",(N47/H47))</f>
        <v>-6.3460935500114543E-2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524</v>
      </c>
      <c r="H48" s="27">
        <f>G48*F48</f>
        <v>3.8252000000000002</v>
      </c>
      <c r="I48" s="28"/>
      <c r="J48" s="29">
        <v>7.5910048339565368E-3</v>
      </c>
      <c r="K48" s="59">
        <f>F16*(1+J74)</f>
        <v>523.54999999999995</v>
      </c>
      <c r="L48" s="27">
        <f>K48*J48</f>
        <v>3.9742705808179446</v>
      </c>
      <c r="M48" s="28"/>
      <c r="N48" s="31">
        <f t="shared" si="8"/>
        <v>0.14907058081794444</v>
      </c>
      <c r="O48" s="32">
        <f t="shared" si="10"/>
        <v>3.8970663185701256E-2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524</v>
      </c>
      <c r="H49" s="27">
        <f>G49*F49</f>
        <v>2.9868000000000001</v>
      </c>
      <c r="I49" s="28"/>
      <c r="J49" s="29">
        <v>5.7169521807640556E-3</v>
      </c>
      <c r="K49" s="59">
        <f>K48</f>
        <v>523.54999999999995</v>
      </c>
      <c r="L49" s="27">
        <f>K49*J49</f>
        <v>2.9931103142390212</v>
      </c>
      <c r="M49" s="28"/>
      <c r="N49" s="31">
        <f t="shared" si="8"/>
        <v>6.3103142390210643E-3</v>
      </c>
      <c r="O49" s="32">
        <f t="shared" si="10"/>
        <v>2.1127341097566172E-3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32.73104</v>
      </c>
      <c r="I50" s="62"/>
      <c r="J50" s="63"/>
      <c r="K50" s="64"/>
      <c r="L50" s="54">
        <f>SUM(L47:L49)</f>
        <v>31.241574369392076</v>
      </c>
      <c r="M50" s="62"/>
      <c r="N50" s="44">
        <f t="shared" si="8"/>
        <v>-1.4894656306079241</v>
      </c>
      <c r="O50" s="45">
        <f t="shared" si="10"/>
        <v>-4.5506211553556629E-2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524</v>
      </c>
      <c r="H51" s="67">
        <f t="shared" ref="H51:H57" si="11">G51*F51</f>
        <v>2.3056000000000001</v>
      </c>
      <c r="I51" s="28"/>
      <c r="J51" s="66">
        <v>4.4000000000000003E-3</v>
      </c>
      <c r="K51" s="59">
        <f>K49</f>
        <v>523.54999999999995</v>
      </c>
      <c r="L51" s="67">
        <f t="shared" ref="L51:L57" si="12">K51*J51</f>
        <v>2.30362</v>
      </c>
      <c r="M51" s="28"/>
      <c r="N51" s="31">
        <f t="shared" si="8"/>
        <v>-1.9800000000000928E-3</v>
      </c>
      <c r="O51" s="68">
        <f t="shared" si="10"/>
        <v>-8.5877862595423867E-4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524</v>
      </c>
      <c r="H52" s="67">
        <f t="shared" si="11"/>
        <v>0.68119999999999992</v>
      </c>
      <c r="I52" s="28"/>
      <c r="J52" s="66">
        <v>1.2999999999999999E-3</v>
      </c>
      <c r="K52" s="59">
        <f>K49</f>
        <v>523.54999999999995</v>
      </c>
      <c r="L52" s="67">
        <f t="shared" si="12"/>
        <v>0.68061499999999986</v>
      </c>
      <c r="M52" s="28"/>
      <c r="N52" s="31">
        <f t="shared" si="8"/>
        <v>-5.850000000000577E-4</v>
      </c>
      <c r="O52" s="68">
        <f t="shared" si="10"/>
        <v>-8.5877862595428324E-4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1"/>
        <v>0.25</v>
      </c>
      <c r="I53" s="28"/>
      <c r="J53" s="176">
        <v>0.25</v>
      </c>
      <c r="K53" s="30">
        <v>1</v>
      </c>
      <c r="L53" s="67">
        <f t="shared" si="12"/>
        <v>0.25</v>
      </c>
      <c r="M53" s="28"/>
      <c r="N53" s="31">
        <f t="shared" si="8"/>
        <v>0</v>
      </c>
      <c r="O53" s="68">
        <f t="shared" si="10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500</v>
      </c>
      <c r="H54" s="67">
        <f t="shared" si="11"/>
        <v>3.5</v>
      </c>
      <c r="I54" s="28"/>
      <c r="J54" s="66">
        <v>7.0000000000000001E-3</v>
      </c>
      <c r="K54" s="70">
        <f>F16</f>
        <v>500</v>
      </c>
      <c r="L54" s="67">
        <f t="shared" si="12"/>
        <v>3.5</v>
      </c>
      <c r="M54" s="28"/>
      <c r="N54" s="31">
        <f t="shared" si="8"/>
        <v>0</v>
      </c>
      <c r="O54" s="68">
        <f t="shared" si="10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320</v>
      </c>
      <c r="H55" s="67">
        <f t="shared" si="11"/>
        <v>24</v>
      </c>
      <c r="I55" s="28"/>
      <c r="J55" s="66">
        <v>7.4999999999999997E-2</v>
      </c>
      <c r="K55" s="69">
        <f>G55</f>
        <v>320</v>
      </c>
      <c r="L55" s="67">
        <f t="shared" si="12"/>
        <v>24</v>
      </c>
      <c r="M55" s="28"/>
      <c r="N55" s="31">
        <f t="shared" si="8"/>
        <v>0</v>
      </c>
      <c r="O55" s="68">
        <f t="shared" si="10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90</v>
      </c>
      <c r="H56" s="67">
        <f t="shared" si="11"/>
        <v>10.08</v>
      </c>
      <c r="I56" s="28"/>
      <c r="J56" s="66">
        <v>0.112</v>
      </c>
      <c r="K56" s="69">
        <f>G56</f>
        <v>90</v>
      </c>
      <c r="L56" s="67">
        <f t="shared" si="12"/>
        <v>10.08</v>
      </c>
      <c r="M56" s="28"/>
      <c r="N56" s="31">
        <f t="shared" si="8"/>
        <v>0</v>
      </c>
      <c r="O56" s="68">
        <f t="shared" si="10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90</v>
      </c>
      <c r="H57" s="67">
        <f t="shared" si="11"/>
        <v>12.15</v>
      </c>
      <c r="I57" s="28"/>
      <c r="J57" s="66">
        <v>0.13500000000000001</v>
      </c>
      <c r="K57" s="69">
        <f>G57</f>
        <v>90</v>
      </c>
      <c r="L57" s="67">
        <f t="shared" si="12"/>
        <v>12.15</v>
      </c>
      <c r="M57" s="28"/>
      <c r="N57" s="31">
        <f t="shared" si="8"/>
        <v>0</v>
      </c>
      <c r="O57" s="68">
        <f t="shared" si="10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500</v>
      </c>
      <c r="H58" s="67">
        <f>G58*F58</f>
        <v>43</v>
      </c>
      <c r="I58" s="79"/>
      <c r="J58" s="66">
        <v>8.5999999999999993E-2</v>
      </c>
      <c r="K58" s="78">
        <f>G58</f>
        <v>500</v>
      </c>
      <c r="L58" s="67">
        <f>K58*J58</f>
        <v>43</v>
      </c>
      <c r="M58" s="79"/>
      <c r="N58" s="80">
        <f t="shared" si="8"/>
        <v>0</v>
      </c>
      <c r="O58" s="68">
        <f t="shared" si="10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0</v>
      </c>
      <c r="H59" s="67">
        <f>G59*F59</f>
        <v>0</v>
      </c>
      <c r="I59" s="79"/>
      <c r="J59" s="66">
        <v>0.10100000000000001</v>
      </c>
      <c r="K59" s="78">
        <f>G59</f>
        <v>0</v>
      </c>
      <c r="L59" s="67">
        <f>K59*J59</f>
        <v>0</v>
      </c>
      <c r="M59" s="79"/>
      <c r="N59" s="80">
        <f t="shared" si="8"/>
        <v>0</v>
      </c>
      <c r="O59" s="68" t="str">
        <f t="shared" si="10"/>
        <v/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85.697839999999999</v>
      </c>
      <c r="I61" s="95"/>
      <c r="J61" s="96"/>
      <c r="K61" s="96"/>
      <c r="L61" s="189">
        <f>SUM(L51:L57,L50)</f>
        <v>84.205809369392071</v>
      </c>
      <c r="M61" s="97"/>
      <c r="N61" s="98">
        <f>L61-H61</f>
        <v>-1.4920306306079283</v>
      </c>
      <c r="O61" s="99">
        <f>IF((H61)=0,"",(N61/H61))</f>
        <v>-1.7410364492359765E-2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11.140719199999999</v>
      </c>
      <c r="I62" s="104"/>
      <c r="J62" s="105">
        <v>0.13</v>
      </c>
      <c r="K62" s="104"/>
      <c r="L62" s="106">
        <f>L61*J62</f>
        <v>10.94675521802097</v>
      </c>
      <c r="M62" s="107"/>
      <c r="N62" s="108">
        <f t="shared" si="8"/>
        <v>-0.19396398197902975</v>
      </c>
      <c r="O62" s="109">
        <f t="shared" si="10"/>
        <v>-1.7410364492359682E-2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96.838559199999992</v>
      </c>
      <c r="I63" s="104"/>
      <c r="J63" s="104"/>
      <c r="K63" s="104"/>
      <c r="L63" s="106">
        <f>L61+L62</f>
        <v>95.152564587413039</v>
      </c>
      <c r="M63" s="107"/>
      <c r="N63" s="108">
        <f t="shared" si="8"/>
        <v>-1.6859946125869527</v>
      </c>
      <c r="O63" s="109">
        <f t="shared" si="10"/>
        <v>-1.7410364492359703E-2</v>
      </c>
      <c r="S63" s="72"/>
    </row>
    <row r="64" spans="2:19" ht="15.75" customHeight="1" x14ac:dyDescent="0.25">
      <c r="B64" s="248" t="s">
        <v>43</v>
      </c>
      <c r="C64" s="248"/>
      <c r="D64" s="248"/>
      <c r="E64" s="22"/>
      <c r="F64" s="111"/>
      <c r="G64" s="102"/>
      <c r="H64" s="112">
        <f>ROUND(-H63*10%,2)</f>
        <v>-9.68</v>
      </c>
      <c r="I64" s="104"/>
      <c r="J64" s="104"/>
      <c r="K64" s="104"/>
      <c r="L64" s="113">
        <f>ROUND(-L63*10%,2)</f>
        <v>-9.52</v>
      </c>
      <c r="M64" s="107"/>
      <c r="N64" s="114">
        <f t="shared" si="8"/>
        <v>0.16000000000000014</v>
      </c>
      <c r="O64" s="115">
        <f t="shared" si="10"/>
        <v>-1.6528925619834725E-2</v>
      </c>
    </row>
    <row r="65" spans="1:15" ht="15.75" thickBot="1" x14ac:dyDescent="0.3">
      <c r="B65" s="240" t="s">
        <v>44</v>
      </c>
      <c r="C65" s="240"/>
      <c r="D65" s="240"/>
      <c r="E65" s="116"/>
      <c r="F65" s="117"/>
      <c r="G65" s="118"/>
      <c r="H65" s="119">
        <f>H63+H64</f>
        <v>87.158559199999985</v>
      </c>
      <c r="I65" s="120"/>
      <c r="J65" s="120"/>
      <c r="K65" s="120"/>
      <c r="L65" s="121">
        <f>L63+L64</f>
        <v>85.632564587413043</v>
      </c>
      <c r="M65" s="122"/>
      <c r="N65" s="123">
        <f t="shared" si="8"/>
        <v>-1.5259946125869419</v>
      </c>
      <c r="O65" s="124">
        <f t="shared" si="10"/>
        <v>-1.7508258816960137E-2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82.46784000000001</v>
      </c>
      <c r="I67" s="136"/>
      <c r="J67" s="137"/>
      <c r="K67" s="137"/>
      <c r="L67" s="188">
        <f>SUM(L58:L59,L50,L51:L54)</f>
        <v>80.975809369392081</v>
      </c>
      <c r="M67" s="138"/>
      <c r="N67" s="139">
        <f>L67-H67</f>
        <v>-1.4920306306079283</v>
      </c>
      <c r="O67" s="99">
        <f>IF((H67)=0,"",(N67/H67))</f>
        <v>-1.8092272461700563E-2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10.720819200000001</v>
      </c>
      <c r="I68" s="143"/>
      <c r="J68" s="144">
        <v>0.13</v>
      </c>
      <c r="K68" s="145"/>
      <c r="L68" s="146">
        <f>L67*J68</f>
        <v>10.526855218020971</v>
      </c>
      <c r="M68" s="147"/>
      <c r="N68" s="148">
        <f>L68-H68</f>
        <v>-0.19396398197902975</v>
      </c>
      <c r="O68" s="109">
        <f>IF((H68)=0,"",(N68/H68))</f>
        <v>-1.8092272461700476E-2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93.188659200000018</v>
      </c>
      <c r="I69" s="143"/>
      <c r="J69" s="143"/>
      <c r="K69" s="143"/>
      <c r="L69" s="146">
        <f>L67+L68</f>
        <v>91.502664587413051</v>
      </c>
      <c r="M69" s="147"/>
      <c r="N69" s="148">
        <f>L69-H69</f>
        <v>-1.6859946125869669</v>
      </c>
      <c r="O69" s="109">
        <f>IF((H69)=0,"",(N69/H69))</f>
        <v>-1.8092272461700646E-2</v>
      </c>
    </row>
    <row r="70" spans="1:15" s="73" customFormat="1" ht="15.75" customHeight="1" x14ac:dyDescent="0.2">
      <c r="B70" s="249" t="s">
        <v>43</v>
      </c>
      <c r="C70" s="249"/>
      <c r="D70" s="249"/>
      <c r="E70" s="75"/>
      <c r="F70" s="150"/>
      <c r="G70" s="151"/>
      <c r="H70" s="152">
        <f>ROUND(-H69*10%,2)</f>
        <v>-9.32</v>
      </c>
      <c r="I70" s="143"/>
      <c r="J70" s="143"/>
      <c r="K70" s="143"/>
      <c r="L70" s="153">
        <f>ROUND(-L69*10%,2)</f>
        <v>-9.15</v>
      </c>
      <c r="M70" s="147"/>
      <c r="N70" s="154">
        <f>L70-H70</f>
        <v>0.16999999999999993</v>
      </c>
      <c r="O70" s="115">
        <f>IF((H70)=0,"",(N70/H70))</f>
        <v>-1.8240343347639475E-2</v>
      </c>
    </row>
    <row r="71" spans="1:15" s="73" customFormat="1" ht="13.5" thickBot="1" x14ac:dyDescent="0.25">
      <c r="B71" s="241" t="s">
        <v>46</v>
      </c>
      <c r="C71" s="241"/>
      <c r="D71" s="241"/>
      <c r="E71" s="155"/>
      <c r="F71" s="156"/>
      <c r="G71" s="157"/>
      <c r="H71" s="158">
        <f>SUM(H69:H70)</f>
        <v>83.868659200000025</v>
      </c>
      <c r="I71" s="159"/>
      <c r="J71" s="159"/>
      <c r="K71" s="159"/>
      <c r="L71" s="160">
        <f>SUM(L69:L70)</f>
        <v>82.352664587413045</v>
      </c>
      <c r="M71" s="161"/>
      <c r="N71" s="162">
        <f>L71-H71</f>
        <v>-1.5159946125869794</v>
      </c>
      <c r="O71" s="163">
        <f>IF((H71)=0,"",(N71/H71))</f>
        <v>-1.8075817916342451E-2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9:O9"/>
    <mergeCell ref="N1:O1"/>
    <mergeCell ref="N2:O2"/>
    <mergeCell ref="N3:O3"/>
    <mergeCell ref="N5:O5"/>
    <mergeCell ref="B8:O8"/>
    <mergeCell ref="B64:D64"/>
    <mergeCell ref="B65:D65"/>
    <mergeCell ref="B70:D70"/>
    <mergeCell ref="B71:D71"/>
    <mergeCell ref="D12:O12"/>
    <mergeCell ref="F18:H18"/>
    <mergeCell ref="J18:L18"/>
    <mergeCell ref="N18:O18"/>
    <mergeCell ref="D19:D20"/>
    <mergeCell ref="N19:N20"/>
    <mergeCell ref="O19:O20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48:E49 E51:E60 E39:E46 E66 E72 E21:E24 E26:E37">
      <formula1>#REF!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theme="0" tint="-0.14999847407452621"/>
    <pageSetUpPr fitToPage="1"/>
  </sheetPr>
  <dimension ref="A1:T90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8-D</v>
      </c>
      <c r="O3" s="234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34">
        <f>'Res (100kWh)'!$N$5:$O$5</f>
        <v>41985</v>
      </c>
      <c r="O5" s="234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59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800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14.64</v>
      </c>
      <c r="G21" s="26">
        <v>1</v>
      </c>
      <c r="H21" s="27">
        <f>G21*F21</f>
        <v>14.64</v>
      </c>
      <c r="I21" s="28"/>
      <c r="J21" s="173">
        <v>16.850000000000001</v>
      </c>
      <c r="K21" s="30">
        <v>1</v>
      </c>
      <c r="L21" s="27">
        <f>K21*J21</f>
        <v>16.850000000000001</v>
      </c>
      <c r="M21" s="28"/>
      <c r="N21" s="31">
        <f>L21-H21</f>
        <v>2.2100000000000009</v>
      </c>
      <c r="O21" s="32">
        <f>IF((H21)=0,"",(N21/H21))</f>
        <v>0.15095628415300552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v>0.8495330863269237</v>
      </c>
      <c r="K24" s="30">
        <v>1</v>
      </c>
      <c r="L24" s="27">
        <f t="shared" si="1"/>
        <v>0.8495330863269237</v>
      </c>
      <c r="M24" s="28"/>
      <c r="N24" s="31">
        <f t="shared" si="2"/>
        <v>0.8495330863269237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:G30" si="4">$F$16</f>
        <v>800</v>
      </c>
      <c r="H25" s="27">
        <f t="shared" si="0"/>
        <v>0</v>
      </c>
      <c r="I25" s="28"/>
      <c r="J25" s="29">
        <v>1.9720869946651326E-4</v>
      </c>
      <c r="K25" s="26">
        <f>$F$16</f>
        <v>800</v>
      </c>
      <c r="L25" s="27">
        <f t="shared" ref="L25" si="5">K25*J25</f>
        <v>0.1577669595732106</v>
      </c>
      <c r="M25" s="28"/>
      <c r="N25" s="31">
        <f t="shared" ref="N25" si="6">L25-H25</f>
        <v>0.1577669595732106</v>
      </c>
      <c r="O25" s="32" t="str">
        <f t="shared" ref="O25" si="7">IF((H25)=0,"",(N25/H25))</f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 t="shared" si="4"/>
        <v>800</v>
      </c>
      <c r="H26" s="27">
        <f t="shared" si="0"/>
        <v>-0.16</v>
      </c>
      <c r="I26" s="28"/>
      <c r="J26" s="173"/>
      <c r="K26" s="26">
        <f>$F$16</f>
        <v>800</v>
      </c>
      <c r="L26" s="27">
        <f t="shared" si="1"/>
        <v>0</v>
      </c>
      <c r="M26" s="28"/>
      <c r="N26" s="31">
        <f t="shared" si="2"/>
        <v>0.16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 t="shared" si="4"/>
        <v>800</v>
      </c>
      <c r="H27" s="27">
        <f t="shared" si="0"/>
        <v>0</v>
      </c>
      <c r="I27" s="28"/>
      <c r="J27" s="29">
        <v>-7.1368536247813138E-3</v>
      </c>
      <c r="K27" s="26">
        <f>$F$16</f>
        <v>800</v>
      </c>
      <c r="L27" s="27">
        <f t="shared" si="1"/>
        <v>-5.7094828998250513</v>
      </c>
      <c r="M27" s="28"/>
      <c r="N27" s="31">
        <f t="shared" si="2"/>
        <v>-5.7094828998250513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v>1.3100000000000001E-2</v>
      </c>
      <c r="G28" s="26">
        <f t="shared" si="4"/>
        <v>800</v>
      </c>
      <c r="H28" s="27">
        <f t="shared" si="0"/>
        <v>10.48</v>
      </c>
      <c r="I28" s="28"/>
      <c r="J28" s="29">
        <v>1.5100000000000001E-2</v>
      </c>
      <c r="K28" s="26">
        <f>$F$16</f>
        <v>800</v>
      </c>
      <c r="L28" s="27">
        <f t="shared" si="1"/>
        <v>12.08</v>
      </c>
      <c r="M28" s="28"/>
      <c r="N28" s="31">
        <f t="shared" si="2"/>
        <v>1.5999999999999996</v>
      </c>
      <c r="O28" s="32">
        <f t="shared" si="3"/>
        <v>0.15267175572519079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 t="shared" si="4"/>
        <v>800</v>
      </c>
      <c r="H29" s="27">
        <f t="shared" si="0"/>
        <v>0</v>
      </c>
      <c r="I29" s="28"/>
      <c r="J29" s="29"/>
      <c r="K29" s="26">
        <f t="shared" ref="K29:K37" si="8">$F$16</f>
        <v>800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 t="shared" si="4"/>
        <v>800</v>
      </c>
      <c r="H30" s="27">
        <f t="shared" si="0"/>
        <v>0</v>
      </c>
      <c r="I30" s="28"/>
      <c r="J30" s="29"/>
      <c r="K30" s="26">
        <f t="shared" si="8"/>
        <v>800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9">$F$16</f>
        <v>800</v>
      </c>
      <c r="H31" s="27">
        <f t="shared" si="0"/>
        <v>0</v>
      </c>
      <c r="I31" s="28"/>
      <c r="J31" s="29"/>
      <c r="K31" s="26">
        <f t="shared" si="8"/>
        <v>800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9"/>
        <v>800</v>
      </c>
      <c r="H32" s="27">
        <f t="shared" si="0"/>
        <v>0</v>
      </c>
      <c r="I32" s="28"/>
      <c r="J32" s="29"/>
      <c r="K32" s="26">
        <f t="shared" si="8"/>
        <v>800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9"/>
        <v>800</v>
      </c>
      <c r="H33" s="27">
        <f t="shared" si="0"/>
        <v>0</v>
      </c>
      <c r="I33" s="28"/>
      <c r="J33" s="29"/>
      <c r="K33" s="26">
        <f t="shared" si="8"/>
        <v>800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9"/>
        <v>800</v>
      </c>
      <c r="H34" s="27">
        <f t="shared" si="0"/>
        <v>0</v>
      </c>
      <c r="I34" s="28"/>
      <c r="J34" s="29"/>
      <c r="K34" s="26">
        <f t="shared" si="8"/>
        <v>800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9"/>
        <v>800</v>
      </c>
      <c r="H35" s="27">
        <f t="shared" si="0"/>
        <v>0</v>
      </c>
      <c r="I35" s="28"/>
      <c r="J35" s="29"/>
      <c r="K35" s="26">
        <f t="shared" si="8"/>
        <v>800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9"/>
        <v>800</v>
      </c>
      <c r="H36" s="27">
        <f t="shared" si="0"/>
        <v>0</v>
      </c>
      <c r="I36" s="28"/>
      <c r="J36" s="29"/>
      <c r="K36" s="26">
        <f t="shared" si="8"/>
        <v>800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9"/>
        <v>800</v>
      </c>
      <c r="H37" s="27">
        <f t="shared" si="0"/>
        <v>0</v>
      </c>
      <c r="I37" s="28"/>
      <c r="J37" s="29"/>
      <c r="K37" s="26">
        <f t="shared" si="8"/>
        <v>800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27.66</v>
      </c>
      <c r="I38" s="41"/>
      <c r="J38" s="42"/>
      <c r="K38" s="43"/>
      <c r="L38" s="40">
        <f>SUM(L21:L37)</f>
        <v>24.227817146075083</v>
      </c>
      <c r="M38" s="41"/>
      <c r="N38" s="44">
        <f t="shared" si="2"/>
        <v>-3.4321828539249175</v>
      </c>
      <c r="O38" s="45">
        <f t="shared" si="3"/>
        <v>-0.12408470187725659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800</v>
      </c>
      <c r="H40" s="27">
        <f t="shared" ref="H40:H46" si="10">G40*F40</f>
        <v>-1.44</v>
      </c>
      <c r="I40" s="28"/>
      <c r="J40" s="29">
        <v>-8.2813333909562397E-4</v>
      </c>
      <c r="K40" s="26">
        <f>$F$16</f>
        <v>800</v>
      </c>
      <c r="L40" s="27">
        <f t="shared" ref="L40:L46" si="11">K40*J40</f>
        <v>-0.6625066712764992</v>
      </c>
      <c r="M40" s="28"/>
      <c r="N40" s="31">
        <f t="shared" ref="N40:N65" si="12">L40-H40</f>
        <v>0.77749332872350074</v>
      </c>
      <c r="O40" s="32">
        <f t="shared" ref="O40:O45" si="13">IF((H40)=0,"",(N40/H40))</f>
        <v>-0.53992592272465334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800</v>
      </c>
      <c r="H41" s="27">
        <f t="shared" si="10"/>
        <v>0</v>
      </c>
      <c r="I41" s="47"/>
      <c r="J41" s="29"/>
      <c r="K41" s="26">
        <f>$F$16</f>
        <v>800</v>
      </c>
      <c r="L41" s="27">
        <f t="shared" si="11"/>
        <v>0</v>
      </c>
      <c r="M41" s="48"/>
      <c r="N41" s="31">
        <f t="shared" si="12"/>
        <v>0</v>
      </c>
      <c r="O41" s="32" t="str">
        <f t="shared" si="13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800</v>
      </c>
      <c r="H42" s="27">
        <f t="shared" si="10"/>
        <v>0</v>
      </c>
      <c r="I42" s="47"/>
      <c r="J42" s="29"/>
      <c r="K42" s="26">
        <f>$F$16</f>
        <v>800</v>
      </c>
      <c r="L42" s="27">
        <f t="shared" si="11"/>
        <v>0</v>
      </c>
      <c r="M42" s="48"/>
      <c r="N42" s="31">
        <f t="shared" si="12"/>
        <v>0</v>
      </c>
      <c r="O42" s="32" t="str">
        <f t="shared" si="13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800</v>
      </c>
      <c r="H43" s="27">
        <f t="shared" si="10"/>
        <v>0</v>
      </c>
      <c r="I43" s="47"/>
      <c r="J43" s="29"/>
      <c r="K43" s="26">
        <f>$F$16</f>
        <v>800</v>
      </c>
      <c r="L43" s="27">
        <f t="shared" si="11"/>
        <v>0</v>
      </c>
      <c r="M43" s="48"/>
      <c r="N43" s="31">
        <f t="shared" si="12"/>
        <v>0</v>
      </c>
      <c r="O43" s="32" t="str">
        <f t="shared" si="13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800</v>
      </c>
      <c r="H44" s="27">
        <f t="shared" si="10"/>
        <v>3.2000000000000001E-2</v>
      </c>
      <c r="I44" s="28"/>
      <c r="J44" s="195">
        <v>4.0000000000000003E-5</v>
      </c>
      <c r="K44" s="26">
        <f>$F$16</f>
        <v>800</v>
      </c>
      <c r="L44" s="27">
        <f t="shared" si="11"/>
        <v>3.2000000000000001E-2</v>
      </c>
      <c r="M44" s="28"/>
      <c r="N44" s="31">
        <f t="shared" si="12"/>
        <v>0</v>
      </c>
      <c r="O44" s="32">
        <f t="shared" si="13"/>
        <v>0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38.400000000000091</v>
      </c>
      <c r="H45" s="183">
        <f t="shared" si="10"/>
        <v>3.5504640000000083</v>
      </c>
      <c r="I45" s="57"/>
      <c r="J45" s="184">
        <f>0.64*$F$55+0.18*$F$56+0.18*$F$57</f>
        <v>9.2460000000000001E-2</v>
      </c>
      <c r="K45" s="26">
        <f>$F$16*(1+$J$74)-$F$16</f>
        <v>37.67999999999995</v>
      </c>
      <c r="L45" s="183">
        <f t="shared" si="11"/>
        <v>3.4838927999999956</v>
      </c>
      <c r="M45" s="57"/>
      <c r="N45" s="185">
        <f t="shared" si="12"/>
        <v>-6.6571200000012709E-2</v>
      </c>
      <c r="O45" s="186">
        <f t="shared" si="13"/>
        <v>-1.8750000000003535E-2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10"/>
        <v>0.79</v>
      </c>
      <c r="I46" s="28"/>
      <c r="J46" s="177">
        <v>0.79</v>
      </c>
      <c r="K46" s="26">
        <v>1</v>
      </c>
      <c r="L46" s="27">
        <f t="shared" si="11"/>
        <v>0.79</v>
      </c>
      <c r="M46" s="28"/>
      <c r="N46" s="31">
        <f t="shared" si="12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30.592464000000007</v>
      </c>
      <c r="I47" s="41"/>
      <c r="J47" s="53"/>
      <c r="K47" s="55"/>
      <c r="L47" s="54">
        <f>SUM(L39:L46)+L38</f>
        <v>27.871203274798578</v>
      </c>
      <c r="M47" s="41"/>
      <c r="N47" s="44">
        <f t="shared" si="12"/>
        <v>-2.7212607252014287</v>
      </c>
      <c r="O47" s="45">
        <f t="shared" ref="O47:O65" si="14">IF((H47)=0,"",(N47/H47))</f>
        <v>-8.8951995667999412E-2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838.40000000000009</v>
      </c>
      <c r="H48" s="27">
        <f>G48*F48</f>
        <v>6.1203200000000004</v>
      </c>
      <c r="I48" s="28"/>
      <c r="J48" s="29">
        <v>7.5910048339565368E-3</v>
      </c>
      <c r="K48" s="59">
        <f>F16*(1+J74)</f>
        <v>837.68</v>
      </c>
      <c r="L48" s="27">
        <f>K48*J48</f>
        <v>6.3588329293087114</v>
      </c>
      <c r="M48" s="28"/>
      <c r="N48" s="31">
        <f t="shared" si="12"/>
        <v>0.23851292930871093</v>
      </c>
      <c r="O48" s="32">
        <f t="shared" si="14"/>
        <v>3.8970663185701221E-2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838.40000000000009</v>
      </c>
      <c r="H49" s="27">
        <f>G49*F49</f>
        <v>4.7788800000000009</v>
      </c>
      <c r="I49" s="28"/>
      <c r="J49" s="29">
        <v>5.7169521807640556E-3</v>
      </c>
      <c r="K49" s="59">
        <f>K48</f>
        <v>837.68</v>
      </c>
      <c r="L49" s="27">
        <f>K49*J49</f>
        <v>4.7889765027824343</v>
      </c>
      <c r="M49" s="28"/>
      <c r="N49" s="31">
        <f t="shared" si="12"/>
        <v>1.0096502782433348E-2</v>
      </c>
      <c r="O49" s="32">
        <f t="shared" si="14"/>
        <v>2.1127341097565426E-3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41.491664000000007</v>
      </c>
      <c r="I50" s="62"/>
      <c r="J50" s="63"/>
      <c r="K50" s="64"/>
      <c r="L50" s="54">
        <f>SUM(L47:L49)</f>
        <v>39.019012706889725</v>
      </c>
      <c r="M50" s="62"/>
      <c r="N50" s="44">
        <f t="shared" si="12"/>
        <v>-2.4726512931102818</v>
      </c>
      <c r="O50" s="45">
        <f t="shared" si="14"/>
        <v>-5.9593929351936366E-2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838.40000000000009</v>
      </c>
      <c r="H51" s="67">
        <f t="shared" ref="H51:H57" si="15">G51*F51</f>
        <v>3.6889600000000007</v>
      </c>
      <c r="I51" s="28"/>
      <c r="J51" s="66">
        <v>4.4000000000000003E-3</v>
      </c>
      <c r="K51" s="59">
        <f>K49</f>
        <v>837.68</v>
      </c>
      <c r="L51" s="67">
        <f t="shared" ref="L51:L57" si="16">K51*J51</f>
        <v>3.6857920000000002</v>
      </c>
      <c r="M51" s="28"/>
      <c r="N51" s="31">
        <f t="shared" si="12"/>
        <v>-3.1680000000005037E-3</v>
      </c>
      <c r="O51" s="68">
        <f t="shared" si="14"/>
        <v>-8.5877862595433484E-4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838.40000000000009</v>
      </c>
      <c r="H52" s="67">
        <f t="shared" si="15"/>
        <v>1.08992</v>
      </c>
      <c r="I52" s="28"/>
      <c r="J52" s="66">
        <v>1.2999999999999999E-3</v>
      </c>
      <c r="K52" s="59">
        <f>K49</f>
        <v>837.68</v>
      </c>
      <c r="L52" s="67">
        <f t="shared" si="16"/>
        <v>1.088984</v>
      </c>
      <c r="M52" s="28"/>
      <c r="N52" s="31">
        <f t="shared" si="12"/>
        <v>-9.360000000000479E-4</v>
      </c>
      <c r="O52" s="68">
        <f t="shared" si="14"/>
        <v>-8.5877862595424247E-4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5"/>
        <v>0.25</v>
      </c>
      <c r="I53" s="28"/>
      <c r="J53" s="176">
        <v>0.25</v>
      </c>
      <c r="K53" s="30">
        <v>1</v>
      </c>
      <c r="L53" s="67">
        <f t="shared" si="16"/>
        <v>0.25</v>
      </c>
      <c r="M53" s="28"/>
      <c r="N53" s="31">
        <f t="shared" si="12"/>
        <v>0</v>
      </c>
      <c r="O53" s="68">
        <f t="shared" si="14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800</v>
      </c>
      <c r="H54" s="67">
        <f t="shared" si="15"/>
        <v>5.6000000000000005</v>
      </c>
      <c r="I54" s="28"/>
      <c r="J54" s="66">
        <v>7.0000000000000001E-3</v>
      </c>
      <c r="K54" s="70">
        <f>F16</f>
        <v>800</v>
      </c>
      <c r="L54" s="67">
        <f t="shared" si="16"/>
        <v>5.6000000000000005</v>
      </c>
      <c r="M54" s="28"/>
      <c r="N54" s="31">
        <f t="shared" si="12"/>
        <v>0</v>
      </c>
      <c r="O54" s="68">
        <f t="shared" si="14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512</v>
      </c>
      <c r="H55" s="67">
        <f t="shared" si="15"/>
        <v>38.4</v>
      </c>
      <c r="I55" s="28"/>
      <c r="J55" s="66">
        <v>7.4999999999999997E-2</v>
      </c>
      <c r="K55" s="69">
        <f>G55</f>
        <v>512</v>
      </c>
      <c r="L55" s="67">
        <f t="shared" si="16"/>
        <v>38.4</v>
      </c>
      <c r="M55" s="28"/>
      <c r="N55" s="31">
        <f t="shared" si="12"/>
        <v>0</v>
      </c>
      <c r="O55" s="68">
        <f t="shared" si="14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144</v>
      </c>
      <c r="H56" s="67">
        <f t="shared" si="15"/>
        <v>16.128</v>
      </c>
      <c r="I56" s="28"/>
      <c r="J56" s="66">
        <v>0.112</v>
      </c>
      <c r="K56" s="69">
        <f>G56</f>
        <v>144</v>
      </c>
      <c r="L56" s="67">
        <f t="shared" si="16"/>
        <v>16.128</v>
      </c>
      <c r="M56" s="28"/>
      <c r="N56" s="31">
        <f t="shared" si="12"/>
        <v>0</v>
      </c>
      <c r="O56" s="68">
        <f t="shared" si="14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144</v>
      </c>
      <c r="H57" s="67">
        <f t="shared" si="15"/>
        <v>19.440000000000001</v>
      </c>
      <c r="I57" s="28"/>
      <c r="J57" s="66">
        <v>0.13500000000000001</v>
      </c>
      <c r="K57" s="69">
        <f>G57</f>
        <v>144</v>
      </c>
      <c r="L57" s="67">
        <f t="shared" si="16"/>
        <v>19.440000000000001</v>
      </c>
      <c r="M57" s="28"/>
      <c r="N57" s="31">
        <f t="shared" si="12"/>
        <v>0</v>
      </c>
      <c r="O57" s="68">
        <f t="shared" si="14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12"/>
        <v>0</v>
      </c>
      <c r="O58" s="68">
        <f t="shared" si="14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200</v>
      </c>
      <c r="H59" s="67">
        <f>G59*F59</f>
        <v>20.200000000000003</v>
      </c>
      <c r="I59" s="79"/>
      <c r="J59" s="66">
        <v>0.10100000000000001</v>
      </c>
      <c r="K59" s="78">
        <f>G59</f>
        <v>200</v>
      </c>
      <c r="L59" s="67">
        <f>K59*J59</f>
        <v>20.200000000000003</v>
      </c>
      <c r="M59" s="79"/>
      <c r="N59" s="80">
        <f t="shared" si="12"/>
        <v>0</v>
      </c>
      <c r="O59" s="68">
        <f t="shared" si="14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126.08854400000001</v>
      </c>
      <c r="I61" s="95"/>
      <c r="J61" s="96"/>
      <c r="K61" s="96"/>
      <c r="L61" s="189">
        <f>SUM(L51:L57,L50)</f>
        <v>123.61178870688973</v>
      </c>
      <c r="M61" s="97"/>
      <c r="N61" s="98">
        <f>L61-H61</f>
        <v>-2.476755293110287</v>
      </c>
      <c r="O61" s="99">
        <f>IF((H61)=0,"",(N61/H61))</f>
        <v>-1.9642984323066548E-2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16.391510720000003</v>
      </c>
      <c r="I62" s="104"/>
      <c r="J62" s="105">
        <v>0.13</v>
      </c>
      <c r="K62" s="104"/>
      <c r="L62" s="106">
        <f>L61*J62</f>
        <v>16.069532531895664</v>
      </c>
      <c r="M62" s="107"/>
      <c r="N62" s="108">
        <f t="shared" si="12"/>
        <v>-0.32197818810433887</v>
      </c>
      <c r="O62" s="109">
        <f t="shared" si="14"/>
        <v>-1.9642984323066642E-2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142.48005472000003</v>
      </c>
      <c r="I63" s="104"/>
      <c r="J63" s="104"/>
      <c r="K63" s="104"/>
      <c r="L63" s="106">
        <f>L61+L62</f>
        <v>139.68132123878539</v>
      </c>
      <c r="M63" s="107"/>
      <c r="N63" s="108">
        <f t="shared" si="12"/>
        <v>-2.7987334812146401</v>
      </c>
      <c r="O63" s="109">
        <f t="shared" si="14"/>
        <v>-1.9642984323066659E-2</v>
      </c>
      <c r="S63" s="72"/>
    </row>
    <row r="64" spans="2:19" ht="15.75" customHeight="1" x14ac:dyDescent="0.25">
      <c r="B64" s="248" t="s">
        <v>43</v>
      </c>
      <c r="C64" s="248"/>
      <c r="D64" s="248"/>
      <c r="E64" s="22"/>
      <c r="F64" s="111"/>
      <c r="G64" s="102"/>
      <c r="H64" s="112">
        <f>ROUND(-H63*10%,2)</f>
        <v>-14.25</v>
      </c>
      <c r="I64" s="104"/>
      <c r="J64" s="104"/>
      <c r="K64" s="104"/>
      <c r="L64" s="113">
        <f>ROUND(-L63*10%,2)</f>
        <v>-13.97</v>
      </c>
      <c r="M64" s="107"/>
      <c r="N64" s="114">
        <f t="shared" si="12"/>
        <v>0.27999999999999936</v>
      </c>
      <c r="O64" s="115">
        <f t="shared" si="14"/>
        <v>-1.9649122807017499E-2</v>
      </c>
    </row>
    <row r="65" spans="1:15" ht="15.75" thickBot="1" x14ac:dyDescent="0.3">
      <c r="B65" s="240" t="s">
        <v>44</v>
      </c>
      <c r="C65" s="240"/>
      <c r="D65" s="240"/>
      <c r="E65" s="116"/>
      <c r="F65" s="117"/>
      <c r="G65" s="118"/>
      <c r="H65" s="119">
        <f>H63+H64</f>
        <v>128.23005472000003</v>
      </c>
      <c r="I65" s="120"/>
      <c r="J65" s="120"/>
      <c r="K65" s="120"/>
      <c r="L65" s="121">
        <f>L63+L64</f>
        <v>125.71132123878539</v>
      </c>
      <c r="M65" s="122"/>
      <c r="N65" s="123">
        <f t="shared" si="12"/>
        <v>-2.5187334812146389</v>
      </c>
      <c r="O65" s="124">
        <f t="shared" si="14"/>
        <v>-1.9642302163205679E-2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123.92054399999999</v>
      </c>
      <c r="I67" s="136"/>
      <c r="J67" s="137"/>
      <c r="K67" s="137"/>
      <c r="L67" s="188">
        <f>SUM(L58:L59,L50,L51:L54)</f>
        <v>121.44378870688972</v>
      </c>
      <c r="M67" s="138"/>
      <c r="N67" s="139">
        <f>L67-H67</f>
        <v>-2.4767552931102728</v>
      </c>
      <c r="O67" s="99">
        <f>IF((H67)=0,"",(N67/H67))</f>
        <v>-1.9986639932038006E-2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16.10967072</v>
      </c>
      <c r="I68" s="143"/>
      <c r="J68" s="144">
        <v>0.13</v>
      </c>
      <c r="K68" s="145"/>
      <c r="L68" s="146">
        <f>L67*J68</f>
        <v>15.787692531895663</v>
      </c>
      <c r="M68" s="147"/>
      <c r="N68" s="148">
        <f>L68-H68</f>
        <v>-0.32197818810433709</v>
      </c>
      <c r="O68" s="109">
        <f>IF((H68)=0,"",(N68/H68))</f>
        <v>-1.9986639932038107E-2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140.03021472</v>
      </c>
      <c r="I69" s="143"/>
      <c r="J69" s="143"/>
      <c r="K69" s="143"/>
      <c r="L69" s="146">
        <f>L67+L68</f>
        <v>137.23148123878539</v>
      </c>
      <c r="M69" s="147"/>
      <c r="N69" s="148">
        <f>L69-H69</f>
        <v>-2.7987334812146116</v>
      </c>
      <c r="O69" s="109">
        <f>IF((H69)=0,"",(N69/H69))</f>
        <v>-1.9986639932038031E-2</v>
      </c>
    </row>
    <row r="70" spans="1:15" s="73" customFormat="1" ht="15.75" customHeight="1" x14ac:dyDescent="0.2">
      <c r="B70" s="249" t="s">
        <v>43</v>
      </c>
      <c r="C70" s="249"/>
      <c r="D70" s="249"/>
      <c r="E70" s="75"/>
      <c r="F70" s="150"/>
      <c r="G70" s="151"/>
      <c r="H70" s="152">
        <f>ROUND(-H69*10%,2)</f>
        <v>-14</v>
      </c>
      <c r="I70" s="143"/>
      <c r="J70" s="143"/>
      <c r="K70" s="143"/>
      <c r="L70" s="153">
        <f>ROUND(-L69*10%,2)</f>
        <v>-13.72</v>
      </c>
      <c r="M70" s="147"/>
      <c r="N70" s="154">
        <f>L70-H70</f>
        <v>0.27999999999999936</v>
      </c>
      <c r="O70" s="115">
        <f>IF((H70)=0,"",(N70/H70))</f>
        <v>-1.9999999999999955E-2</v>
      </c>
    </row>
    <row r="71" spans="1:15" s="73" customFormat="1" ht="13.5" thickBot="1" x14ac:dyDescent="0.25">
      <c r="B71" s="241" t="s">
        <v>46</v>
      </c>
      <c r="C71" s="241"/>
      <c r="D71" s="241"/>
      <c r="E71" s="155"/>
      <c r="F71" s="156"/>
      <c r="G71" s="157"/>
      <c r="H71" s="158">
        <f>SUM(H69:H70)</f>
        <v>126.03021472</v>
      </c>
      <c r="I71" s="159"/>
      <c r="J71" s="159"/>
      <c r="K71" s="159"/>
      <c r="L71" s="160">
        <f>SUM(L69:L70)</f>
        <v>123.51148123878539</v>
      </c>
      <c r="M71" s="161"/>
      <c r="N71" s="162">
        <f>L71-H71</f>
        <v>-2.5187334812146105</v>
      </c>
      <c r="O71" s="163">
        <f>IF((H71)=0,"",(N71/H71))</f>
        <v>-1.998515583592755E-2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9:O9"/>
    <mergeCell ref="N1:O1"/>
    <mergeCell ref="N2:O2"/>
    <mergeCell ref="N3:O3"/>
    <mergeCell ref="N5:O5"/>
    <mergeCell ref="B8:O8"/>
    <mergeCell ref="B64:D64"/>
    <mergeCell ref="B65:D65"/>
    <mergeCell ref="B70:D70"/>
    <mergeCell ref="B71:D71"/>
    <mergeCell ref="D12:O12"/>
    <mergeCell ref="F18:H18"/>
    <mergeCell ref="J18:L18"/>
    <mergeCell ref="N18:O18"/>
    <mergeCell ref="D19:D20"/>
    <mergeCell ref="N19:N20"/>
    <mergeCell ref="O19:O20"/>
  </mergeCells>
  <dataValidations count="3">
    <dataValidation type="list" allowBlank="1" showInputMessage="1" showErrorMessage="1" sqref="E48:E49 E51:E60 E39:E46 E21:E37 E72 E66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0" tint="-0.14999847407452621"/>
    <pageSetUpPr fitToPage="1"/>
  </sheetPr>
  <dimension ref="A1:T90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8-D</v>
      </c>
      <c r="O3" s="234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34">
        <f>'Res (100kWh)'!$N$5:$O$5</f>
        <v>41985</v>
      </c>
      <c r="O5" s="234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59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14.64</v>
      </c>
      <c r="G21" s="26">
        <v>1</v>
      </c>
      <c r="H21" s="27">
        <f>G21*F21</f>
        <v>14.64</v>
      </c>
      <c r="I21" s="28"/>
      <c r="J21" s="173">
        <v>16.850000000000001</v>
      </c>
      <c r="K21" s="30">
        <v>1</v>
      </c>
      <c r="L21" s="27">
        <f>K21*J21</f>
        <v>16.850000000000001</v>
      </c>
      <c r="M21" s="28"/>
      <c r="N21" s="31">
        <f>L21-H21</f>
        <v>2.2100000000000009</v>
      </c>
      <c r="O21" s="32">
        <f>IF((H21)=0,"",(N21/H21))</f>
        <v>0.15095628415300552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v>0.8495330863269237</v>
      </c>
      <c r="K24" s="30">
        <v>1</v>
      </c>
      <c r="L24" s="27">
        <f t="shared" si="1"/>
        <v>0.8495330863269237</v>
      </c>
      <c r="M24" s="28"/>
      <c r="N24" s="31">
        <f t="shared" si="2"/>
        <v>0.8495330863269237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1000</v>
      </c>
      <c r="H25" s="27">
        <f t="shared" si="0"/>
        <v>0</v>
      </c>
      <c r="I25" s="28"/>
      <c r="J25" s="29">
        <v>1.9720869946651326E-4</v>
      </c>
      <c r="K25" s="26">
        <f>$F$16</f>
        <v>1000</v>
      </c>
      <c r="L25" s="27">
        <f t="shared" si="1"/>
        <v>0.19720869946651326</v>
      </c>
      <c r="M25" s="28"/>
      <c r="N25" s="31">
        <f t="shared" si="2"/>
        <v>0.19720869946651326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1000</v>
      </c>
      <c r="H26" s="27">
        <f t="shared" si="0"/>
        <v>-0.2</v>
      </c>
      <c r="I26" s="28"/>
      <c r="J26" s="173"/>
      <c r="K26" s="26">
        <f>$F$16</f>
        <v>1000</v>
      </c>
      <c r="L26" s="27">
        <f t="shared" si="1"/>
        <v>0</v>
      </c>
      <c r="M26" s="28"/>
      <c r="N26" s="31">
        <f t="shared" si="2"/>
        <v>0.2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1000</v>
      </c>
      <c r="H27" s="27">
        <f t="shared" si="0"/>
        <v>0</v>
      </c>
      <c r="I27" s="28"/>
      <c r="J27" s="29">
        <v>-7.1368536247813138E-3</v>
      </c>
      <c r="K27" s="26">
        <f>$F$16</f>
        <v>1000</v>
      </c>
      <c r="L27" s="27">
        <f t="shared" si="1"/>
        <v>-7.1368536247813141</v>
      </c>
      <c r="M27" s="28"/>
      <c r="N27" s="31">
        <f t="shared" si="2"/>
        <v>-7.1368536247813141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v>1.3100000000000001E-2</v>
      </c>
      <c r="G28" s="26">
        <f>$F$16</f>
        <v>1000</v>
      </c>
      <c r="H28" s="27">
        <f t="shared" si="0"/>
        <v>13.100000000000001</v>
      </c>
      <c r="I28" s="28"/>
      <c r="J28" s="29">
        <v>1.5100000000000001E-2</v>
      </c>
      <c r="K28" s="26">
        <f>$F$16</f>
        <v>1000</v>
      </c>
      <c r="L28" s="27">
        <f t="shared" si="1"/>
        <v>15.100000000000001</v>
      </c>
      <c r="M28" s="28"/>
      <c r="N28" s="31">
        <f t="shared" si="2"/>
        <v>2</v>
      </c>
      <c r="O28" s="32">
        <f t="shared" si="3"/>
        <v>0.15267175572519082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1000</v>
      </c>
      <c r="H29" s="27">
        <f t="shared" si="0"/>
        <v>0</v>
      </c>
      <c r="I29" s="28"/>
      <c r="J29" s="29"/>
      <c r="K29" s="26">
        <f t="shared" ref="K29:K37" si="5">$F$16</f>
        <v>1000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1000</v>
      </c>
      <c r="H30" s="27">
        <f t="shared" si="0"/>
        <v>0</v>
      </c>
      <c r="I30" s="28"/>
      <c r="J30" s="29"/>
      <c r="K30" s="26">
        <f t="shared" si="5"/>
        <v>1000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1000</v>
      </c>
      <c r="H31" s="27">
        <f t="shared" si="0"/>
        <v>0</v>
      </c>
      <c r="I31" s="28"/>
      <c r="J31" s="29"/>
      <c r="K31" s="26">
        <f t="shared" si="5"/>
        <v>1000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1000</v>
      </c>
      <c r="H32" s="27">
        <f t="shared" si="0"/>
        <v>0</v>
      </c>
      <c r="I32" s="28"/>
      <c r="J32" s="29"/>
      <c r="K32" s="26">
        <f t="shared" si="5"/>
        <v>1000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1000</v>
      </c>
      <c r="H33" s="27">
        <f t="shared" si="0"/>
        <v>0</v>
      </c>
      <c r="I33" s="28"/>
      <c r="J33" s="29"/>
      <c r="K33" s="26">
        <f t="shared" si="5"/>
        <v>1000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1000</v>
      </c>
      <c r="H34" s="27">
        <f t="shared" si="0"/>
        <v>0</v>
      </c>
      <c r="I34" s="28"/>
      <c r="J34" s="29"/>
      <c r="K34" s="26">
        <f t="shared" si="5"/>
        <v>1000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1000</v>
      </c>
      <c r="H35" s="27">
        <f t="shared" si="0"/>
        <v>0</v>
      </c>
      <c r="I35" s="28"/>
      <c r="J35" s="29"/>
      <c r="K35" s="26">
        <f t="shared" si="5"/>
        <v>1000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1000</v>
      </c>
      <c r="H36" s="27">
        <f t="shared" si="0"/>
        <v>0</v>
      </c>
      <c r="I36" s="28"/>
      <c r="J36" s="29"/>
      <c r="K36" s="26">
        <f t="shared" si="5"/>
        <v>1000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1000</v>
      </c>
      <c r="H37" s="27">
        <f t="shared" si="0"/>
        <v>0</v>
      </c>
      <c r="I37" s="28"/>
      <c r="J37" s="29"/>
      <c r="K37" s="26">
        <f t="shared" si="5"/>
        <v>1000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30.240000000000002</v>
      </c>
      <c r="I38" s="41"/>
      <c r="J38" s="42"/>
      <c r="K38" s="43"/>
      <c r="L38" s="40">
        <f>SUM(L21:L37)</f>
        <v>25.85988816101213</v>
      </c>
      <c r="M38" s="41"/>
      <c r="N38" s="44">
        <f t="shared" si="2"/>
        <v>-4.3801118389878724</v>
      </c>
      <c r="O38" s="45">
        <f t="shared" si="3"/>
        <v>-0.14484496822049842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1000</v>
      </c>
      <c r="H40" s="27">
        <f t="shared" ref="H40:H46" si="7">G40*F40</f>
        <v>-1.8</v>
      </c>
      <c r="I40" s="28"/>
      <c r="J40" s="29">
        <v>-8.2813333909562397E-4</v>
      </c>
      <c r="K40" s="26">
        <f>$F$16</f>
        <v>1000</v>
      </c>
      <c r="L40" s="27">
        <f t="shared" ref="L40:L46" si="8">K40*J40</f>
        <v>-0.82813333909562392</v>
      </c>
      <c r="M40" s="28"/>
      <c r="N40" s="31">
        <f t="shared" ref="N40:N65" si="9">L40-H40</f>
        <v>0.97186666090437612</v>
      </c>
      <c r="O40" s="32">
        <f t="shared" ref="O40:O45" si="10">IF((H40)=0,"",(N40/H40))</f>
        <v>-0.53992592272465334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1000</v>
      </c>
      <c r="H41" s="27">
        <f t="shared" si="7"/>
        <v>0</v>
      </c>
      <c r="I41" s="47"/>
      <c r="J41" s="29"/>
      <c r="K41" s="26">
        <f>$F$16</f>
        <v>1000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1000</v>
      </c>
      <c r="H42" s="27">
        <f t="shared" si="7"/>
        <v>0</v>
      </c>
      <c r="I42" s="47"/>
      <c r="J42" s="29"/>
      <c r="K42" s="26">
        <f>$F$16</f>
        <v>1000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1000</v>
      </c>
      <c r="H43" s="27">
        <f t="shared" si="7"/>
        <v>0</v>
      </c>
      <c r="I43" s="47"/>
      <c r="J43" s="29"/>
      <c r="K43" s="26">
        <f>$F$16</f>
        <v>1000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1000</v>
      </c>
      <c r="H44" s="27">
        <f t="shared" si="7"/>
        <v>0.04</v>
      </c>
      <c r="I44" s="28"/>
      <c r="J44" s="195">
        <v>4.0000000000000003E-5</v>
      </c>
      <c r="K44" s="26">
        <f>$F$16</f>
        <v>1000</v>
      </c>
      <c r="L44" s="27">
        <f t="shared" si="8"/>
        <v>0.04</v>
      </c>
      <c r="M44" s="28"/>
      <c r="N44" s="31">
        <f t="shared" si="9"/>
        <v>0</v>
      </c>
      <c r="O44" s="32">
        <f t="shared" si="10"/>
        <v>0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48</v>
      </c>
      <c r="H45" s="183">
        <f t="shared" si="7"/>
        <v>4.4380800000000002</v>
      </c>
      <c r="I45" s="57"/>
      <c r="J45" s="184">
        <f>0.64*$F$55+0.18*$F$56+0.18*$F$57</f>
        <v>9.2460000000000001E-2</v>
      </c>
      <c r="K45" s="26">
        <f>$F$16*(1+$J$74)-$F$16</f>
        <v>47.099999999999909</v>
      </c>
      <c r="L45" s="183">
        <f t="shared" si="8"/>
        <v>4.3548659999999915</v>
      </c>
      <c r="M45" s="57"/>
      <c r="N45" s="185">
        <f t="shared" si="9"/>
        <v>-8.3214000000008781E-2</v>
      </c>
      <c r="O45" s="186">
        <f t="shared" si="10"/>
        <v>-1.8750000000001977E-2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33.708080000000002</v>
      </c>
      <c r="I47" s="41"/>
      <c r="J47" s="53"/>
      <c r="K47" s="55"/>
      <c r="L47" s="54">
        <f>SUM(L39:L46)+L38</f>
        <v>30.216620821916496</v>
      </c>
      <c r="M47" s="41"/>
      <c r="N47" s="44">
        <f t="shared" si="9"/>
        <v>-3.491459178083506</v>
      </c>
      <c r="O47" s="45">
        <f t="shared" ref="O47:O65" si="11">IF((H47)=0,"",(N47/H47))</f>
        <v>-0.10357929547110087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1048</v>
      </c>
      <c r="H48" s="27">
        <f>G48*F48</f>
        <v>7.6504000000000003</v>
      </c>
      <c r="I48" s="28"/>
      <c r="J48" s="29">
        <v>7.5910048339565368E-3</v>
      </c>
      <c r="K48" s="59">
        <f>F16*(1+J74)</f>
        <v>1047.0999999999999</v>
      </c>
      <c r="L48" s="27">
        <f>K48*J48</f>
        <v>7.9485411616358892</v>
      </c>
      <c r="M48" s="28"/>
      <c r="N48" s="31">
        <f t="shared" si="9"/>
        <v>0.29814116163588888</v>
      </c>
      <c r="O48" s="32">
        <f t="shared" si="11"/>
        <v>3.8970663185701256E-2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1048</v>
      </c>
      <c r="H49" s="27">
        <f>G49*F49</f>
        <v>5.9736000000000002</v>
      </c>
      <c r="I49" s="28"/>
      <c r="J49" s="29">
        <v>5.7169521807640556E-3</v>
      </c>
      <c r="K49" s="59">
        <f>K48</f>
        <v>1047.0999999999999</v>
      </c>
      <c r="L49" s="27">
        <f>K49*J49</f>
        <v>5.9862206284780424</v>
      </c>
      <c r="M49" s="28"/>
      <c r="N49" s="31">
        <f t="shared" si="9"/>
        <v>1.2620628478042129E-2</v>
      </c>
      <c r="O49" s="32">
        <f t="shared" si="11"/>
        <v>2.1127341097566172E-3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47.332079999999998</v>
      </c>
      <c r="I50" s="62"/>
      <c r="J50" s="63"/>
      <c r="K50" s="64"/>
      <c r="L50" s="54">
        <f>SUM(L47:L49)</f>
        <v>44.151382612030432</v>
      </c>
      <c r="M50" s="62"/>
      <c r="N50" s="44">
        <f t="shared" si="9"/>
        <v>-3.1806973879695661</v>
      </c>
      <c r="O50" s="45">
        <f t="shared" si="11"/>
        <v>-6.7199611510197016E-2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1048</v>
      </c>
      <c r="H51" s="67">
        <f t="shared" ref="H51:H57" si="12">G51*F51</f>
        <v>4.6112000000000002</v>
      </c>
      <c r="I51" s="28"/>
      <c r="J51" s="66">
        <v>4.4000000000000003E-3</v>
      </c>
      <c r="K51" s="59">
        <f>K49</f>
        <v>1047.0999999999999</v>
      </c>
      <c r="L51" s="67">
        <f t="shared" ref="L51:L57" si="13">K51*J51</f>
        <v>4.60724</v>
      </c>
      <c r="M51" s="28"/>
      <c r="N51" s="31">
        <f t="shared" si="9"/>
        <v>-3.9600000000001856E-3</v>
      </c>
      <c r="O51" s="68">
        <f t="shared" si="11"/>
        <v>-8.5877862595423867E-4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1048</v>
      </c>
      <c r="H52" s="67">
        <f t="shared" si="12"/>
        <v>1.3623999999999998</v>
      </c>
      <c r="I52" s="28"/>
      <c r="J52" s="66">
        <v>1.2999999999999999E-3</v>
      </c>
      <c r="K52" s="59">
        <f>K49</f>
        <v>1047.0999999999999</v>
      </c>
      <c r="L52" s="67">
        <f t="shared" si="13"/>
        <v>1.3612299999999997</v>
      </c>
      <c r="M52" s="28"/>
      <c r="N52" s="31">
        <f t="shared" si="9"/>
        <v>-1.1700000000001154E-3</v>
      </c>
      <c r="O52" s="68">
        <f t="shared" si="11"/>
        <v>-8.5877862595428324E-4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2"/>
        <v>0.25</v>
      </c>
      <c r="I53" s="28"/>
      <c r="J53" s="176">
        <v>0.25</v>
      </c>
      <c r="K53" s="30">
        <v>1</v>
      </c>
      <c r="L53" s="67">
        <f t="shared" si="13"/>
        <v>0.25</v>
      </c>
      <c r="M53" s="28"/>
      <c r="N53" s="31">
        <f t="shared" si="9"/>
        <v>0</v>
      </c>
      <c r="O53" s="68">
        <f t="shared" si="11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1000</v>
      </c>
      <c r="H54" s="67">
        <f t="shared" si="12"/>
        <v>7</v>
      </c>
      <c r="I54" s="28"/>
      <c r="J54" s="66">
        <v>7.0000000000000001E-3</v>
      </c>
      <c r="K54" s="70">
        <f>F16</f>
        <v>1000</v>
      </c>
      <c r="L54" s="67">
        <f t="shared" si="13"/>
        <v>7</v>
      </c>
      <c r="M54" s="28"/>
      <c r="N54" s="31">
        <f t="shared" si="9"/>
        <v>0</v>
      </c>
      <c r="O54" s="68">
        <f t="shared" si="11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640</v>
      </c>
      <c r="H55" s="67">
        <f t="shared" si="12"/>
        <v>48</v>
      </c>
      <c r="I55" s="28"/>
      <c r="J55" s="66">
        <v>7.4999999999999997E-2</v>
      </c>
      <c r="K55" s="69">
        <f>G55</f>
        <v>640</v>
      </c>
      <c r="L55" s="67">
        <f t="shared" si="13"/>
        <v>48</v>
      </c>
      <c r="M55" s="28"/>
      <c r="N55" s="31">
        <f t="shared" si="9"/>
        <v>0</v>
      </c>
      <c r="O55" s="68">
        <f t="shared" si="11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180</v>
      </c>
      <c r="H56" s="67">
        <f t="shared" si="12"/>
        <v>20.16</v>
      </c>
      <c r="I56" s="28"/>
      <c r="J56" s="66">
        <v>0.112</v>
      </c>
      <c r="K56" s="69">
        <f>G56</f>
        <v>180</v>
      </c>
      <c r="L56" s="67">
        <f t="shared" si="13"/>
        <v>20.16</v>
      </c>
      <c r="M56" s="28"/>
      <c r="N56" s="31">
        <f t="shared" si="9"/>
        <v>0</v>
      </c>
      <c r="O56" s="68">
        <f t="shared" si="11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180</v>
      </c>
      <c r="H57" s="67">
        <f t="shared" si="12"/>
        <v>24.3</v>
      </c>
      <c r="I57" s="28"/>
      <c r="J57" s="66">
        <v>0.13500000000000001</v>
      </c>
      <c r="K57" s="69">
        <f>G57</f>
        <v>180</v>
      </c>
      <c r="L57" s="67">
        <f t="shared" si="13"/>
        <v>24.3</v>
      </c>
      <c r="M57" s="28"/>
      <c r="N57" s="31">
        <f t="shared" si="9"/>
        <v>0</v>
      </c>
      <c r="O57" s="68">
        <f t="shared" si="11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9"/>
        <v>0</v>
      </c>
      <c r="O58" s="68">
        <f t="shared" si="11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400</v>
      </c>
      <c r="H59" s="67">
        <f>G59*F59</f>
        <v>40.400000000000006</v>
      </c>
      <c r="I59" s="79"/>
      <c r="J59" s="66">
        <v>0.10100000000000001</v>
      </c>
      <c r="K59" s="78">
        <f>G59</f>
        <v>400</v>
      </c>
      <c r="L59" s="67">
        <f>K59*J59</f>
        <v>40.400000000000006</v>
      </c>
      <c r="M59" s="79"/>
      <c r="N59" s="80">
        <f t="shared" si="9"/>
        <v>0</v>
      </c>
      <c r="O59" s="68">
        <f t="shared" si="11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153.01568</v>
      </c>
      <c r="I61" s="95"/>
      <c r="J61" s="96"/>
      <c r="K61" s="96"/>
      <c r="L61" s="189">
        <f>SUM(L51:L57,L50)</f>
        <v>149.82985261203044</v>
      </c>
      <c r="M61" s="97"/>
      <c r="N61" s="98">
        <f>L61-H61</f>
        <v>-3.1858273879695673</v>
      </c>
      <c r="O61" s="99">
        <f>IF((H61)=0,"",(N61/H61))</f>
        <v>-2.0820267491341849E-2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19.892038400000001</v>
      </c>
      <c r="I62" s="104"/>
      <c r="J62" s="105">
        <v>0.13</v>
      </c>
      <c r="K62" s="104"/>
      <c r="L62" s="106">
        <f>L61*J62</f>
        <v>19.477880839563959</v>
      </c>
      <c r="M62" s="107"/>
      <c r="N62" s="108">
        <f t="shared" si="9"/>
        <v>-0.4141575604360419</v>
      </c>
      <c r="O62" s="109">
        <f t="shared" si="11"/>
        <v>-2.0820267491341755E-2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172.90771839999999</v>
      </c>
      <c r="I63" s="104"/>
      <c r="J63" s="104"/>
      <c r="K63" s="104"/>
      <c r="L63" s="106">
        <f>L61+L62</f>
        <v>169.3077334515944</v>
      </c>
      <c r="M63" s="107"/>
      <c r="N63" s="108">
        <f t="shared" si="9"/>
        <v>-3.5999849484055915</v>
      </c>
      <c r="O63" s="109">
        <f t="shared" si="11"/>
        <v>-2.0820267491341738E-2</v>
      </c>
      <c r="S63" s="72"/>
    </row>
    <row r="64" spans="2:19" ht="15.75" customHeight="1" x14ac:dyDescent="0.25">
      <c r="B64" s="248" t="s">
        <v>43</v>
      </c>
      <c r="C64" s="248"/>
      <c r="D64" s="248"/>
      <c r="E64" s="22"/>
      <c r="F64" s="111"/>
      <c r="G64" s="102"/>
      <c r="H64" s="112">
        <f>ROUND(-H63*10%,2)</f>
        <v>-17.29</v>
      </c>
      <c r="I64" s="104"/>
      <c r="J64" s="104"/>
      <c r="K64" s="104"/>
      <c r="L64" s="113">
        <f>ROUND(-L63*10%,2)</f>
        <v>-16.93</v>
      </c>
      <c r="M64" s="107"/>
      <c r="N64" s="114">
        <f t="shared" si="9"/>
        <v>0.35999999999999943</v>
      </c>
      <c r="O64" s="115">
        <f t="shared" si="11"/>
        <v>-2.0821283979178686E-2</v>
      </c>
    </row>
    <row r="65" spans="1:15" ht="15.75" thickBot="1" x14ac:dyDescent="0.3">
      <c r="B65" s="240" t="s">
        <v>44</v>
      </c>
      <c r="C65" s="240"/>
      <c r="D65" s="240"/>
      <c r="E65" s="116"/>
      <c r="F65" s="117"/>
      <c r="G65" s="118"/>
      <c r="H65" s="119">
        <f>H63+H64</f>
        <v>155.6177184</v>
      </c>
      <c r="I65" s="120"/>
      <c r="J65" s="120"/>
      <c r="K65" s="120"/>
      <c r="L65" s="121">
        <f>L63+L64</f>
        <v>152.37773345159439</v>
      </c>
      <c r="M65" s="122"/>
      <c r="N65" s="123">
        <f t="shared" si="9"/>
        <v>-3.2399849484056062</v>
      </c>
      <c r="O65" s="124">
        <f t="shared" si="11"/>
        <v>-2.0820154553850639E-2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152.55568</v>
      </c>
      <c r="I67" s="136"/>
      <c r="J67" s="137"/>
      <c r="K67" s="137"/>
      <c r="L67" s="188">
        <f>SUM(L58:L59,L50,L51:L54)</f>
        <v>149.36985261203043</v>
      </c>
      <c r="M67" s="138"/>
      <c r="N67" s="139">
        <f>L67-H67</f>
        <v>-3.1858273879695673</v>
      </c>
      <c r="O67" s="99">
        <f>IF((H67)=0,"",(N67/H67))</f>
        <v>-2.0883046688065416E-2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19.832238400000001</v>
      </c>
      <c r="I68" s="143"/>
      <c r="J68" s="144">
        <v>0.13</v>
      </c>
      <c r="K68" s="145"/>
      <c r="L68" s="146">
        <f>L67*J68</f>
        <v>19.418080839563956</v>
      </c>
      <c r="M68" s="147"/>
      <c r="N68" s="148">
        <f>L68-H68</f>
        <v>-0.41415756043604546</v>
      </c>
      <c r="O68" s="109">
        <f>IF((H68)=0,"",(N68/H68))</f>
        <v>-2.0883046688065499E-2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172.38791839999999</v>
      </c>
      <c r="I69" s="143"/>
      <c r="J69" s="143"/>
      <c r="K69" s="143"/>
      <c r="L69" s="146">
        <f>L67+L68</f>
        <v>168.78793345159437</v>
      </c>
      <c r="M69" s="147"/>
      <c r="N69" s="148">
        <f>L69-H69</f>
        <v>-3.5999849484056199</v>
      </c>
      <c r="O69" s="109">
        <f>IF((H69)=0,"",(N69/H69))</f>
        <v>-2.0883046688065468E-2</v>
      </c>
    </row>
    <row r="70" spans="1:15" s="73" customFormat="1" ht="15.75" customHeight="1" x14ac:dyDescent="0.2">
      <c r="B70" s="249" t="s">
        <v>43</v>
      </c>
      <c r="C70" s="249"/>
      <c r="D70" s="249"/>
      <c r="E70" s="75"/>
      <c r="F70" s="150"/>
      <c r="G70" s="151"/>
      <c r="H70" s="152">
        <f>ROUND(-H69*10%,2)</f>
        <v>-17.239999999999998</v>
      </c>
      <c r="I70" s="143"/>
      <c r="J70" s="143"/>
      <c r="K70" s="143"/>
      <c r="L70" s="153">
        <f>ROUND(-L69*10%,2)</f>
        <v>-16.88</v>
      </c>
      <c r="M70" s="147"/>
      <c r="N70" s="154">
        <f>L70-H70</f>
        <v>0.35999999999999943</v>
      </c>
      <c r="O70" s="115">
        <f>IF((H70)=0,"",(N70/H70))</f>
        <v>-2.0881670533642659E-2</v>
      </c>
    </row>
    <row r="71" spans="1:15" s="73" customFormat="1" ht="13.5" thickBot="1" x14ac:dyDescent="0.25">
      <c r="B71" s="241" t="s">
        <v>46</v>
      </c>
      <c r="C71" s="241"/>
      <c r="D71" s="241"/>
      <c r="E71" s="155"/>
      <c r="F71" s="156"/>
      <c r="G71" s="157"/>
      <c r="H71" s="158">
        <f>SUM(H69:H70)</f>
        <v>155.14791839999998</v>
      </c>
      <c r="I71" s="159"/>
      <c r="J71" s="159"/>
      <c r="K71" s="159"/>
      <c r="L71" s="160">
        <f>SUM(L69:L70)</f>
        <v>151.90793345159437</v>
      </c>
      <c r="M71" s="161"/>
      <c r="N71" s="162">
        <f>L71-H71</f>
        <v>-3.2399849484056062</v>
      </c>
      <c r="O71" s="163">
        <f>IF((H71)=0,"",(N71/H71))</f>
        <v>-2.0883199606019379E-2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9:O9"/>
    <mergeCell ref="N1:O1"/>
    <mergeCell ref="N2:O2"/>
    <mergeCell ref="N3:O3"/>
    <mergeCell ref="N5:O5"/>
    <mergeCell ref="B8:O8"/>
    <mergeCell ref="B64:D64"/>
    <mergeCell ref="B65:D65"/>
    <mergeCell ref="B70:D70"/>
    <mergeCell ref="B71:D71"/>
    <mergeCell ref="D12:O12"/>
    <mergeCell ref="F18:H18"/>
    <mergeCell ref="J18:L18"/>
    <mergeCell ref="N18:O18"/>
    <mergeCell ref="D19:D20"/>
    <mergeCell ref="N19:N20"/>
    <mergeCell ref="O19:O20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48:E49 E51:E60 E39:E46 E66 E72 E21:E24 E26:E37">
      <formula1>#REF!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theme="0" tint="-0.14999847407452621"/>
    <pageSetUpPr fitToPage="1"/>
  </sheetPr>
  <dimension ref="A1:T90"/>
  <sheetViews>
    <sheetView showGridLines="0" workbookViewId="0">
      <selection activeCell="R16" sqref="R16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8-D</v>
      </c>
      <c r="O3" s="234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34">
        <f>'Res (100kWh)'!$N$5:$O$5</f>
        <v>41985</v>
      </c>
      <c r="O5" s="234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59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1500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14.64</v>
      </c>
      <c r="G21" s="26">
        <v>1</v>
      </c>
      <c r="H21" s="27">
        <f>G21*F21</f>
        <v>14.64</v>
      </c>
      <c r="I21" s="28"/>
      <c r="J21" s="173">
        <v>16.850000000000001</v>
      </c>
      <c r="K21" s="30">
        <v>1</v>
      </c>
      <c r="L21" s="27">
        <f>K21*J21</f>
        <v>16.850000000000001</v>
      </c>
      <c r="M21" s="28"/>
      <c r="N21" s="31">
        <f>L21-H21</f>
        <v>2.2100000000000009</v>
      </c>
      <c r="O21" s="32">
        <f>IF((H21)=0,"",(N21/H21))</f>
        <v>0.15095628415300552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v>0.8495330863269237</v>
      </c>
      <c r="K24" s="30">
        <v>1</v>
      </c>
      <c r="L24" s="27">
        <f t="shared" si="1"/>
        <v>0.8495330863269237</v>
      </c>
      <c r="M24" s="28"/>
      <c r="N24" s="31">
        <f t="shared" si="2"/>
        <v>0.8495330863269237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1500</v>
      </c>
      <c r="H25" s="27">
        <f t="shared" si="0"/>
        <v>0</v>
      </c>
      <c r="I25" s="28"/>
      <c r="J25" s="29">
        <v>1.9720869946651326E-4</v>
      </c>
      <c r="K25" s="26">
        <f>$F$16</f>
        <v>1500</v>
      </c>
      <c r="L25" s="27">
        <f t="shared" si="1"/>
        <v>0.29581304919976992</v>
      </c>
      <c r="M25" s="28"/>
      <c r="N25" s="31">
        <f t="shared" si="2"/>
        <v>0.29581304919976992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1500</v>
      </c>
      <c r="H26" s="27">
        <f t="shared" si="0"/>
        <v>-0.3</v>
      </c>
      <c r="I26" s="28"/>
      <c r="J26" s="173"/>
      <c r="K26" s="26">
        <f>$F$16</f>
        <v>1500</v>
      </c>
      <c r="L26" s="27">
        <f t="shared" si="1"/>
        <v>0</v>
      </c>
      <c r="M26" s="28"/>
      <c r="N26" s="31">
        <f t="shared" si="2"/>
        <v>0.3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1500</v>
      </c>
      <c r="H27" s="27">
        <f t="shared" si="0"/>
        <v>0</v>
      </c>
      <c r="I27" s="28"/>
      <c r="J27" s="29">
        <v>-7.1368536247813138E-3</v>
      </c>
      <c r="K27" s="26">
        <f>$F$16</f>
        <v>1500</v>
      </c>
      <c r="L27" s="27">
        <f t="shared" si="1"/>
        <v>-10.70528043717197</v>
      </c>
      <c r="M27" s="28"/>
      <c r="N27" s="31">
        <f t="shared" si="2"/>
        <v>-10.70528043717197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v>1.3100000000000001E-2</v>
      </c>
      <c r="G28" s="26">
        <f>$F$16</f>
        <v>1500</v>
      </c>
      <c r="H28" s="27">
        <f t="shared" si="0"/>
        <v>19.650000000000002</v>
      </c>
      <c r="I28" s="28"/>
      <c r="J28" s="29">
        <v>1.5100000000000001E-2</v>
      </c>
      <c r="K28" s="26">
        <f>$F$16</f>
        <v>1500</v>
      </c>
      <c r="L28" s="27">
        <f t="shared" si="1"/>
        <v>22.650000000000002</v>
      </c>
      <c r="M28" s="28"/>
      <c r="N28" s="31">
        <f t="shared" si="2"/>
        <v>3</v>
      </c>
      <c r="O28" s="32">
        <f t="shared" si="3"/>
        <v>0.15267175572519082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1500</v>
      </c>
      <c r="H29" s="27">
        <f t="shared" si="0"/>
        <v>0</v>
      </c>
      <c r="I29" s="28"/>
      <c r="J29" s="29"/>
      <c r="K29" s="26">
        <f t="shared" ref="K29:K37" si="5">$F$16</f>
        <v>1500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1500</v>
      </c>
      <c r="H30" s="27">
        <f t="shared" si="0"/>
        <v>0</v>
      </c>
      <c r="I30" s="28"/>
      <c r="J30" s="29"/>
      <c r="K30" s="26">
        <f t="shared" si="5"/>
        <v>1500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1500</v>
      </c>
      <c r="H31" s="27">
        <f t="shared" si="0"/>
        <v>0</v>
      </c>
      <c r="I31" s="28"/>
      <c r="J31" s="29"/>
      <c r="K31" s="26">
        <f t="shared" si="5"/>
        <v>1500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1500</v>
      </c>
      <c r="H32" s="27">
        <f t="shared" si="0"/>
        <v>0</v>
      </c>
      <c r="I32" s="28"/>
      <c r="J32" s="29"/>
      <c r="K32" s="26">
        <f t="shared" si="5"/>
        <v>1500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1500</v>
      </c>
      <c r="H33" s="27">
        <f t="shared" si="0"/>
        <v>0</v>
      </c>
      <c r="I33" s="28"/>
      <c r="J33" s="29"/>
      <c r="K33" s="26">
        <f t="shared" si="5"/>
        <v>1500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1500</v>
      </c>
      <c r="H34" s="27">
        <f t="shared" si="0"/>
        <v>0</v>
      </c>
      <c r="I34" s="28"/>
      <c r="J34" s="29"/>
      <c r="K34" s="26">
        <f t="shared" si="5"/>
        <v>1500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1500</v>
      </c>
      <c r="H35" s="27">
        <f t="shared" si="0"/>
        <v>0</v>
      </c>
      <c r="I35" s="28"/>
      <c r="J35" s="29"/>
      <c r="K35" s="26">
        <f t="shared" si="5"/>
        <v>1500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1500</v>
      </c>
      <c r="H36" s="27">
        <f t="shared" si="0"/>
        <v>0</v>
      </c>
      <c r="I36" s="28"/>
      <c r="J36" s="29"/>
      <c r="K36" s="26">
        <f t="shared" si="5"/>
        <v>1500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1500</v>
      </c>
      <c r="H37" s="27">
        <f t="shared" si="0"/>
        <v>0</v>
      </c>
      <c r="I37" s="28"/>
      <c r="J37" s="29"/>
      <c r="K37" s="26">
        <f t="shared" si="5"/>
        <v>1500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36.69</v>
      </c>
      <c r="I38" s="41"/>
      <c r="J38" s="42"/>
      <c r="K38" s="43"/>
      <c r="L38" s="40">
        <f>SUM(L21:L37)</f>
        <v>29.940065698354729</v>
      </c>
      <c r="M38" s="41"/>
      <c r="N38" s="44">
        <f t="shared" si="2"/>
        <v>-6.7499343016452684</v>
      </c>
      <c r="O38" s="45">
        <f t="shared" si="3"/>
        <v>-0.18397204419856278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1500</v>
      </c>
      <c r="H40" s="27">
        <f t="shared" ref="H40:H46" si="7">G40*F40</f>
        <v>-2.6999999999999997</v>
      </c>
      <c r="I40" s="28"/>
      <c r="J40" s="29">
        <v>-8.2813333909562397E-4</v>
      </c>
      <c r="K40" s="26">
        <f>$F$16</f>
        <v>1500</v>
      </c>
      <c r="L40" s="27">
        <f t="shared" ref="L40:L46" si="8">K40*J40</f>
        <v>-1.2422000086434359</v>
      </c>
      <c r="M40" s="28"/>
      <c r="N40" s="31">
        <f t="shared" ref="N40:N65" si="9">L40-H40</f>
        <v>1.4577999913565638</v>
      </c>
      <c r="O40" s="32">
        <f t="shared" ref="O40:O45" si="10">IF((H40)=0,"",(N40/H40))</f>
        <v>-0.53992592272465334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1500</v>
      </c>
      <c r="H41" s="27">
        <f t="shared" si="7"/>
        <v>0</v>
      </c>
      <c r="I41" s="47"/>
      <c r="J41" s="29"/>
      <c r="K41" s="26">
        <f>$F$16</f>
        <v>1500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1500</v>
      </c>
      <c r="H42" s="27">
        <f t="shared" si="7"/>
        <v>0</v>
      </c>
      <c r="I42" s="47"/>
      <c r="J42" s="29"/>
      <c r="K42" s="26">
        <f>$F$16</f>
        <v>1500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1500</v>
      </c>
      <c r="H43" s="27">
        <f t="shared" si="7"/>
        <v>0</v>
      </c>
      <c r="I43" s="47"/>
      <c r="J43" s="29"/>
      <c r="K43" s="26">
        <f>$F$16</f>
        <v>1500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1500</v>
      </c>
      <c r="H44" s="27">
        <f t="shared" si="7"/>
        <v>6.0000000000000005E-2</v>
      </c>
      <c r="I44" s="28"/>
      <c r="J44" s="195">
        <v>4.0000000000000003E-5</v>
      </c>
      <c r="K44" s="26">
        <f>$F$16</f>
        <v>1500</v>
      </c>
      <c r="L44" s="27">
        <f t="shared" si="8"/>
        <v>6.0000000000000005E-2</v>
      </c>
      <c r="M44" s="28"/>
      <c r="N44" s="31">
        <f t="shared" si="9"/>
        <v>0</v>
      </c>
      <c r="O44" s="32">
        <f t="shared" si="10"/>
        <v>0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72</v>
      </c>
      <c r="H45" s="183">
        <f t="shared" si="7"/>
        <v>6.6571199999999999</v>
      </c>
      <c r="I45" s="57"/>
      <c r="J45" s="184">
        <f>0.64*$F$55+0.18*$F$56+0.18*$F$57</f>
        <v>9.2460000000000001E-2</v>
      </c>
      <c r="K45" s="26">
        <f>$F$16*(1+$J$74)-$F$16</f>
        <v>70.649999999999864</v>
      </c>
      <c r="L45" s="183">
        <f t="shared" si="8"/>
        <v>6.5322989999999876</v>
      </c>
      <c r="M45" s="57"/>
      <c r="N45" s="185">
        <f t="shared" si="9"/>
        <v>-0.12482100000001228</v>
      </c>
      <c r="O45" s="186">
        <f t="shared" si="10"/>
        <v>-1.8750000000001845E-2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41.497119999999995</v>
      </c>
      <c r="I47" s="41"/>
      <c r="J47" s="53"/>
      <c r="K47" s="55"/>
      <c r="L47" s="54">
        <f>SUM(L39:L46)+L38</f>
        <v>36.080164689711282</v>
      </c>
      <c r="M47" s="41"/>
      <c r="N47" s="44">
        <f t="shared" si="9"/>
        <v>-5.4169553102887136</v>
      </c>
      <c r="O47" s="45">
        <f t="shared" ref="O47:O65" si="11">IF((H47)=0,"",(N47/H47))</f>
        <v>-0.13053810265118915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1572</v>
      </c>
      <c r="H48" s="27">
        <f>G48*F48</f>
        <v>11.4756</v>
      </c>
      <c r="I48" s="28"/>
      <c r="J48" s="29">
        <v>7.5910048339565368E-3</v>
      </c>
      <c r="K48" s="59">
        <f>F16*(1+J74)</f>
        <v>1570.6499999999999</v>
      </c>
      <c r="L48" s="27">
        <f>K48*J48</f>
        <v>11.922811742453833</v>
      </c>
      <c r="M48" s="28"/>
      <c r="N48" s="31">
        <f t="shared" si="9"/>
        <v>0.44721174245383288</v>
      </c>
      <c r="O48" s="32">
        <f t="shared" si="11"/>
        <v>3.8970663185701214E-2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1572</v>
      </c>
      <c r="H49" s="27">
        <f>G49*F49</f>
        <v>8.9603999999999999</v>
      </c>
      <c r="I49" s="28"/>
      <c r="J49" s="29">
        <v>5.7169521807640556E-3</v>
      </c>
      <c r="K49" s="59">
        <f>K48</f>
        <v>1570.6499999999999</v>
      </c>
      <c r="L49" s="27">
        <f>K49*J49</f>
        <v>8.9793309427170627</v>
      </c>
      <c r="M49" s="28"/>
      <c r="N49" s="31">
        <f t="shared" si="9"/>
        <v>1.8930942717062749E-2</v>
      </c>
      <c r="O49" s="32">
        <f t="shared" si="11"/>
        <v>2.1127341097565678E-3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61.933119999999995</v>
      </c>
      <c r="I50" s="62"/>
      <c r="J50" s="63"/>
      <c r="K50" s="64"/>
      <c r="L50" s="54">
        <f>SUM(L47:L49)</f>
        <v>56.982307374882176</v>
      </c>
      <c r="M50" s="62"/>
      <c r="N50" s="44">
        <f t="shared" si="9"/>
        <v>-4.9508126251178197</v>
      </c>
      <c r="O50" s="45">
        <f t="shared" si="11"/>
        <v>-7.9938046478488733E-2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1572</v>
      </c>
      <c r="H51" s="67">
        <f t="shared" ref="H51:H57" si="12">G51*F51</f>
        <v>6.9168000000000003</v>
      </c>
      <c r="I51" s="28"/>
      <c r="J51" s="66">
        <v>4.4000000000000003E-3</v>
      </c>
      <c r="K51" s="59">
        <f>K49</f>
        <v>1570.6499999999999</v>
      </c>
      <c r="L51" s="67">
        <f t="shared" ref="L51:L57" si="13">K51*J51</f>
        <v>6.9108599999999996</v>
      </c>
      <c r="M51" s="28"/>
      <c r="N51" s="31">
        <f t="shared" si="9"/>
        <v>-5.9400000000007225E-3</v>
      </c>
      <c r="O51" s="68">
        <f t="shared" si="11"/>
        <v>-8.5877862595430286E-4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1572</v>
      </c>
      <c r="H52" s="67">
        <f t="shared" si="12"/>
        <v>2.0436000000000001</v>
      </c>
      <c r="I52" s="28"/>
      <c r="J52" s="66">
        <v>1.2999999999999999E-3</v>
      </c>
      <c r="K52" s="59">
        <f>K49</f>
        <v>1570.6499999999999</v>
      </c>
      <c r="L52" s="67">
        <f t="shared" si="13"/>
        <v>2.0418449999999999</v>
      </c>
      <c r="M52" s="28"/>
      <c r="N52" s="31">
        <f t="shared" si="9"/>
        <v>-1.7550000000001731E-3</v>
      </c>
      <c r="O52" s="68">
        <f t="shared" si="11"/>
        <v>-8.5877862595428313E-4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2"/>
        <v>0.25</v>
      </c>
      <c r="I53" s="28"/>
      <c r="J53" s="176">
        <v>0.25</v>
      </c>
      <c r="K53" s="30">
        <v>1</v>
      </c>
      <c r="L53" s="67">
        <f t="shared" si="13"/>
        <v>0.25</v>
      </c>
      <c r="M53" s="28"/>
      <c r="N53" s="31">
        <f t="shared" si="9"/>
        <v>0</v>
      </c>
      <c r="O53" s="68">
        <f t="shared" si="11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1500</v>
      </c>
      <c r="H54" s="67">
        <f t="shared" si="12"/>
        <v>10.5</v>
      </c>
      <c r="I54" s="28"/>
      <c r="J54" s="66">
        <v>7.0000000000000001E-3</v>
      </c>
      <c r="K54" s="70">
        <f>F16</f>
        <v>1500</v>
      </c>
      <c r="L54" s="67">
        <f t="shared" si="13"/>
        <v>10.5</v>
      </c>
      <c r="M54" s="28"/>
      <c r="N54" s="31">
        <f t="shared" si="9"/>
        <v>0</v>
      </c>
      <c r="O54" s="68">
        <f t="shared" si="11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960</v>
      </c>
      <c r="H55" s="67">
        <f t="shared" si="12"/>
        <v>72</v>
      </c>
      <c r="I55" s="28"/>
      <c r="J55" s="66">
        <v>7.4999999999999997E-2</v>
      </c>
      <c r="K55" s="69">
        <f>G55</f>
        <v>960</v>
      </c>
      <c r="L55" s="67">
        <f t="shared" si="13"/>
        <v>72</v>
      </c>
      <c r="M55" s="28"/>
      <c r="N55" s="31">
        <f t="shared" si="9"/>
        <v>0</v>
      </c>
      <c r="O55" s="68">
        <f t="shared" si="11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270</v>
      </c>
      <c r="H56" s="67">
        <f t="shared" si="12"/>
        <v>30.240000000000002</v>
      </c>
      <c r="I56" s="28"/>
      <c r="J56" s="66">
        <v>0.112</v>
      </c>
      <c r="K56" s="69">
        <f>G56</f>
        <v>270</v>
      </c>
      <c r="L56" s="67">
        <f t="shared" si="13"/>
        <v>30.240000000000002</v>
      </c>
      <c r="M56" s="28"/>
      <c r="N56" s="31">
        <f t="shared" si="9"/>
        <v>0</v>
      </c>
      <c r="O56" s="68">
        <f t="shared" si="11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270</v>
      </c>
      <c r="H57" s="67">
        <f t="shared" si="12"/>
        <v>36.450000000000003</v>
      </c>
      <c r="I57" s="28"/>
      <c r="J57" s="66">
        <v>0.13500000000000001</v>
      </c>
      <c r="K57" s="69">
        <f>G57</f>
        <v>270</v>
      </c>
      <c r="L57" s="67">
        <f t="shared" si="13"/>
        <v>36.450000000000003</v>
      </c>
      <c r="M57" s="28"/>
      <c r="N57" s="31">
        <f t="shared" si="9"/>
        <v>0</v>
      </c>
      <c r="O57" s="68">
        <f t="shared" si="11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9"/>
        <v>0</v>
      </c>
      <c r="O58" s="68">
        <f t="shared" si="11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900</v>
      </c>
      <c r="H59" s="67">
        <f>G59*F59</f>
        <v>90.9</v>
      </c>
      <c r="I59" s="79"/>
      <c r="J59" s="66">
        <v>0.10100000000000001</v>
      </c>
      <c r="K59" s="78">
        <f>G59</f>
        <v>900</v>
      </c>
      <c r="L59" s="67">
        <f>K59*J59</f>
        <v>90.9</v>
      </c>
      <c r="M59" s="79"/>
      <c r="N59" s="80">
        <f t="shared" si="9"/>
        <v>0</v>
      </c>
      <c r="O59" s="68">
        <f t="shared" si="11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220.33351999999999</v>
      </c>
      <c r="I61" s="95"/>
      <c r="J61" s="96"/>
      <c r="K61" s="96"/>
      <c r="L61" s="189">
        <f>SUM(L51:L57,L50)</f>
        <v>215.3750123748822</v>
      </c>
      <c r="M61" s="97"/>
      <c r="N61" s="98">
        <f>L61-H61</f>
        <v>-4.9585076251177895</v>
      </c>
      <c r="O61" s="99">
        <f>IF((H61)=0,"",(N61/H61))</f>
        <v>-2.2504554119217948E-2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28.643357600000002</v>
      </c>
      <c r="I62" s="104"/>
      <c r="J62" s="105">
        <v>0.13</v>
      </c>
      <c r="K62" s="104"/>
      <c r="L62" s="106">
        <f>L61*J62</f>
        <v>27.998751608734686</v>
      </c>
      <c r="M62" s="107"/>
      <c r="N62" s="108">
        <f t="shared" si="9"/>
        <v>-0.64460599126531548</v>
      </c>
      <c r="O62" s="109">
        <f t="shared" si="11"/>
        <v>-2.2504554119218045E-2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248.97687759999999</v>
      </c>
      <c r="I63" s="104"/>
      <c r="J63" s="104"/>
      <c r="K63" s="104"/>
      <c r="L63" s="106">
        <f>L61+L62</f>
        <v>243.3737639836169</v>
      </c>
      <c r="M63" s="107"/>
      <c r="N63" s="108">
        <f t="shared" si="9"/>
        <v>-5.6031136163830979</v>
      </c>
      <c r="O63" s="109">
        <f t="shared" si="11"/>
        <v>-2.250455411921793E-2</v>
      </c>
      <c r="S63" s="72"/>
    </row>
    <row r="64" spans="2:19" ht="15.75" customHeight="1" x14ac:dyDescent="0.25">
      <c r="B64" s="248" t="s">
        <v>43</v>
      </c>
      <c r="C64" s="248"/>
      <c r="D64" s="248"/>
      <c r="E64" s="22"/>
      <c r="F64" s="111"/>
      <c r="G64" s="102"/>
      <c r="H64" s="112">
        <f>ROUND(-H63*10%,2)</f>
        <v>-24.9</v>
      </c>
      <c r="I64" s="104"/>
      <c r="J64" s="104"/>
      <c r="K64" s="104"/>
      <c r="L64" s="113">
        <f>ROUND(-L63*10%,2)</f>
        <v>-24.34</v>
      </c>
      <c r="M64" s="107"/>
      <c r="N64" s="114">
        <f t="shared" si="9"/>
        <v>0.55999999999999872</v>
      </c>
      <c r="O64" s="115">
        <f t="shared" si="11"/>
        <v>-2.2489959839357379E-2</v>
      </c>
    </row>
    <row r="65" spans="1:15" ht="15.75" thickBot="1" x14ac:dyDescent="0.3">
      <c r="B65" s="240" t="s">
        <v>44</v>
      </c>
      <c r="C65" s="240"/>
      <c r="D65" s="240"/>
      <c r="E65" s="116"/>
      <c r="F65" s="117"/>
      <c r="G65" s="118"/>
      <c r="H65" s="119">
        <f>H63+H64</f>
        <v>224.07687759999999</v>
      </c>
      <c r="I65" s="120"/>
      <c r="J65" s="120"/>
      <c r="K65" s="120"/>
      <c r="L65" s="121">
        <f>L63+L64</f>
        <v>219.03376398361689</v>
      </c>
      <c r="M65" s="122"/>
      <c r="N65" s="123">
        <f t="shared" si="9"/>
        <v>-5.0431136163830956</v>
      </c>
      <c r="O65" s="124">
        <f t="shared" si="11"/>
        <v>-2.2506175873199939E-2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224.14352</v>
      </c>
      <c r="I67" s="136"/>
      <c r="J67" s="137"/>
      <c r="K67" s="137"/>
      <c r="L67" s="188">
        <f>SUM(L58:L59,L50,L51:L54)</f>
        <v>219.18501237488218</v>
      </c>
      <c r="M67" s="138"/>
      <c r="N67" s="139">
        <f>L67-H67</f>
        <v>-4.958507625117818</v>
      </c>
      <c r="O67" s="99">
        <f>IF((H67)=0,"",(N67/H67))</f>
        <v>-2.2122020860196261E-2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29.138657600000002</v>
      </c>
      <c r="I68" s="143"/>
      <c r="J68" s="144">
        <v>0.13</v>
      </c>
      <c r="K68" s="145"/>
      <c r="L68" s="146">
        <f>L67*J68</f>
        <v>28.494051608734683</v>
      </c>
      <c r="M68" s="147"/>
      <c r="N68" s="148">
        <f>L68-H68</f>
        <v>-0.64460599126531903</v>
      </c>
      <c r="O68" s="109">
        <f>IF((H68)=0,"",(N68/H68))</f>
        <v>-2.2122020860196354E-2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253.28217760000001</v>
      </c>
      <c r="I69" s="143"/>
      <c r="J69" s="143"/>
      <c r="K69" s="143"/>
      <c r="L69" s="146">
        <f>L67+L68</f>
        <v>247.67906398361686</v>
      </c>
      <c r="M69" s="147"/>
      <c r="N69" s="148">
        <f>L69-H69</f>
        <v>-5.6031136163831547</v>
      </c>
      <c r="O69" s="109">
        <f>IF((H69)=0,"",(N69/H69))</f>
        <v>-2.212202086019634E-2</v>
      </c>
    </row>
    <row r="70" spans="1:15" s="73" customFormat="1" ht="15.75" customHeight="1" x14ac:dyDescent="0.2">
      <c r="B70" s="249" t="s">
        <v>43</v>
      </c>
      <c r="C70" s="249"/>
      <c r="D70" s="249"/>
      <c r="E70" s="75"/>
      <c r="F70" s="150"/>
      <c r="G70" s="151"/>
      <c r="H70" s="152">
        <f>ROUND(-H69*10%,2)</f>
        <v>-25.33</v>
      </c>
      <c r="I70" s="143"/>
      <c r="J70" s="143"/>
      <c r="K70" s="143"/>
      <c r="L70" s="153">
        <f>ROUND(-L69*10%,2)</f>
        <v>-24.77</v>
      </c>
      <c r="M70" s="147"/>
      <c r="N70" s="154">
        <f>L70-H70</f>
        <v>0.55999999999999872</v>
      </c>
      <c r="O70" s="115">
        <f>IF((H70)=0,"",(N70/H70))</f>
        <v>-2.2108172127911517E-2</v>
      </c>
    </row>
    <row r="71" spans="1:15" s="73" customFormat="1" ht="13.5" thickBot="1" x14ac:dyDescent="0.25">
      <c r="B71" s="241" t="s">
        <v>46</v>
      </c>
      <c r="C71" s="241"/>
      <c r="D71" s="241"/>
      <c r="E71" s="155"/>
      <c r="F71" s="156"/>
      <c r="G71" s="157"/>
      <c r="H71" s="158">
        <f>SUM(H69:H70)</f>
        <v>227.95217760000003</v>
      </c>
      <c r="I71" s="159"/>
      <c r="J71" s="159"/>
      <c r="K71" s="159"/>
      <c r="L71" s="160">
        <f>SUM(L69:L70)</f>
        <v>222.90906398361685</v>
      </c>
      <c r="M71" s="161"/>
      <c r="N71" s="162">
        <f>L71-H71</f>
        <v>-5.0431136163831809</v>
      </c>
      <c r="O71" s="163">
        <f>IF((H71)=0,"",(N71/H71))</f>
        <v>-2.2123559728534834E-2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9:O9"/>
    <mergeCell ref="N1:O1"/>
    <mergeCell ref="N2:O2"/>
    <mergeCell ref="N3:O3"/>
    <mergeCell ref="N5:O5"/>
    <mergeCell ref="B8:O8"/>
    <mergeCell ref="B64:D64"/>
    <mergeCell ref="B65:D65"/>
    <mergeCell ref="B70:D70"/>
    <mergeCell ref="B71:D71"/>
    <mergeCell ref="D12:O12"/>
    <mergeCell ref="F18:H18"/>
    <mergeCell ref="J18:L18"/>
    <mergeCell ref="N18:O18"/>
    <mergeCell ref="D19:D20"/>
    <mergeCell ref="N19:N20"/>
    <mergeCell ref="O19:O20"/>
  </mergeCells>
  <dataValidations count="3">
    <dataValidation type="list" allowBlank="1" showInputMessage="1" showErrorMessage="1" sqref="E48:E49 E51:E60 E39:E46 E66 E72 E21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0" tint="-0.14999847407452621"/>
    <pageSetUpPr fitToPage="1"/>
  </sheetPr>
  <dimension ref="A1:T90"/>
  <sheetViews>
    <sheetView showGridLines="0" workbookViewId="0">
      <selection activeCell="L1" sqref="L1:O5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8-D</v>
      </c>
      <c r="O3" s="234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34">
        <f>'Res (100kWh)'!$N$5:$O$5</f>
        <v>41985</v>
      </c>
      <c r="O5" s="234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59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2000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14.64</v>
      </c>
      <c r="G21" s="26">
        <v>1</v>
      </c>
      <c r="H21" s="27">
        <f>G21*F21</f>
        <v>14.64</v>
      </c>
      <c r="I21" s="28"/>
      <c r="J21" s="173">
        <v>16.850000000000001</v>
      </c>
      <c r="K21" s="30">
        <v>1</v>
      </c>
      <c r="L21" s="27">
        <f>K21*J21</f>
        <v>16.850000000000001</v>
      </c>
      <c r="M21" s="28"/>
      <c r="N21" s="31">
        <f>L21-H21</f>
        <v>2.2100000000000009</v>
      </c>
      <c r="O21" s="32">
        <f>IF((H21)=0,"",(N21/H21))</f>
        <v>0.15095628415300552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v>0.8495330863269237</v>
      </c>
      <c r="K24" s="30">
        <v>1</v>
      </c>
      <c r="L24" s="27">
        <f t="shared" si="1"/>
        <v>0.8495330863269237</v>
      </c>
      <c r="M24" s="28"/>
      <c r="N24" s="31">
        <f t="shared" si="2"/>
        <v>0.8495330863269237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2000</v>
      </c>
      <c r="H25" s="27">
        <f t="shared" si="0"/>
        <v>0</v>
      </c>
      <c r="I25" s="28"/>
      <c r="J25" s="29">
        <v>1.9720869946651326E-4</v>
      </c>
      <c r="K25" s="26">
        <f>$F$16</f>
        <v>2000</v>
      </c>
      <c r="L25" s="27">
        <f t="shared" si="1"/>
        <v>0.39441739893302652</v>
      </c>
      <c r="M25" s="28"/>
      <c r="N25" s="31">
        <f t="shared" si="2"/>
        <v>0.39441739893302652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2000</v>
      </c>
      <c r="H26" s="27">
        <f t="shared" si="0"/>
        <v>-0.4</v>
      </c>
      <c r="I26" s="28"/>
      <c r="J26" s="173"/>
      <c r="K26" s="26">
        <f>$F$16</f>
        <v>2000</v>
      </c>
      <c r="L26" s="27">
        <f t="shared" si="1"/>
        <v>0</v>
      </c>
      <c r="M26" s="28"/>
      <c r="N26" s="31">
        <f t="shared" si="2"/>
        <v>0.4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2000</v>
      </c>
      <c r="H27" s="27">
        <f t="shared" si="0"/>
        <v>0</v>
      </c>
      <c r="I27" s="28"/>
      <c r="J27" s="29">
        <v>-7.1368536247813138E-3</v>
      </c>
      <c r="K27" s="26">
        <f>$F$16</f>
        <v>2000</v>
      </c>
      <c r="L27" s="27">
        <f t="shared" si="1"/>
        <v>-14.273707249562628</v>
      </c>
      <c r="M27" s="28"/>
      <c r="N27" s="31">
        <f t="shared" si="2"/>
        <v>-14.273707249562628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v>1.3100000000000001E-2</v>
      </c>
      <c r="G28" s="26">
        <f>$F$16</f>
        <v>2000</v>
      </c>
      <c r="H28" s="27">
        <f t="shared" si="0"/>
        <v>26.200000000000003</v>
      </c>
      <c r="I28" s="28"/>
      <c r="J28" s="29">
        <v>1.5100000000000001E-2</v>
      </c>
      <c r="K28" s="26">
        <f>$F$16</f>
        <v>2000</v>
      </c>
      <c r="L28" s="27">
        <f t="shared" si="1"/>
        <v>30.200000000000003</v>
      </c>
      <c r="M28" s="28"/>
      <c r="N28" s="31">
        <f t="shared" si="2"/>
        <v>4</v>
      </c>
      <c r="O28" s="32">
        <f t="shared" si="3"/>
        <v>0.15267175572519082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2000</v>
      </c>
      <c r="H29" s="27">
        <f t="shared" si="0"/>
        <v>0</v>
      </c>
      <c r="I29" s="28"/>
      <c r="J29" s="29"/>
      <c r="K29" s="26">
        <f t="shared" ref="K29:K37" si="5">$F$16</f>
        <v>2000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2000</v>
      </c>
      <c r="H30" s="27">
        <f t="shared" si="0"/>
        <v>0</v>
      </c>
      <c r="I30" s="28"/>
      <c r="J30" s="29"/>
      <c r="K30" s="26">
        <f t="shared" si="5"/>
        <v>2000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2000</v>
      </c>
      <c r="H31" s="27">
        <f t="shared" si="0"/>
        <v>0</v>
      </c>
      <c r="I31" s="28"/>
      <c r="J31" s="29"/>
      <c r="K31" s="26">
        <f t="shared" si="5"/>
        <v>2000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2000</v>
      </c>
      <c r="H32" s="27">
        <f t="shared" si="0"/>
        <v>0</v>
      </c>
      <c r="I32" s="28"/>
      <c r="J32" s="29"/>
      <c r="K32" s="26">
        <f t="shared" si="5"/>
        <v>2000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2000</v>
      </c>
      <c r="H33" s="27">
        <f t="shared" si="0"/>
        <v>0</v>
      </c>
      <c r="I33" s="28"/>
      <c r="J33" s="29"/>
      <c r="K33" s="26">
        <f t="shared" si="5"/>
        <v>2000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2000</v>
      </c>
      <c r="H34" s="27">
        <f t="shared" si="0"/>
        <v>0</v>
      </c>
      <c r="I34" s="28"/>
      <c r="J34" s="29"/>
      <c r="K34" s="26">
        <f t="shared" si="5"/>
        <v>2000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2000</v>
      </c>
      <c r="H35" s="27">
        <f t="shared" si="0"/>
        <v>0</v>
      </c>
      <c r="I35" s="28"/>
      <c r="J35" s="29"/>
      <c r="K35" s="26">
        <f t="shared" si="5"/>
        <v>2000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2000</v>
      </c>
      <c r="H36" s="27">
        <f t="shared" si="0"/>
        <v>0</v>
      </c>
      <c r="I36" s="28"/>
      <c r="J36" s="29"/>
      <c r="K36" s="26">
        <f t="shared" si="5"/>
        <v>2000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2000</v>
      </c>
      <c r="H37" s="27">
        <f t="shared" si="0"/>
        <v>0</v>
      </c>
      <c r="I37" s="28"/>
      <c r="J37" s="29"/>
      <c r="K37" s="26">
        <f t="shared" si="5"/>
        <v>2000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43.14</v>
      </c>
      <c r="I38" s="41"/>
      <c r="J38" s="42"/>
      <c r="K38" s="43"/>
      <c r="L38" s="40">
        <f>SUM(L21:L37)</f>
        <v>34.020243235697329</v>
      </c>
      <c r="M38" s="41"/>
      <c r="N38" s="44">
        <f t="shared" si="2"/>
        <v>-9.1197567643026716</v>
      </c>
      <c r="O38" s="45">
        <f t="shared" si="3"/>
        <v>-0.21139909050307537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2000</v>
      </c>
      <c r="H40" s="27">
        <f t="shared" ref="H40:H46" si="7">G40*F40</f>
        <v>-3.6</v>
      </c>
      <c r="I40" s="28"/>
      <c r="J40" s="29">
        <v>-8.2813333909562397E-4</v>
      </c>
      <c r="K40" s="26">
        <f>$F$16</f>
        <v>2000</v>
      </c>
      <c r="L40" s="27">
        <f t="shared" ref="L40:L46" si="8">K40*J40</f>
        <v>-1.6562666781912478</v>
      </c>
      <c r="M40" s="28"/>
      <c r="N40" s="31">
        <f t="shared" ref="N40:N65" si="9">L40-H40</f>
        <v>1.9437333218087522</v>
      </c>
      <c r="O40" s="32">
        <f t="shared" ref="O40:O45" si="10">IF((H40)=0,"",(N40/H40))</f>
        <v>-0.53992592272465334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2000</v>
      </c>
      <c r="H41" s="27">
        <f t="shared" si="7"/>
        <v>0</v>
      </c>
      <c r="I41" s="47"/>
      <c r="J41" s="29"/>
      <c r="K41" s="26">
        <f>$F$16</f>
        <v>2000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2000</v>
      </c>
      <c r="H42" s="27">
        <f t="shared" si="7"/>
        <v>0</v>
      </c>
      <c r="I42" s="47"/>
      <c r="J42" s="29"/>
      <c r="K42" s="26">
        <f>$F$16</f>
        <v>2000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2000</v>
      </c>
      <c r="H43" s="27">
        <f t="shared" si="7"/>
        <v>0</v>
      </c>
      <c r="I43" s="47"/>
      <c r="J43" s="29"/>
      <c r="K43" s="26">
        <f>$F$16</f>
        <v>2000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2000</v>
      </c>
      <c r="H44" s="27">
        <f t="shared" si="7"/>
        <v>0.08</v>
      </c>
      <c r="I44" s="28"/>
      <c r="J44" s="195">
        <v>4.0000000000000003E-5</v>
      </c>
      <c r="K44" s="26">
        <f>$F$16</f>
        <v>2000</v>
      </c>
      <c r="L44" s="27">
        <f t="shared" si="8"/>
        <v>0.08</v>
      </c>
      <c r="M44" s="28"/>
      <c r="N44" s="31">
        <f t="shared" si="9"/>
        <v>0</v>
      </c>
      <c r="O44" s="32">
        <f t="shared" si="10"/>
        <v>0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96</v>
      </c>
      <c r="H45" s="183">
        <f t="shared" si="7"/>
        <v>8.8761600000000005</v>
      </c>
      <c r="I45" s="57"/>
      <c r="J45" s="184">
        <f>0.64*$F$55+0.18*$F$56+0.18*$F$57</f>
        <v>9.2460000000000001E-2</v>
      </c>
      <c r="K45" s="26">
        <f>$F$16*(1+$J$74)-$F$16</f>
        <v>94.199999999999818</v>
      </c>
      <c r="L45" s="183">
        <f t="shared" si="8"/>
        <v>8.7097319999999829</v>
      </c>
      <c r="M45" s="57"/>
      <c r="N45" s="185">
        <f t="shared" si="9"/>
        <v>-0.16642800000001756</v>
      </c>
      <c r="O45" s="186">
        <f t="shared" si="10"/>
        <v>-1.8750000000001977E-2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49.286160000000002</v>
      </c>
      <c r="I47" s="41"/>
      <c r="J47" s="53"/>
      <c r="K47" s="55"/>
      <c r="L47" s="54">
        <f>SUM(L39:L46)+L38</f>
        <v>41.943708557506064</v>
      </c>
      <c r="M47" s="41"/>
      <c r="N47" s="44">
        <f t="shared" si="9"/>
        <v>-7.3424514424939389</v>
      </c>
      <c r="O47" s="45">
        <f t="shared" ref="O47:O65" si="11">IF((H47)=0,"",(N47/H47))</f>
        <v>-0.14897592838423482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2096</v>
      </c>
      <c r="H48" s="27">
        <f>G48*F48</f>
        <v>15.300800000000001</v>
      </c>
      <c r="I48" s="28"/>
      <c r="J48" s="29">
        <v>7.5910048339565368E-3</v>
      </c>
      <c r="K48" s="59">
        <f>F16*(1+J74)</f>
        <v>2094.1999999999998</v>
      </c>
      <c r="L48" s="27">
        <f>K48*J48</f>
        <v>15.897082323271778</v>
      </c>
      <c r="M48" s="28"/>
      <c r="N48" s="31">
        <f t="shared" si="9"/>
        <v>0.59628232327177777</v>
      </c>
      <c r="O48" s="32">
        <f t="shared" si="11"/>
        <v>3.8970663185701256E-2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2096</v>
      </c>
      <c r="H49" s="27">
        <f>G49*F49</f>
        <v>11.9472</v>
      </c>
      <c r="I49" s="28"/>
      <c r="J49" s="29">
        <v>5.7169521807640556E-3</v>
      </c>
      <c r="K49" s="59">
        <f>K48</f>
        <v>2094.1999999999998</v>
      </c>
      <c r="L49" s="27">
        <f>K49*J49</f>
        <v>11.972441256956085</v>
      </c>
      <c r="M49" s="28"/>
      <c r="N49" s="31">
        <f t="shared" si="9"/>
        <v>2.5241256956084257E-2</v>
      </c>
      <c r="O49" s="32">
        <f t="shared" si="11"/>
        <v>2.1127341097566172E-3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76.53416</v>
      </c>
      <c r="I50" s="62"/>
      <c r="J50" s="63"/>
      <c r="K50" s="64"/>
      <c r="L50" s="54">
        <f>SUM(L47:L49)</f>
        <v>69.813232137733934</v>
      </c>
      <c r="M50" s="62"/>
      <c r="N50" s="44">
        <f t="shared" si="9"/>
        <v>-6.7209278622660662</v>
      </c>
      <c r="O50" s="45">
        <f t="shared" si="11"/>
        <v>-8.7816053148895429E-2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2096</v>
      </c>
      <c r="H51" s="67">
        <f t="shared" ref="H51:H57" si="12">G51*F51</f>
        <v>9.2224000000000004</v>
      </c>
      <c r="I51" s="28"/>
      <c r="J51" s="66">
        <v>4.4000000000000003E-3</v>
      </c>
      <c r="K51" s="59">
        <f>K49</f>
        <v>2094.1999999999998</v>
      </c>
      <c r="L51" s="67">
        <f t="shared" ref="L51:L57" si="13">K51*J51</f>
        <v>9.21448</v>
      </c>
      <c r="M51" s="28"/>
      <c r="N51" s="31">
        <f t="shared" si="9"/>
        <v>-7.9200000000003712E-3</v>
      </c>
      <c r="O51" s="68">
        <f t="shared" si="11"/>
        <v>-8.5877862595423867E-4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2096</v>
      </c>
      <c r="H52" s="67">
        <f t="shared" si="12"/>
        <v>2.7247999999999997</v>
      </c>
      <c r="I52" s="28"/>
      <c r="J52" s="66">
        <v>1.2999999999999999E-3</v>
      </c>
      <c r="K52" s="59">
        <f>K49</f>
        <v>2094.1999999999998</v>
      </c>
      <c r="L52" s="67">
        <f t="shared" si="13"/>
        <v>2.7224599999999994</v>
      </c>
      <c r="M52" s="28"/>
      <c r="N52" s="31">
        <f t="shared" si="9"/>
        <v>-2.3400000000002308E-3</v>
      </c>
      <c r="O52" s="68">
        <f t="shared" si="11"/>
        <v>-8.5877862595428324E-4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2"/>
        <v>0.25</v>
      </c>
      <c r="I53" s="28"/>
      <c r="J53" s="176">
        <v>0.25</v>
      </c>
      <c r="K53" s="30">
        <v>1</v>
      </c>
      <c r="L53" s="67">
        <f t="shared" si="13"/>
        <v>0.25</v>
      </c>
      <c r="M53" s="28"/>
      <c r="N53" s="31">
        <f t="shared" si="9"/>
        <v>0</v>
      </c>
      <c r="O53" s="68">
        <f t="shared" si="11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2000</v>
      </c>
      <c r="H54" s="67">
        <f t="shared" si="12"/>
        <v>14</v>
      </c>
      <c r="I54" s="28"/>
      <c r="J54" s="66">
        <v>7.0000000000000001E-3</v>
      </c>
      <c r="K54" s="70">
        <f>F16</f>
        <v>2000</v>
      </c>
      <c r="L54" s="67">
        <f t="shared" si="13"/>
        <v>14</v>
      </c>
      <c r="M54" s="28"/>
      <c r="N54" s="31">
        <f t="shared" si="9"/>
        <v>0</v>
      </c>
      <c r="O54" s="68">
        <f t="shared" si="11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1280</v>
      </c>
      <c r="H55" s="67">
        <f t="shared" si="12"/>
        <v>96</v>
      </c>
      <c r="I55" s="28"/>
      <c r="J55" s="66">
        <v>7.4999999999999997E-2</v>
      </c>
      <c r="K55" s="69">
        <f>G55</f>
        <v>1280</v>
      </c>
      <c r="L55" s="67">
        <f t="shared" si="13"/>
        <v>96</v>
      </c>
      <c r="M55" s="28"/>
      <c r="N55" s="31">
        <f t="shared" si="9"/>
        <v>0</v>
      </c>
      <c r="O55" s="68">
        <f t="shared" si="11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360</v>
      </c>
      <c r="H56" s="67">
        <f t="shared" si="12"/>
        <v>40.32</v>
      </c>
      <c r="I56" s="28"/>
      <c r="J56" s="66">
        <v>0.112</v>
      </c>
      <c r="K56" s="69">
        <f>G56</f>
        <v>360</v>
      </c>
      <c r="L56" s="67">
        <f t="shared" si="13"/>
        <v>40.32</v>
      </c>
      <c r="M56" s="28"/>
      <c r="N56" s="31">
        <f t="shared" si="9"/>
        <v>0</v>
      </c>
      <c r="O56" s="68">
        <f t="shared" si="11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360</v>
      </c>
      <c r="H57" s="67">
        <f t="shared" si="12"/>
        <v>48.6</v>
      </c>
      <c r="I57" s="28"/>
      <c r="J57" s="66">
        <v>0.13500000000000001</v>
      </c>
      <c r="K57" s="69">
        <f>G57</f>
        <v>360</v>
      </c>
      <c r="L57" s="67">
        <f t="shared" si="13"/>
        <v>48.6</v>
      </c>
      <c r="M57" s="28"/>
      <c r="N57" s="31">
        <f t="shared" si="9"/>
        <v>0</v>
      </c>
      <c r="O57" s="68">
        <f t="shared" si="11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9"/>
        <v>0</v>
      </c>
      <c r="O58" s="68">
        <f t="shared" si="11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1400</v>
      </c>
      <c r="H59" s="67">
        <f>G59*F59</f>
        <v>141.4</v>
      </c>
      <c r="I59" s="79"/>
      <c r="J59" s="66">
        <v>0.10100000000000001</v>
      </c>
      <c r="K59" s="78">
        <f>G59</f>
        <v>1400</v>
      </c>
      <c r="L59" s="67">
        <f>K59*J59</f>
        <v>141.4</v>
      </c>
      <c r="M59" s="79"/>
      <c r="N59" s="80">
        <f t="shared" si="9"/>
        <v>0</v>
      </c>
      <c r="O59" s="68">
        <f t="shared" si="11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287.65136000000001</v>
      </c>
      <c r="I61" s="95"/>
      <c r="J61" s="96"/>
      <c r="K61" s="96"/>
      <c r="L61" s="189">
        <f>SUM(L51:L57,L50)</f>
        <v>280.92017213773391</v>
      </c>
      <c r="M61" s="97"/>
      <c r="N61" s="98">
        <f>L61-H61</f>
        <v>-6.731187862266097</v>
      </c>
      <c r="O61" s="99">
        <f>IF((H61)=0,"",(N61/H61))</f>
        <v>-2.3400507691902089E-2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37.394676799999999</v>
      </c>
      <c r="I62" s="104"/>
      <c r="J62" s="105">
        <v>0.13</v>
      </c>
      <c r="K62" s="104"/>
      <c r="L62" s="106">
        <f>L61*J62</f>
        <v>36.519622377905407</v>
      </c>
      <c r="M62" s="107"/>
      <c r="N62" s="108">
        <f t="shared" si="9"/>
        <v>-0.87505442209459261</v>
      </c>
      <c r="O62" s="109">
        <f t="shared" si="11"/>
        <v>-2.3400507691902089E-2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325.04603680000002</v>
      </c>
      <c r="I63" s="104"/>
      <c r="J63" s="104"/>
      <c r="K63" s="104"/>
      <c r="L63" s="106">
        <f>L61+L62</f>
        <v>317.43979451563933</v>
      </c>
      <c r="M63" s="107"/>
      <c r="N63" s="108">
        <f t="shared" si="9"/>
        <v>-7.6062422843606896</v>
      </c>
      <c r="O63" s="109">
        <f t="shared" si="11"/>
        <v>-2.3400507691902089E-2</v>
      </c>
      <c r="S63" s="72"/>
    </row>
    <row r="64" spans="2:19" ht="15.75" customHeight="1" x14ac:dyDescent="0.25">
      <c r="B64" s="248" t="s">
        <v>43</v>
      </c>
      <c r="C64" s="248"/>
      <c r="D64" s="248"/>
      <c r="E64" s="22"/>
      <c r="F64" s="111"/>
      <c r="G64" s="102"/>
      <c r="H64" s="112">
        <f>ROUND(-H63*10%,2)</f>
        <v>-32.5</v>
      </c>
      <c r="I64" s="104"/>
      <c r="J64" s="104"/>
      <c r="K64" s="104"/>
      <c r="L64" s="113">
        <f>ROUND(-L63*10%,2)</f>
        <v>-31.74</v>
      </c>
      <c r="M64" s="107"/>
      <c r="N64" s="114">
        <f t="shared" si="9"/>
        <v>0.76000000000000156</v>
      </c>
      <c r="O64" s="115">
        <f t="shared" si="11"/>
        <v>-2.3384615384615434E-2</v>
      </c>
    </row>
    <row r="65" spans="1:15" ht="15.75" thickBot="1" x14ac:dyDescent="0.3">
      <c r="B65" s="240" t="s">
        <v>44</v>
      </c>
      <c r="C65" s="240"/>
      <c r="D65" s="240"/>
      <c r="E65" s="116"/>
      <c r="F65" s="117"/>
      <c r="G65" s="118"/>
      <c r="H65" s="119">
        <f>H63+H64</f>
        <v>292.54603680000002</v>
      </c>
      <c r="I65" s="120"/>
      <c r="J65" s="120"/>
      <c r="K65" s="120"/>
      <c r="L65" s="121">
        <f>L63+L64</f>
        <v>285.69979451563933</v>
      </c>
      <c r="M65" s="122"/>
      <c r="N65" s="123">
        <f t="shared" si="9"/>
        <v>-6.8462422843606987</v>
      </c>
      <c r="O65" s="124">
        <f t="shared" si="11"/>
        <v>-2.3402273225944101E-2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295.73136</v>
      </c>
      <c r="I67" s="136"/>
      <c r="J67" s="137"/>
      <c r="K67" s="137"/>
      <c r="L67" s="188">
        <f>SUM(L58:L59,L50,L51:L54)</f>
        <v>289.00017213773395</v>
      </c>
      <c r="M67" s="138"/>
      <c r="N67" s="139">
        <f>L67-H67</f>
        <v>-6.7311878622660402</v>
      </c>
      <c r="O67" s="99">
        <f>IF((H67)=0,"",(N67/H67))</f>
        <v>-2.2761156822414912E-2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38.445076800000002</v>
      </c>
      <c r="I68" s="143"/>
      <c r="J68" s="144">
        <v>0.13</v>
      </c>
      <c r="K68" s="145"/>
      <c r="L68" s="146">
        <f>L67*J68</f>
        <v>37.570022377905417</v>
      </c>
      <c r="M68" s="147"/>
      <c r="N68" s="148">
        <f>L68-H68</f>
        <v>-0.8750544220945855</v>
      </c>
      <c r="O68" s="109">
        <f>IF((H68)=0,"",(N68/H68))</f>
        <v>-2.2761156822414919E-2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334.17643679999998</v>
      </c>
      <c r="I69" s="143"/>
      <c r="J69" s="143"/>
      <c r="K69" s="143"/>
      <c r="L69" s="146">
        <f>L67+L68</f>
        <v>326.5701945156394</v>
      </c>
      <c r="M69" s="147"/>
      <c r="N69" s="148">
        <f>L69-H69</f>
        <v>-7.6062422843605759</v>
      </c>
      <c r="O69" s="109">
        <f>IF((H69)=0,"",(N69/H69))</f>
        <v>-2.2761156822414766E-2</v>
      </c>
    </row>
    <row r="70" spans="1:15" s="73" customFormat="1" ht="15.75" customHeight="1" x14ac:dyDescent="0.2">
      <c r="B70" s="249" t="s">
        <v>43</v>
      </c>
      <c r="C70" s="249"/>
      <c r="D70" s="249"/>
      <c r="E70" s="75"/>
      <c r="F70" s="150"/>
      <c r="G70" s="151"/>
      <c r="H70" s="152">
        <f>ROUND(-H69*10%,2)</f>
        <v>-33.42</v>
      </c>
      <c r="I70" s="143"/>
      <c r="J70" s="143"/>
      <c r="K70" s="143"/>
      <c r="L70" s="153">
        <f>ROUND(-L69*10%,2)</f>
        <v>-32.659999999999997</v>
      </c>
      <c r="M70" s="147"/>
      <c r="N70" s="154">
        <f>L70-H70</f>
        <v>0.76000000000000512</v>
      </c>
      <c r="O70" s="115">
        <f>IF((H70)=0,"",(N70/H70))</f>
        <v>-2.2740873728306556E-2</v>
      </c>
    </row>
    <row r="71" spans="1:15" s="73" customFormat="1" ht="13.5" thickBot="1" x14ac:dyDescent="0.25">
      <c r="B71" s="241" t="s">
        <v>46</v>
      </c>
      <c r="C71" s="241"/>
      <c r="D71" s="241"/>
      <c r="E71" s="155"/>
      <c r="F71" s="156"/>
      <c r="G71" s="157"/>
      <c r="H71" s="158">
        <f>SUM(H69:H70)</f>
        <v>300.75643679999996</v>
      </c>
      <c r="I71" s="159"/>
      <c r="J71" s="159"/>
      <c r="K71" s="159"/>
      <c r="L71" s="160">
        <f>SUM(L69:L70)</f>
        <v>293.91019451563943</v>
      </c>
      <c r="M71" s="161"/>
      <c r="N71" s="162">
        <f>L71-H71</f>
        <v>-6.8462422843605282</v>
      </c>
      <c r="O71" s="163">
        <f>IF((H71)=0,"",(N71/H71))</f>
        <v>-2.2763410676105367E-2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9:O9"/>
    <mergeCell ref="N1:O1"/>
    <mergeCell ref="N2:O2"/>
    <mergeCell ref="N3:O3"/>
    <mergeCell ref="N5:O5"/>
    <mergeCell ref="B8:O8"/>
    <mergeCell ref="B64:D64"/>
    <mergeCell ref="B65:D65"/>
    <mergeCell ref="B70:D70"/>
    <mergeCell ref="B71:D71"/>
    <mergeCell ref="D12:O12"/>
    <mergeCell ref="F18:H18"/>
    <mergeCell ref="J18:L18"/>
    <mergeCell ref="N18:O18"/>
    <mergeCell ref="D19:D20"/>
    <mergeCell ref="N19:N20"/>
    <mergeCell ref="O19:O20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48:E49 E51:E60 E39:E46 E66 E72 E21:E24 E26:E37">
      <formula1>#REF!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0" tint="-0.14999847407452621"/>
    <pageSetUpPr fitToPage="1"/>
  </sheetPr>
  <dimension ref="A1:T90"/>
  <sheetViews>
    <sheetView showGridLines="0" workbookViewId="0">
      <selection activeCell="J24" sqref="J24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9.71093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P1" s="190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  <c r="P2" s="191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8-D</v>
      </c>
      <c r="O3" s="234"/>
      <c r="P3" s="190"/>
    </row>
    <row r="4" spans="1:20" s="2" customFormat="1" ht="9" customHeigh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34">
        <f>'Res (100kWh)'!$N$5:$O$5</f>
        <v>41985</v>
      </c>
      <c r="O5" s="234"/>
      <c r="P5" s="193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67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21.69</v>
      </c>
      <c r="G21" s="26">
        <v>1</v>
      </c>
      <c r="H21" s="27">
        <f>G21*F21</f>
        <v>21.69</v>
      </c>
      <c r="I21" s="28"/>
      <c r="J21" s="173">
        <v>24.96</v>
      </c>
      <c r="K21" s="30">
        <v>1</v>
      </c>
      <c r="L21" s="27">
        <f>K21*J21</f>
        <v>24.96</v>
      </c>
      <c r="M21" s="28"/>
      <c r="N21" s="31">
        <f>L21-H21</f>
        <v>3.2699999999999996</v>
      </c>
      <c r="O21" s="32">
        <f>IF((H21)=0,"",(N21/H21))</f>
        <v>0.15076071922544948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7.85</v>
      </c>
      <c r="G22" s="26">
        <v>1</v>
      </c>
      <c r="H22" s="27">
        <f t="shared" ref="H22:H37" si="0">G22*F22</f>
        <v>7.85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-7.85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3.2</v>
      </c>
      <c r="G23" s="26">
        <v>1</v>
      </c>
      <c r="H23" s="27">
        <f t="shared" si="0"/>
        <v>3.2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-3.2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v>1.91</v>
      </c>
      <c r="K24" s="30">
        <v>1</v>
      </c>
      <c r="L24" s="27">
        <f t="shared" si="1"/>
        <v>1.91</v>
      </c>
      <c r="M24" s="28"/>
      <c r="N24" s="31">
        <f t="shared" si="2"/>
        <v>1.91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1000</v>
      </c>
      <c r="H25" s="27">
        <f t="shared" si="0"/>
        <v>0</v>
      </c>
      <c r="I25" s="28"/>
      <c r="J25" s="29">
        <v>8.8852477239052222E-4</v>
      </c>
      <c r="K25" s="26">
        <f>$F$16</f>
        <v>1000</v>
      </c>
      <c r="L25" s="27">
        <f t="shared" si="1"/>
        <v>0.88852477239052219</v>
      </c>
      <c r="M25" s="28"/>
      <c r="N25" s="31">
        <f t="shared" si="2"/>
        <v>0.88852477239052219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1000</v>
      </c>
      <c r="H26" s="27">
        <f t="shared" si="0"/>
        <v>-0.2</v>
      </c>
      <c r="I26" s="28"/>
      <c r="J26" s="173"/>
      <c r="K26" s="26">
        <f>$F$16</f>
        <v>1000</v>
      </c>
      <c r="L26" s="27">
        <f t="shared" si="1"/>
        <v>0</v>
      </c>
      <c r="M26" s="28"/>
      <c r="N26" s="31">
        <f t="shared" si="2"/>
        <v>0.2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1000</v>
      </c>
      <c r="H27" s="27">
        <f t="shared" si="0"/>
        <v>0</v>
      </c>
      <c r="I27" s="28"/>
      <c r="J27" s="29">
        <v>-7.1368536247813147E-3</v>
      </c>
      <c r="K27" s="26">
        <f>$F$16</f>
        <v>1000</v>
      </c>
      <c r="L27" s="27">
        <f t="shared" si="1"/>
        <v>-7.136853624781315</v>
      </c>
      <c r="M27" s="28"/>
      <c r="N27" s="31">
        <f t="shared" si="2"/>
        <v>-7.136853624781315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v>1.67E-2</v>
      </c>
      <c r="G28" s="26">
        <f>$F$16</f>
        <v>1000</v>
      </c>
      <c r="H28" s="27">
        <f t="shared" si="0"/>
        <v>16.7</v>
      </c>
      <c r="I28" s="28"/>
      <c r="J28" s="29">
        <v>1.9199999999999998E-2</v>
      </c>
      <c r="K28" s="26">
        <f>$F$16</f>
        <v>1000</v>
      </c>
      <c r="L28" s="27">
        <f t="shared" si="1"/>
        <v>19.2</v>
      </c>
      <c r="M28" s="28"/>
      <c r="N28" s="31">
        <f t="shared" si="2"/>
        <v>2.5</v>
      </c>
      <c r="O28" s="32">
        <f t="shared" si="3"/>
        <v>0.14970059880239522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1000</v>
      </c>
      <c r="H29" s="27">
        <f t="shared" si="0"/>
        <v>0</v>
      </c>
      <c r="I29" s="28"/>
      <c r="J29" s="29"/>
      <c r="K29" s="26">
        <f t="shared" ref="K29:K37" si="5">$F$16</f>
        <v>1000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1000</v>
      </c>
      <c r="H30" s="27">
        <f t="shared" si="0"/>
        <v>0</v>
      </c>
      <c r="I30" s="28"/>
      <c r="J30" s="29"/>
      <c r="K30" s="26">
        <f t="shared" si="5"/>
        <v>1000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1000</v>
      </c>
      <c r="H31" s="27">
        <f t="shared" si="0"/>
        <v>0</v>
      </c>
      <c r="I31" s="28"/>
      <c r="J31" s="29"/>
      <c r="K31" s="26">
        <f t="shared" si="5"/>
        <v>1000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1000</v>
      </c>
      <c r="H32" s="27">
        <f t="shared" si="0"/>
        <v>0</v>
      </c>
      <c r="I32" s="28"/>
      <c r="J32" s="29"/>
      <c r="K32" s="26">
        <f t="shared" si="5"/>
        <v>1000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1000</v>
      </c>
      <c r="H33" s="27">
        <f t="shared" si="0"/>
        <v>0</v>
      </c>
      <c r="I33" s="28"/>
      <c r="J33" s="29"/>
      <c r="K33" s="26">
        <f t="shared" si="5"/>
        <v>1000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1000</v>
      </c>
      <c r="H34" s="27">
        <f t="shared" si="0"/>
        <v>0</v>
      </c>
      <c r="I34" s="28"/>
      <c r="J34" s="29"/>
      <c r="K34" s="26">
        <f t="shared" si="5"/>
        <v>1000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1000</v>
      </c>
      <c r="H35" s="27">
        <f t="shared" si="0"/>
        <v>0</v>
      </c>
      <c r="I35" s="28"/>
      <c r="J35" s="29"/>
      <c r="K35" s="26">
        <f t="shared" si="5"/>
        <v>1000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1000</v>
      </c>
      <c r="H36" s="27">
        <f t="shared" si="0"/>
        <v>0</v>
      </c>
      <c r="I36" s="28"/>
      <c r="J36" s="29"/>
      <c r="K36" s="26">
        <f t="shared" si="5"/>
        <v>1000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1000</v>
      </c>
      <c r="H37" s="27">
        <f t="shared" si="0"/>
        <v>0</v>
      </c>
      <c r="I37" s="28"/>
      <c r="J37" s="29"/>
      <c r="K37" s="26">
        <f t="shared" si="5"/>
        <v>1000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49.239999999999995</v>
      </c>
      <c r="I38" s="41"/>
      <c r="J38" s="42"/>
      <c r="K38" s="43"/>
      <c r="L38" s="40">
        <f>SUM(L21:L37)</f>
        <v>39.821671147609209</v>
      </c>
      <c r="M38" s="41"/>
      <c r="N38" s="44">
        <f t="shared" si="2"/>
        <v>-9.4183288523907862</v>
      </c>
      <c r="O38" s="45">
        <f t="shared" si="3"/>
        <v>-0.19127394095025968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1000</v>
      </c>
      <c r="H40" s="27">
        <f t="shared" ref="H40:H46" si="7">G40*F40</f>
        <v>-1.8</v>
      </c>
      <c r="I40" s="28"/>
      <c r="J40" s="29">
        <v>2.2956161777014765E-4</v>
      </c>
      <c r="K40" s="26">
        <f>$F$16</f>
        <v>1000</v>
      </c>
      <c r="L40" s="27">
        <f t="shared" ref="L40:L46" si="8">K40*J40</f>
        <v>0.22956161777014766</v>
      </c>
      <c r="M40" s="28"/>
      <c r="N40" s="31">
        <f t="shared" ref="N40:N46" si="9">L40-H40</f>
        <v>2.0295616177701477</v>
      </c>
      <c r="O40" s="32">
        <f t="shared" ref="O40:O45" si="10">IF((H40)=0,"",(N40/H40))</f>
        <v>-1.1275342320945265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1000</v>
      </c>
      <c r="H41" s="27">
        <f t="shared" si="7"/>
        <v>0</v>
      </c>
      <c r="I41" s="47"/>
      <c r="J41" s="29"/>
      <c r="K41" s="26">
        <f>$F$16</f>
        <v>1000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1000</v>
      </c>
      <c r="H42" s="27">
        <f t="shared" si="7"/>
        <v>0</v>
      </c>
      <c r="I42" s="47"/>
      <c r="J42" s="29"/>
      <c r="K42" s="26">
        <f>$F$16</f>
        <v>1000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1000</v>
      </c>
      <c r="H43" s="27">
        <f t="shared" si="7"/>
        <v>0</v>
      </c>
      <c r="I43" s="47"/>
      <c r="J43" s="29"/>
      <c r="K43" s="26">
        <f>$F$16</f>
        <v>1000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1000</v>
      </c>
      <c r="H44" s="27">
        <f t="shared" si="7"/>
        <v>0.04</v>
      </c>
      <c r="I44" s="28"/>
      <c r="J44" s="196">
        <v>4.0000000000000003E-5</v>
      </c>
      <c r="K44" s="26">
        <f>$F$16</f>
        <v>1000</v>
      </c>
      <c r="L44" s="27">
        <f t="shared" si="8"/>
        <v>0.04</v>
      </c>
      <c r="M44" s="28"/>
      <c r="N44" s="31">
        <f t="shared" si="9"/>
        <v>0</v>
      </c>
      <c r="O44" s="32">
        <f t="shared" si="10"/>
        <v>0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48</v>
      </c>
      <c r="H45" s="183">
        <f t="shared" si="7"/>
        <v>4.4380800000000002</v>
      </c>
      <c r="I45" s="57"/>
      <c r="J45" s="184">
        <f>0.64*$F$55+0.18*$F$56+0.18*$F$57</f>
        <v>9.2460000000000001E-2</v>
      </c>
      <c r="K45" s="26">
        <f>$F$16*(1+$J$74)-$F$16</f>
        <v>47.099999999999909</v>
      </c>
      <c r="L45" s="183">
        <f t="shared" si="8"/>
        <v>4.3548659999999915</v>
      </c>
      <c r="M45" s="57"/>
      <c r="N45" s="185">
        <f t="shared" si="9"/>
        <v>-8.3214000000008781E-2</v>
      </c>
      <c r="O45" s="186">
        <f t="shared" si="10"/>
        <v>-1.8750000000001977E-2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52.708079999999995</v>
      </c>
      <c r="I47" s="41"/>
      <c r="J47" s="53"/>
      <c r="K47" s="55"/>
      <c r="L47" s="54">
        <f>SUM(L39:L46)+L38</f>
        <v>45.236098765379346</v>
      </c>
      <c r="M47" s="41"/>
      <c r="N47" s="44">
        <f t="shared" ref="N47:N65" si="11">L47-H47</f>
        <v>-7.4719812346206496</v>
      </c>
      <c r="O47" s="45">
        <f t="shared" ref="O47:O65" si="12">IF((H47)=0,"",(N47/H47))</f>
        <v>-0.14176159015127568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6.8999999999999999E-3</v>
      </c>
      <c r="G48" s="58">
        <f>F16*(1+F74)</f>
        <v>1048</v>
      </c>
      <c r="H48" s="27">
        <f>G48*F48</f>
        <v>7.2312000000000003</v>
      </c>
      <c r="I48" s="28"/>
      <c r="J48" s="29">
        <v>7.157233129159021E-3</v>
      </c>
      <c r="K48" s="59">
        <f>F16*(1+J74)</f>
        <v>1047.0999999999999</v>
      </c>
      <c r="L48" s="27">
        <f>K48*J48</f>
        <v>7.4943388095424099</v>
      </c>
      <c r="M48" s="28"/>
      <c r="N48" s="31">
        <f t="shared" si="11"/>
        <v>0.26313880954240965</v>
      </c>
      <c r="O48" s="32">
        <f t="shared" si="12"/>
        <v>3.6389369612569097E-2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5.1999999999999998E-3</v>
      </c>
      <c r="G49" s="58">
        <f>G48</f>
        <v>1048</v>
      </c>
      <c r="H49" s="27">
        <f>G49*F49</f>
        <v>5.4495999999999993</v>
      </c>
      <c r="I49" s="28"/>
      <c r="J49" s="29">
        <v>5.1776170693712204E-3</v>
      </c>
      <c r="K49" s="59">
        <f>K48</f>
        <v>1047.0999999999999</v>
      </c>
      <c r="L49" s="27">
        <f>K49*J49</f>
        <v>5.4214828333386045</v>
      </c>
      <c r="M49" s="28"/>
      <c r="N49" s="31">
        <f t="shared" si="11"/>
        <v>-2.8117166661394855E-2</v>
      </c>
      <c r="O49" s="32">
        <f t="shared" si="12"/>
        <v>-5.1594918271790332E-3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65.38888</v>
      </c>
      <c r="I50" s="62"/>
      <c r="J50" s="63"/>
      <c r="K50" s="64"/>
      <c r="L50" s="54">
        <f>SUM(L47:L49)</f>
        <v>58.151920408260366</v>
      </c>
      <c r="M50" s="62"/>
      <c r="N50" s="44">
        <f t="shared" si="11"/>
        <v>-7.2369595917396339</v>
      </c>
      <c r="O50" s="45">
        <f t="shared" si="12"/>
        <v>-0.11067569274377591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1048</v>
      </c>
      <c r="H51" s="67">
        <f t="shared" ref="H51:H57" si="13">G51*F51</f>
        <v>4.6112000000000002</v>
      </c>
      <c r="I51" s="28"/>
      <c r="J51" s="66">
        <v>4.4000000000000003E-3</v>
      </c>
      <c r="K51" s="59">
        <f>K49</f>
        <v>1047.0999999999999</v>
      </c>
      <c r="L51" s="67">
        <f t="shared" ref="L51:L57" si="14">K51*J51</f>
        <v>4.60724</v>
      </c>
      <c r="M51" s="28"/>
      <c r="N51" s="31">
        <f t="shared" si="11"/>
        <v>-3.9600000000001856E-3</v>
      </c>
      <c r="O51" s="68">
        <f t="shared" si="12"/>
        <v>-8.5877862595423867E-4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1048</v>
      </c>
      <c r="H52" s="67">
        <f t="shared" si="13"/>
        <v>1.3623999999999998</v>
      </c>
      <c r="I52" s="28"/>
      <c r="J52" s="66">
        <v>1.2999999999999999E-3</v>
      </c>
      <c r="K52" s="59">
        <f>K49</f>
        <v>1047.0999999999999</v>
      </c>
      <c r="L52" s="67">
        <f t="shared" si="14"/>
        <v>1.3612299999999997</v>
      </c>
      <c r="M52" s="28"/>
      <c r="N52" s="31">
        <f t="shared" si="11"/>
        <v>-1.1700000000001154E-3</v>
      </c>
      <c r="O52" s="68">
        <f t="shared" si="12"/>
        <v>-8.5877862595428324E-4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3"/>
        <v>0.25</v>
      </c>
      <c r="I53" s="28"/>
      <c r="J53" s="176">
        <v>0.25</v>
      </c>
      <c r="K53" s="30">
        <v>1</v>
      </c>
      <c r="L53" s="67">
        <f t="shared" si="14"/>
        <v>0.25</v>
      </c>
      <c r="M53" s="28"/>
      <c r="N53" s="31">
        <f t="shared" si="11"/>
        <v>0</v>
      </c>
      <c r="O53" s="68">
        <f t="shared" si="12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1000</v>
      </c>
      <c r="H54" s="67">
        <f t="shared" si="13"/>
        <v>7</v>
      </c>
      <c r="I54" s="28"/>
      <c r="J54" s="66">
        <v>7.0000000000000001E-3</v>
      </c>
      <c r="K54" s="70">
        <f>F16</f>
        <v>1000</v>
      </c>
      <c r="L54" s="67">
        <f t="shared" si="14"/>
        <v>7</v>
      </c>
      <c r="M54" s="28"/>
      <c r="N54" s="31">
        <f t="shared" si="11"/>
        <v>0</v>
      </c>
      <c r="O54" s="68">
        <f t="shared" si="12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640</v>
      </c>
      <c r="H55" s="67">
        <f t="shared" si="13"/>
        <v>48</v>
      </c>
      <c r="I55" s="28"/>
      <c r="J55" s="66">
        <v>7.4999999999999997E-2</v>
      </c>
      <c r="K55" s="69">
        <f>G55</f>
        <v>640</v>
      </c>
      <c r="L55" s="67">
        <f t="shared" si="14"/>
        <v>48</v>
      </c>
      <c r="M55" s="28"/>
      <c r="N55" s="31">
        <f t="shared" si="11"/>
        <v>0</v>
      </c>
      <c r="O55" s="68">
        <f t="shared" si="12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180</v>
      </c>
      <c r="H56" s="67">
        <f t="shared" si="13"/>
        <v>20.16</v>
      </c>
      <c r="I56" s="28"/>
      <c r="J56" s="66">
        <v>0.112</v>
      </c>
      <c r="K56" s="69">
        <f>G56</f>
        <v>180</v>
      </c>
      <c r="L56" s="67">
        <f t="shared" si="14"/>
        <v>20.16</v>
      </c>
      <c r="M56" s="28"/>
      <c r="N56" s="31">
        <f t="shared" si="11"/>
        <v>0</v>
      </c>
      <c r="O56" s="68">
        <f t="shared" si="12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180</v>
      </c>
      <c r="H57" s="67">
        <f t="shared" si="13"/>
        <v>24.3</v>
      </c>
      <c r="I57" s="28"/>
      <c r="J57" s="66">
        <v>0.13500000000000001</v>
      </c>
      <c r="K57" s="69">
        <f>G57</f>
        <v>180</v>
      </c>
      <c r="L57" s="67">
        <f t="shared" si="14"/>
        <v>24.3</v>
      </c>
      <c r="M57" s="28"/>
      <c r="N57" s="31">
        <f t="shared" si="11"/>
        <v>0</v>
      </c>
      <c r="O57" s="68">
        <f t="shared" si="12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11"/>
        <v>0</v>
      </c>
      <c r="O58" s="68">
        <f t="shared" si="12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400</v>
      </c>
      <c r="H59" s="67">
        <f>G59*F59</f>
        <v>40.400000000000006</v>
      </c>
      <c r="I59" s="79"/>
      <c r="J59" s="66">
        <v>0.10100000000000001</v>
      </c>
      <c r="K59" s="78">
        <f>G59</f>
        <v>400</v>
      </c>
      <c r="L59" s="67">
        <f>K59*J59</f>
        <v>40.400000000000006</v>
      </c>
      <c r="M59" s="79"/>
      <c r="N59" s="80">
        <f t="shared" si="11"/>
        <v>0</v>
      </c>
      <c r="O59" s="68">
        <f t="shared" si="12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171.07247999999998</v>
      </c>
      <c r="I61" s="95"/>
      <c r="J61" s="96"/>
      <c r="K61" s="96"/>
      <c r="L61" s="189">
        <f>SUM(L51:L57,L50)</f>
        <v>163.83039040826037</v>
      </c>
      <c r="M61" s="97"/>
      <c r="N61" s="98">
        <f>L61-H61</f>
        <v>-7.2420895917396138</v>
      </c>
      <c r="O61" s="99">
        <f>IF((H61)=0,"",(N61/H61))</f>
        <v>-4.2333457676767265E-2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22.239422399999999</v>
      </c>
      <c r="I62" s="104"/>
      <c r="J62" s="105">
        <v>0.13</v>
      </c>
      <c r="K62" s="104"/>
      <c r="L62" s="106">
        <f>L61*J62</f>
        <v>21.297950753073849</v>
      </c>
      <c r="M62" s="107"/>
      <c r="N62" s="108">
        <f t="shared" si="11"/>
        <v>-0.94147164692614993</v>
      </c>
      <c r="O62" s="109">
        <f t="shared" si="12"/>
        <v>-4.2333457676767272E-2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193.31190239999998</v>
      </c>
      <c r="I63" s="104"/>
      <c r="J63" s="104"/>
      <c r="K63" s="104"/>
      <c r="L63" s="106">
        <f>L61+L62</f>
        <v>185.12834116133422</v>
      </c>
      <c r="M63" s="107"/>
      <c r="N63" s="108">
        <f t="shared" si="11"/>
        <v>-8.1835612386657601</v>
      </c>
      <c r="O63" s="109">
        <f t="shared" si="12"/>
        <v>-4.2333457676767251E-2</v>
      </c>
      <c r="S63" s="72"/>
    </row>
    <row r="64" spans="2:19" ht="15.75" customHeight="1" x14ac:dyDescent="0.25">
      <c r="B64" s="248" t="s">
        <v>43</v>
      </c>
      <c r="C64" s="248"/>
      <c r="D64" s="248"/>
      <c r="E64" s="22"/>
      <c r="F64" s="111"/>
      <c r="G64" s="102"/>
      <c r="H64" s="112">
        <f>ROUND(-H63*10%,2)</f>
        <v>-19.329999999999998</v>
      </c>
      <c r="I64" s="104"/>
      <c r="J64" s="104"/>
      <c r="K64" s="104"/>
      <c r="L64" s="113">
        <f>ROUND(-L63*10%,2)</f>
        <v>-18.510000000000002</v>
      </c>
      <c r="M64" s="107"/>
      <c r="N64" s="114">
        <f t="shared" si="11"/>
        <v>0.81999999999999673</v>
      </c>
      <c r="O64" s="115">
        <f t="shared" si="12"/>
        <v>-4.2421107087428703E-2</v>
      </c>
    </row>
    <row r="65" spans="1:15" ht="15.75" thickBot="1" x14ac:dyDescent="0.3">
      <c r="B65" s="240" t="s">
        <v>44</v>
      </c>
      <c r="C65" s="240"/>
      <c r="D65" s="240"/>
      <c r="E65" s="116"/>
      <c r="F65" s="117"/>
      <c r="G65" s="118"/>
      <c r="H65" s="119">
        <f>H63+H64</f>
        <v>173.98190239999997</v>
      </c>
      <c r="I65" s="120"/>
      <c r="J65" s="120"/>
      <c r="K65" s="120"/>
      <c r="L65" s="121">
        <f>L63+L64</f>
        <v>166.61834116133423</v>
      </c>
      <c r="M65" s="122"/>
      <c r="N65" s="123">
        <f t="shared" si="11"/>
        <v>-7.3635612386657385</v>
      </c>
      <c r="O65" s="124">
        <f t="shared" si="12"/>
        <v>-4.2323719519609872E-2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170.61248000000001</v>
      </c>
      <c r="I67" s="136"/>
      <c r="J67" s="137"/>
      <c r="K67" s="137"/>
      <c r="L67" s="188">
        <f>SUM(L58:L59,L50,L51:L54)</f>
        <v>163.37039040826036</v>
      </c>
      <c r="M67" s="138"/>
      <c r="N67" s="139">
        <f>L67-H67</f>
        <v>-7.2420895917396422</v>
      </c>
      <c r="O67" s="99">
        <f>IF((H67)=0,"",(N67/H67))</f>
        <v>-4.2447595813270178E-2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22.179622400000003</v>
      </c>
      <c r="I68" s="143"/>
      <c r="J68" s="144">
        <v>0.13</v>
      </c>
      <c r="K68" s="145"/>
      <c r="L68" s="146">
        <f>L67*J68</f>
        <v>21.23815075307385</v>
      </c>
      <c r="M68" s="147"/>
      <c r="N68" s="148">
        <f>L68-H68</f>
        <v>-0.94147164692615348</v>
      </c>
      <c r="O68" s="109">
        <f>IF((H68)=0,"",(N68/H68))</f>
        <v>-4.2447595813270171E-2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192.7921024</v>
      </c>
      <c r="I69" s="143"/>
      <c r="J69" s="143"/>
      <c r="K69" s="143"/>
      <c r="L69" s="146">
        <f>L67+L68</f>
        <v>184.60854116133422</v>
      </c>
      <c r="M69" s="147"/>
      <c r="N69" s="148">
        <f>L69-H69</f>
        <v>-8.1835612386657886</v>
      </c>
      <c r="O69" s="109">
        <f>IF((H69)=0,"",(N69/H69))</f>
        <v>-4.2447595813270143E-2</v>
      </c>
    </row>
    <row r="70" spans="1:15" s="73" customFormat="1" ht="15.75" customHeight="1" x14ac:dyDescent="0.2">
      <c r="B70" s="249" t="s">
        <v>43</v>
      </c>
      <c r="C70" s="249"/>
      <c r="D70" s="249"/>
      <c r="E70" s="75"/>
      <c r="F70" s="150"/>
      <c r="G70" s="151"/>
      <c r="H70" s="152">
        <f>ROUND(-H69*10%,2)</f>
        <v>-19.28</v>
      </c>
      <c r="I70" s="143"/>
      <c r="J70" s="143"/>
      <c r="K70" s="143"/>
      <c r="L70" s="153">
        <f>ROUND(-L69*10%,2)</f>
        <v>-18.46</v>
      </c>
      <c r="M70" s="147"/>
      <c r="N70" s="154">
        <f>L70-H70</f>
        <v>0.82000000000000028</v>
      </c>
      <c r="O70" s="115">
        <f>IF((H70)=0,"",(N70/H70))</f>
        <v>-4.2531120331950223E-2</v>
      </c>
    </row>
    <row r="71" spans="1:15" s="73" customFormat="1" ht="13.5" thickBot="1" x14ac:dyDescent="0.25">
      <c r="B71" s="241" t="s">
        <v>46</v>
      </c>
      <c r="C71" s="241"/>
      <c r="D71" s="241"/>
      <c r="E71" s="155"/>
      <c r="F71" s="156"/>
      <c r="G71" s="157"/>
      <c r="H71" s="158">
        <f>SUM(H69:H70)</f>
        <v>173.5121024</v>
      </c>
      <c r="I71" s="159"/>
      <c r="J71" s="159"/>
      <c r="K71" s="159"/>
      <c r="L71" s="160">
        <f>SUM(L69:L70)</f>
        <v>166.14854116133421</v>
      </c>
      <c r="M71" s="161"/>
      <c r="N71" s="162">
        <f>L71-H71</f>
        <v>-7.3635612386657954</v>
      </c>
      <c r="O71" s="163">
        <f>IF((H71)=0,"",(N71/H71))</f>
        <v>-4.2438314888782046E-2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71:D71"/>
    <mergeCell ref="D19:D20"/>
    <mergeCell ref="N19:N20"/>
    <mergeCell ref="O19:O20"/>
    <mergeCell ref="B64:D64"/>
    <mergeCell ref="B65:D65"/>
    <mergeCell ref="B70:D70"/>
    <mergeCell ref="D12:O12"/>
    <mergeCell ref="F18:H18"/>
    <mergeCell ref="N1:O1"/>
    <mergeCell ref="N2:O2"/>
    <mergeCell ref="N5:O5"/>
    <mergeCell ref="B8:O8"/>
    <mergeCell ref="B9:O9"/>
    <mergeCell ref="N3:O3"/>
    <mergeCell ref="J18:L18"/>
    <mergeCell ref="N18:O18"/>
  </mergeCells>
  <dataValidations count="4">
    <dataValidation type="list" allowBlank="1" showInputMessage="1" showErrorMessage="1" sqref="E48:E49 E51:E57 E60 E39:E46 E21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theme="0" tint="-0.14999847407452621"/>
    <pageSetUpPr fitToPage="1"/>
  </sheetPr>
  <dimension ref="A1:T90"/>
  <sheetViews>
    <sheetView showGridLines="0" workbookViewId="0">
      <selection activeCell="J24" sqref="J24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9.71093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34" t="str">
        <f>'Res (100kWh)'!$N$1:$O$1</f>
        <v>EB-2014-0099</v>
      </c>
      <c r="O1" s="234"/>
      <c r="P1" s="190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35">
        <f>'Res (100kWh)'!$N$2:$O$2</f>
        <v>8</v>
      </c>
      <c r="O2" s="235"/>
      <c r="P2" s="191"/>
    </row>
    <row r="3" spans="1:20" s="2" customFormat="1" ht="15" customHeight="1" x14ac:dyDescent="0.25">
      <c r="C3" s="6"/>
      <c r="D3" s="6"/>
      <c r="E3" s="6"/>
      <c r="L3" s="3" t="s">
        <v>95</v>
      </c>
      <c r="N3" s="234" t="str">
        <f>'Res (100kWh)'!$N$3:$O$3</f>
        <v>8-D</v>
      </c>
      <c r="O3" s="234"/>
      <c r="P3" s="190"/>
    </row>
    <row r="4" spans="1:20" s="2" customFormat="1" ht="9" customHeigh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34">
        <f>'Res (100kWh)'!$N$5:$O$5</f>
        <v>41985</v>
      </c>
      <c r="O5" s="234"/>
      <c r="P5" s="193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33" t="s">
        <v>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/>
    </row>
    <row r="9" spans="1:20" ht="18.75" customHeight="1" x14ac:dyDescent="0.25">
      <c r="B9" s="233" t="s">
        <v>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36" t="s">
        <v>67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2000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37" t="s">
        <v>8</v>
      </c>
      <c r="G18" s="238"/>
      <c r="H18" s="239"/>
      <c r="J18" s="237" t="s">
        <v>9</v>
      </c>
      <c r="K18" s="238"/>
      <c r="L18" s="239"/>
      <c r="N18" s="237" t="s">
        <v>10</v>
      </c>
      <c r="O18" s="239"/>
    </row>
    <row r="19" spans="2:15" x14ac:dyDescent="0.25">
      <c r="B19" s="12"/>
      <c r="D19" s="242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44" t="s">
        <v>15</v>
      </c>
      <c r="O19" s="246" t="s">
        <v>16</v>
      </c>
    </row>
    <row r="20" spans="2:15" x14ac:dyDescent="0.25">
      <c r="B20" s="12"/>
      <c r="D20" s="243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45"/>
      <c r="O20" s="247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21.69</v>
      </c>
      <c r="G21" s="26">
        <v>1</v>
      </c>
      <c r="H21" s="27">
        <f>G21*F21</f>
        <v>21.69</v>
      </c>
      <c r="I21" s="28"/>
      <c r="J21" s="173">
        <v>24.96</v>
      </c>
      <c r="K21" s="30">
        <v>1</v>
      </c>
      <c r="L21" s="27">
        <f>K21*J21</f>
        <v>24.96</v>
      </c>
      <c r="M21" s="28"/>
      <c r="N21" s="31">
        <f>L21-H21</f>
        <v>3.2699999999999996</v>
      </c>
      <c r="O21" s="32">
        <f>IF((H21)=0,"",(N21/H21))</f>
        <v>0.15076071922544948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7.85</v>
      </c>
      <c r="G22" s="26">
        <v>1</v>
      </c>
      <c r="H22" s="27">
        <f t="shared" ref="H22:H37" si="0">G22*F22</f>
        <v>7.85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-7.85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3.2</v>
      </c>
      <c r="G23" s="26">
        <v>1</v>
      </c>
      <c r="H23" s="27">
        <f t="shared" si="0"/>
        <v>3.2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-3.2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v>1.91</v>
      </c>
      <c r="K24" s="30">
        <v>1</v>
      </c>
      <c r="L24" s="27">
        <f t="shared" si="1"/>
        <v>1.91</v>
      </c>
      <c r="M24" s="28"/>
      <c r="N24" s="31">
        <f t="shared" si="2"/>
        <v>1.91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/>
      <c r="G25" s="26">
        <f t="shared" ref="G25:G30" si="4">$F$16</f>
        <v>2000</v>
      </c>
      <c r="H25" s="27">
        <f t="shared" ref="H25" si="5">G25*F25</f>
        <v>0</v>
      </c>
      <c r="I25" s="28"/>
      <c r="J25" s="29">
        <v>8.8852477239052222E-4</v>
      </c>
      <c r="K25" s="26">
        <f>$F$16</f>
        <v>2000</v>
      </c>
      <c r="L25" s="27">
        <f t="shared" ref="L25" si="6">K25*J25</f>
        <v>1.7770495447810444</v>
      </c>
      <c r="M25" s="28"/>
      <c r="N25" s="31">
        <f t="shared" ref="N25" si="7">L25-H25</f>
        <v>1.7770495447810444</v>
      </c>
      <c r="O25" s="32" t="str">
        <f t="shared" ref="O25" si="8">IF((H25)=0,"",(N25/H25))</f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 t="shared" si="4"/>
        <v>2000</v>
      </c>
      <c r="H26" s="27">
        <f t="shared" si="0"/>
        <v>-0.4</v>
      </c>
      <c r="I26" s="28"/>
      <c r="J26" s="173"/>
      <c r="K26" s="26">
        <f>$F$16</f>
        <v>2000</v>
      </c>
      <c r="L26" s="27">
        <f t="shared" si="1"/>
        <v>0</v>
      </c>
      <c r="M26" s="28"/>
      <c r="N26" s="31">
        <f t="shared" si="2"/>
        <v>0.4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 t="shared" si="4"/>
        <v>2000</v>
      </c>
      <c r="H27" s="27">
        <f t="shared" si="0"/>
        <v>0</v>
      </c>
      <c r="I27" s="28"/>
      <c r="J27" s="29">
        <v>-7.1368536247813147E-3</v>
      </c>
      <c r="K27" s="26">
        <f>$F$16</f>
        <v>2000</v>
      </c>
      <c r="L27" s="27">
        <f t="shared" si="1"/>
        <v>-14.27370724956263</v>
      </c>
      <c r="M27" s="28"/>
      <c r="N27" s="31">
        <f t="shared" si="2"/>
        <v>-14.27370724956263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v>1.67E-2</v>
      </c>
      <c r="G28" s="26">
        <f t="shared" si="4"/>
        <v>2000</v>
      </c>
      <c r="H28" s="27">
        <f t="shared" si="0"/>
        <v>33.4</v>
      </c>
      <c r="I28" s="28"/>
      <c r="J28" s="29">
        <v>1.9199999999999998E-2</v>
      </c>
      <c r="K28" s="26">
        <f>$F$16</f>
        <v>2000</v>
      </c>
      <c r="L28" s="27">
        <f t="shared" si="1"/>
        <v>38.4</v>
      </c>
      <c r="M28" s="28"/>
      <c r="N28" s="31">
        <f t="shared" si="2"/>
        <v>5</v>
      </c>
      <c r="O28" s="32">
        <f t="shared" si="3"/>
        <v>0.14970059880239522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 t="shared" si="4"/>
        <v>2000</v>
      </c>
      <c r="H29" s="27">
        <f t="shared" si="0"/>
        <v>0</v>
      </c>
      <c r="I29" s="28"/>
      <c r="J29" s="29"/>
      <c r="K29" s="26">
        <f t="shared" ref="K29:K37" si="9">$F$16</f>
        <v>2000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 t="shared" si="4"/>
        <v>2000</v>
      </c>
      <c r="H30" s="27">
        <f t="shared" si="0"/>
        <v>0</v>
      </c>
      <c r="I30" s="28"/>
      <c r="J30" s="29"/>
      <c r="K30" s="26">
        <f t="shared" si="9"/>
        <v>2000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10">$F$16</f>
        <v>2000</v>
      </c>
      <c r="H31" s="27">
        <f t="shared" si="0"/>
        <v>0</v>
      </c>
      <c r="I31" s="28"/>
      <c r="J31" s="29"/>
      <c r="K31" s="26">
        <f t="shared" si="9"/>
        <v>2000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10"/>
        <v>2000</v>
      </c>
      <c r="H32" s="27">
        <f t="shared" si="0"/>
        <v>0</v>
      </c>
      <c r="I32" s="28"/>
      <c r="J32" s="29"/>
      <c r="K32" s="26">
        <f t="shared" si="9"/>
        <v>2000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10"/>
        <v>2000</v>
      </c>
      <c r="H33" s="27">
        <f t="shared" si="0"/>
        <v>0</v>
      </c>
      <c r="I33" s="28"/>
      <c r="J33" s="29"/>
      <c r="K33" s="26">
        <f t="shared" si="9"/>
        <v>2000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10"/>
        <v>2000</v>
      </c>
      <c r="H34" s="27">
        <f t="shared" si="0"/>
        <v>0</v>
      </c>
      <c r="I34" s="28"/>
      <c r="J34" s="29"/>
      <c r="K34" s="26">
        <f t="shared" si="9"/>
        <v>2000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10"/>
        <v>2000</v>
      </c>
      <c r="H35" s="27">
        <f t="shared" si="0"/>
        <v>0</v>
      </c>
      <c r="I35" s="28"/>
      <c r="J35" s="29"/>
      <c r="K35" s="26">
        <f t="shared" si="9"/>
        <v>2000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10"/>
        <v>2000</v>
      </c>
      <c r="H36" s="27">
        <f t="shared" si="0"/>
        <v>0</v>
      </c>
      <c r="I36" s="28"/>
      <c r="J36" s="29"/>
      <c r="K36" s="26">
        <f t="shared" si="9"/>
        <v>2000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10"/>
        <v>2000</v>
      </c>
      <c r="H37" s="27">
        <f t="shared" si="0"/>
        <v>0</v>
      </c>
      <c r="I37" s="28"/>
      <c r="J37" s="29"/>
      <c r="K37" s="26">
        <f t="shared" si="9"/>
        <v>2000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65.740000000000009</v>
      </c>
      <c r="I38" s="41"/>
      <c r="J38" s="42"/>
      <c r="K38" s="43"/>
      <c r="L38" s="40">
        <f>SUM(L21:L37)</f>
        <v>52.773342295218413</v>
      </c>
      <c r="M38" s="41"/>
      <c r="N38" s="44">
        <f t="shared" si="2"/>
        <v>-12.966657704781596</v>
      </c>
      <c r="O38" s="45">
        <f t="shared" si="3"/>
        <v>-0.19724152273777903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2000</v>
      </c>
      <c r="H40" s="27">
        <f t="shared" ref="H40:H46" si="11">G40*F40</f>
        <v>-3.6</v>
      </c>
      <c r="I40" s="28"/>
      <c r="J40" s="29">
        <v>2.2956161777014765E-4</v>
      </c>
      <c r="K40" s="26">
        <f>$F$16</f>
        <v>2000</v>
      </c>
      <c r="L40" s="27">
        <f t="shared" ref="L40:L46" si="12">K40*J40</f>
        <v>0.45912323554029533</v>
      </c>
      <c r="M40" s="28"/>
      <c r="N40" s="31">
        <f t="shared" ref="N40:N65" si="13">L40-H40</f>
        <v>4.0591232355402953</v>
      </c>
      <c r="O40" s="32">
        <f t="shared" ref="O40:O45" si="14">IF((H40)=0,"",(N40/H40))</f>
        <v>-1.1275342320945265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2000</v>
      </c>
      <c r="H41" s="27">
        <f t="shared" si="11"/>
        <v>0</v>
      </c>
      <c r="I41" s="47"/>
      <c r="J41" s="29"/>
      <c r="K41" s="26">
        <f>$F$16</f>
        <v>2000</v>
      </c>
      <c r="L41" s="27">
        <f t="shared" si="12"/>
        <v>0</v>
      </c>
      <c r="M41" s="48"/>
      <c r="N41" s="31">
        <f t="shared" si="13"/>
        <v>0</v>
      </c>
      <c r="O41" s="32" t="str">
        <f t="shared" si="14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2000</v>
      </c>
      <c r="H42" s="27">
        <f t="shared" si="11"/>
        <v>0</v>
      </c>
      <c r="I42" s="47"/>
      <c r="J42" s="29"/>
      <c r="K42" s="26">
        <f>$F$16</f>
        <v>2000</v>
      </c>
      <c r="L42" s="27">
        <f t="shared" si="12"/>
        <v>0</v>
      </c>
      <c r="M42" s="48"/>
      <c r="N42" s="31">
        <f t="shared" si="13"/>
        <v>0</v>
      </c>
      <c r="O42" s="32" t="str">
        <f t="shared" si="14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2000</v>
      </c>
      <c r="H43" s="27">
        <f t="shared" si="11"/>
        <v>0</v>
      </c>
      <c r="I43" s="47"/>
      <c r="J43" s="29"/>
      <c r="K43" s="26">
        <f>$F$16</f>
        <v>2000</v>
      </c>
      <c r="L43" s="27">
        <f t="shared" si="12"/>
        <v>0</v>
      </c>
      <c r="M43" s="48"/>
      <c r="N43" s="31">
        <f t="shared" si="13"/>
        <v>0</v>
      </c>
      <c r="O43" s="32" t="str">
        <f t="shared" si="14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2000</v>
      </c>
      <c r="H44" s="27">
        <f t="shared" si="11"/>
        <v>0.08</v>
      </c>
      <c r="I44" s="28"/>
      <c r="J44" s="196">
        <v>4.0000000000000003E-5</v>
      </c>
      <c r="K44" s="26">
        <f>$F$16</f>
        <v>2000</v>
      </c>
      <c r="L44" s="27">
        <f t="shared" si="12"/>
        <v>0.08</v>
      </c>
      <c r="M44" s="28"/>
      <c r="N44" s="31">
        <f t="shared" si="13"/>
        <v>0</v>
      </c>
      <c r="O44" s="32">
        <f t="shared" si="14"/>
        <v>0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96</v>
      </c>
      <c r="H45" s="183">
        <f t="shared" si="11"/>
        <v>8.8761600000000005</v>
      </c>
      <c r="I45" s="57"/>
      <c r="J45" s="184">
        <f>0.64*$F$55+0.18*$F$56+0.18*$F$57</f>
        <v>9.2460000000000001E-2</v>
      </c>
      <c r="K45" s="26">
        <f>$F$16*(1+$J$74)-$F$16</f>
        <v>94.199999999999818</v>
      </c>
      <c r="L45" s="183">
        <f t="shared" si="12"/>
        <v>8.7097319999999829</v>
      </c>
      <c r="M45" s="57"/>
      <c r="N45" s="185">
        <f t="shared" si="13"/>
        <v>-0.16642800000001756</v>
      </c>
      <c r="O45" s="186">
        <f t="shared" si="14"/>
        <v>-1.8750000000001977E-2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11"/>
        <v>0.79</v>
      </c>
      <c r="I46" s="28"/>
      <c r="J46" s="177">
        <v>0.79</v>
      </c>
      <c r="K46" s="26">
        <v>1</v>
      </c>
      <c r="L46" s="27">
        <f t="shared" si="12"/>
        <v>0.79</v>
      </c>
      <c r="M46" s="28"/>
      <c r="N46" s="31">
        <f t="shared" si="13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71.886160000000004</v>
      </c>
      <c r="I47" s="41"/>
      <c r="J47" s="53"/>
      <c r="K47" s="55"/>
      <c r="L47" s="54">
        <f>SUM(L39:L46)+L38</f>
        <v>62.812197530758695</v>
      </c>
      <c r="M47" s="41"/>
      <c r="N47" s="44">
        <f t="shared" si="13"/>
        <v>-9.0739624692413088</v>
      </c>
      <c r="O47" s="45">
        <f t="shared" ref="O47:O65" si="15">IF((H47)=0,"",(N47/H47))</f>
        <v>-0.12622683516884625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6.8999999999999999E-3</v>
      </c>
      <c r="G48" s="58">
        <f>F16*(1+F74)</f>
        <v>2096</v>
      </c>
      <c r="H48" s="27">
        <f>G48*F48</f>
        <v>14.462400000000001</v>
      </c>
      <c r="I48" s="28"/>
      <c r="J48" s="29">
        <v>7.157233129159021E-3</v>
      </c>
      <c r="K48" s="59">
        <f>F16*(1+J74)</f>
        <v>2094.1999999999998</v>
      </c>
      <c r="L48" s="27">
        <f>K48*J48</f>
        <v>14.98867761908482</v>
      </c>
      <c r="M48" s="28"/>
      <c r="N48" s="31">
        <f t="shared" si="13"/>
        <v>0.52627761908481929</v>
      </c>
      <c r="O48" s="32">
        <f t="shared" si="15"/>
        <v>3.6389369612569097E-2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5.1999999999999998E-3</v>
      </c>
      <c r="G49" s="58">
        <f>G48</f>
        <v>2096</v>
      </c>
      <c r="H49" s="27">
        <f>G49*F49</f>
        <v>10.899199999999999</v>
      </c>
      <c r="I49" s="28"/>
      <c r="J49" s="29">
        <v>5.1776170693712204E-3</v>
      </c>
      <c r="K49" s="59">
        <f>K48</f>
        <v>2094.1999999999998</v>
      </c>
      <c r="L49" s="27">
        <f>K49*J49</f>
        <v>10.842965666677209</v>
      </c>
      <c r="M49" s="28"/>
      <c r="N49" s="31">
        <f t="shared" si="13"/>
        <v>-5.6234333322789709E-2</v>
      </c>
      <c r="O49" s="32">
        <f t="shared" si="15"/>
        <v>-5.1594918271790332E-3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97.24776</v>
      </c>
      <c r="I50" s="62"/>
      <c r="J50" s="63"/>
      <c r="K50" s="64"/>
      <c r="L50" s="54">
        <f>SUM(L47:L49)</f>
        <v>88.643840816520736</v>
      </c>
      <c r="M50" s="62"/>
      <c r="N50" s="44">
        <f t="shared" si="13"/>
        <v>-8.6039191834792632</v>
      </c>
      <c r="O50" s="45">
        <f t="shared" si="15"/>
        <v>-8.8474214557530823E-2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2096</v>
      </c>
      <c r="H51" s="67">
        <f t="shared" ref="H51:H57" si="16">G51*F51</f>
        <v>9.2224000000000004</v>
      </c>
      <c r="I51" s="28"/>
      <c r="J51" s="66">
        <v>4.4000000000000003E-3</v>
      </c>
      <c r="K51" s="59">
        <f>K49</f>
        <v>2094.1999999999998</v>
      </c>
      <c r="L51" s="67">
        <f t="shared" ref="L51:L57" si="17">K51*J51</f>
        <v>9.21448</v>
      </c>
      <c r="M51" s="28"/>
      <c r="N51" s="31">
        <f t="shared" si="13"/>
        <v>-7.9200000000003712E-3</v>
      </c>
      <c r="O51" s="68">
        <f t="shared" si="15"/>
        <v>-8.5877862595423867E-4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2096</v>
      </c>
      <c r="H52" s="67">
        <f t="shared" si="16"/>
        <v>2.7247999999999997</v>
      </c>
      <c r="I52" s="28"/>
      <c r="J52" s="66">
        <v>1.2999999999999999E-3</v>
      </c>
      <c r="K52" s="59">
        <f>K49</f>
        <v>2094.1999999999998</v>
      </c>
      <c r="L52" s="67">
        <f t="shared" si="17"/>
        <v>2.7224599999999994</v>
      </c>
      <c r="M52" s="28"/>
      <c r="N52" s="31">
        <f t="shared" si="13"/>
        <v>-2.3400000000002308E-3</v>
      </c>
      <c r="O52" s="68">
        <f t="shared" si="15"/>
        <v>-8.5877862595428324E-4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6"/>
        <v>0.25</v>
      </c>
      <c r="I53" s="28"/>
      <c r="J53" s="176">
        <v>0.25</v>
      </c>
      <c r="K53" s="30">
        <v>1</v>
      </c>
      <c r="L53" s="67">
        <f t="shared" si="17"/>
        <v>0.25</v>
      </c>
      <c r="M53" s="28"/>
      <c r="N53" s="31">
        <f t="shared" si="13"/>
        <v>0</v>
      </c>
      <c r="O53" s="68">
        <f t="shared" si="15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2000</v>
      </c>
      <c r="H54" s="67">
        <f t="shared" si="16"/>
        <v>14</v>
      </c>
      <c r="I54" s="28"/>
      <c r="J54" s="66">
        <v>7.0000000000000001E-3</v>
      </c>
      <c r="K54" s="70">
        <f>F16</f>
        <v>2000</v>
      </c>
      <c r="L54" s="67">
        <f t="shared" si="17"/>
        <v>14</v>
      </c>
      <c r="M54" s="28"/>
      <c r="N54" s="31">
        <f t="shared" si="13"/>
        <v>0</v>
      </c>
      <c r="O54" s="68">
        <f t="shared" si="15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1280</v>
      </c>
      <c r="H55" s="67">
        <f t="shared" si="16"/>
        <v>96</v>
      </c>
      <c r="I55" s="28"/>
      <c r="J55" s="66">
        <v>7.4999999999999997E-2</v>
      </c>
      <c r="K55" s="69">
        <f>G55</f>
        <v>1280</v>
      </c>
      <c r="L55" s="67">
        <f t="shared" si="17"/>
        <v>96</v>
      </c>
      <c r="M55" s="28"/>
      <c r="N55" s="31">
        <f t="shared" si="13"/>
        <v>0</v>
      </c>
      <c r="O55" s="68">
        <f t="shared" si="15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360</v>
      </c>
      <c r="H56" s="67">
        <f t="shared" si="16"/>
        <v>40.32</v>
      </c>
      <c r="I56" s="28"/>
      <c r="J56" s="66">
        <v>0.112</v>
      </c>
      <c r="K56" s="69">
        <f>G56</f>
        <v>360</v>
      </c>
      <c r="L56" s="67">
        <f t="shared" si="17"/>
        <v>40.32</v>
      </c>
      <c r="M56" s="28"/>
      <c r="N56" s="31">
        <f t="shared" si="13"/>
        <v>0</v>
      </c>
      <c r="O56" s="68">
        <f t="shared" si="15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360</v>
      </c>
      <c r="H57" s="67">
        <f t="shared" si="16"/>
        <v>48.6</v>
      </c>
      <c r="I57" s="28"/>
      <c r="J57" s="66">
        <v>0.13500000000000001</v>
      </c>
      <c r="K57" s="69">
        <f>G57</f>
        <v>360</v>
      </c>
      <c r="L57" s="67">
        <f t="shared" si="17"/>
        <v>48.6</v>
      </c>
      <c r="M57" s="28"/>
      <c r="N57" s="31">
        <f t="shared" si="13"/>
        <v>0</v>
      </c>
      <c r="O57" s="68">
        <f t="shared" si="15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13"/>
        <v>0</v>
      </c>
      <c r="O58" s="68">
        <f t="shared" si="15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1400</v>
      </c>
      <c r="H59" s="67">
        <f>G59*F59</f>
        <v>141.4</v>
      </c>
      <c r="I59" s="79"/>
      <c r="J59" s="66">
        <v>0.10100000000000001</v>
      </c>
      <c r="K59" s="78">
        <f>G59</f>
        <v>1400</v>
      </c>
      <c r="L59" s="67">
        <f>K59*J59</f>
        <v>141.4</v>
      </c>
      <c r="M59" s="79"/>
      <c r="N59" s="80">
        <f t="shared" si="13"/>
        <v>0</v>
      </c>
      <c r="O59" s="68">
        <f t="shared" si="15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308.36496</v>
      </c>
      <c r="I61" s="95"/>
      <c r="J61" s="96"/>
      <c r="K61" s="96"/>
      <c r="L61" s="189">
        <f>SUM(L51:L57,L50)</f>
        <v>299.75078081652072</v>
      </c>
      <c r="M61" s="97"/>
      <c r="N61" s="98">
        <f>L61-H61</f>
        <v>-8.6141791834792798</v>
      </c>
      <c r="O61" s="99">
        <f>IF((H61)=0,"",(N61/H61))</f>
        <v>-2.7935013055566626E-2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40.0874448</v>
      </c>
      <c r="I62" s="104"/>
      <c r="J62" s="105">
        <v>0.13</v>
      </c>
      <c r="K62" s="104"/>
      <c r="L62" s="106">
        <f>L61*J62</f>
        <v>38.967601506147695</v>
      </c>
      <c r="M62" s="107"/>
      <c r="N62" s="108">
        <f t="shared" si="13"/>
        <v>-1.1198432938523055</v>
      </c>
      <c r="O62" s="109">
        <f t="shared" si="15"/>
        <v>-2.7935013055566602E-2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348.45240480000001</v>
      </c>
      <c r="I63" s="104"/>
      <c r="J63" s="104"/>
      <c r="K63" s="104"/>
      <c r="L63" s="106">
        <f>L61+L62</f>
        <v>338.71838232266839</v>
      </c>
      <c r="M63" s="107"/>
      <c r="N63" s="108">
        <f t="shared" si="13"/>
        <v>-9.7340224773316208</v>
      </c>
      <c r="O63" s="109">
        <f t="shared" si="15"/>
        <v>-2.7935013055566723E-2</v>
      </c>
      <c r="S63" s="72"/>
    </row>
    <row r="64" spans="2:19" ht="15.75" customHeight="1" x14ac:dyDescent="0.25">
      <c r="B64" s="248" t="s">
        <v>43</v>
      </c>
      <c r="C64" s="248"/>
      <c r="D64" s="248"/>
      <c r="E64" s="22"/>
      <c r="F64" s="111"/>
      <c r="G64" s="102"/>
      <c r="H64" s="112">
        <f>ROUND(-H63*10%,2)</f>
        <v>-34.85</v>
      </c>
      <c r="I64" s="104"/>
      <c r="J64" s="104"/>
      <c r="K64" s="104"/>
      <c r="L64" s="113">
        <f>ROUND(-L63*10%,2)</f>
        <v>-33.869999999999997</v>
      </c>
      <c r="M64" s="107"/>
      <c r="N64" s="114">
        <f t="shared" si="13"/>
        <v>0.98000000000000398</v>
      </c>
      <c r="O64" s="115">
        <f t="shared" si="15"/>
        <v>-2.8120516499282752E-2</v>
      </c>
    </row>
    <row r="65" spans="1:15" ht="15.75" thickBot="1" x14ac:dyDescent="0.3">
      <c r="B65" s="240" t="s">
        <v>44</v>
      </c>
      <c r="C65" s="240"/>
      <c r="D65" s="240"/>
      <c r="E65" s="116"/>
      <c r="F65" s="117"/>
      <c r="G65" s="118"/>
      <c r="H65" s="119">
        <f>H63+H64</f>
        <v>313.60240479999999</v>
      </c>
      <c r="I65" s="120"/>
      <c r="J65" s="120"/>
      <c r="K65" s="120"/>
      <c r="L65" s="121">
        <f>L63+L64</f>
        <v>304.84838232266839</v>
      </c>
      <c r="M65" s="122"/>
      <c r="N65" s="123">
        <f t="shared" si="13"/>
        <v>-8.7540224773316027</v>
      </c>
      <c r="O65" s="124">
        <f t="shared" si="15"/>
        <v>-2.7914398433629622E-2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316.44495999999998</v>
      </c>
      <c r="I67" s="136"/>
      <c r="J67" s="137"/>
      <c r="K67" s="137"/>
      <c r="L67" s="188">
        <f>SUM(L58:L59,L50,L51:L54)</f>
        <v>307.83078081652076</v>
      </c>
      <c r="M67" s="138"/>
      <c r="N67" s="139">
        <f>L67-H67</f>
        <v>-8.614179183479223</v>
      </c>
      <c r="O67" s="99">
        <f>IF((H67)=0,"",(N67/H67))</f>
        <v>-2.7221729755086709E-2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41.137844799999996</v>
      </c>
      <c r="I68" s="143"/>
      <c r="J68" s="144">
        <v>0.13</v>
      </c>
      <c r="K68" s="145"/>
      <c r="L68" s="146">
        <f>L67*J68</f>
        <v>40.018001506147698</v>
      </c>
      <c r="M68" s="147"/>
      <c r="N68" s="148">
        <f>L68-H68</f>
        <v>-1.1198432938522984</v>
      </c>
      <c r="O68" s="109">
        <f>IF((H68)=0,"",(N68/H68))</f>
        <v>-2.7221729755086695E-2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357.58280479999996</v>
      </c>
      <c r="I69" s="143"/>
      <c r="J69" s="143"/>
      <c r="K69" s="143"/>
      <c r="L69" s="146">
        <f>L67+L68</f>
        <v>347.84878232266846</v>
      </c>
      <c r="M69" s="147"/>
      <c r="N69" s="148">
        <f>L69-H69</f>
        <v>-9.7340224773315072</v>
      </c>
      <c r="O69" s="109">
        <f>IF((H69)=0,"",(N69/H69))</f>
        <v>-2.722172975508667E-2</v>
      </c>
    </row>
    <row r="70" spans="1:15" s="73" customFormat="1" ht="15.75" customHeight="1" x14ac:dyDescent="0.2">
      <c r="B70" s="249" t="s">
        <v>43</v>
      </c>
      <c r="C70" s="249"/>
      <c r="D70" s="249"/>
      <c r="E70" s="75"/>
      <c r="F70" s="150"/>
      <c r="G70" s="151"/>
      <c r="H70" s="152">
        <f>ROUND(-H69*10%,2)</f>
        <v>-35.76</v>
      </c>
      <c r="I70" s="143"/>
      <c r="J70" s="143"/>
      <c r="K70" s="143"/>
      <c r="L70" s="153">
        <f>ROUND(-L69*10%,2)</f>
        <v>-34.78</v>
      </c>
      <c r="M70" s="147"/>
      <c r="N70" s="154">
        <f>L70-H70</f>
        <v>0.97999999999999687</v>
      </c>
      <c r="O70" s="115">
        <f>IF((H70)=0,"",(N70/H70))</f>
        <v>-2.7404921700223628E-2</v>
      </c>
    </row>
    <row r="71" spans="1:15" s="73" customFormat="1" ht="13.5" thickBot="1" x14ac:dyDescent="0.25">
      <c r="B71" s="241" t="s">
        <v>46</v>
      </c>
      <c r="C71" s="241"/>
      <c r="D71" s="241"/>
      <c r="E71" s="155"/>
      <c r="F71" s="156"/>
      <c r="G71" s="157"/>
      <c r="H71" s="158">
        <f>SUM(H69:H70)</f>
        <v>321.82280479999997</v>
      </c>
      <c r="I71" s="159"/>
      <c r="J71" s="159"/>
      <c r="K71" s="159"/>
      <c r="L71" s="160">
        <f>SUM(L69:L70)</f>
        <v>313.06878232266843</v>
      </c>
      <c r="M71" s="161"/>
      <c r="N71" s="162">
        <f>L71-H71</f>
        <v>-8.7540224773315458</v>
      </c>
      <c r="O71" s="163">
        <f>IF((H71)=0,"",(N71/H71))</f>
        <v>-2.7201374006953365E-2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8:O8"/>
    <mergeCell ref="N1:O1"/>
    <mergeCell ref="N2:O2"/>
    <mergeCell ref="N3:O3"/>
    <mergeCell ref="N5:O5"/>
    <mergeCell ref="B64:D64"/>
    <mergeCell ref="B65:D65"/>
    <mergeCell ref="B70:D70"/>
    <mergeCell ref="B71:D71"/>
    <mergeCell ref="B9:O9"/>
    <mergeCell ref="D12:O12"/>
    <mergeCell ref="F18:H18"/>
    <mergeCell ref="J18:L18"/>
    <mergeCell ref="N18:O18"/>
    <mergeCell ref="D19:D20"/>
    <mergeCell ref="N19:N20"/>
    <mergeCell ref="O19:O20"/>
  </mergeCells>
  <dataValidations count="3">
    <dataValidation type="list" allowBlank="1" showInputMessage="1" showErrorMessage="1" sqref="D14">
      <formula1>"TOU, non-TOU"</formula1>
    </dataValidation>
    <dataValidation type="list" allowBlank="1" showInputMessage="1" showErrorMessage="1" sqref="E72 E66 E48:E49 E51:E60 E39:E46 E21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22</vt:i4>
      </vt:variant>
    </vt:vector>
  </HeadingPairs>
  <TitlesOfParts>
    <vt:vector size="45" baseType="lpstr">
      <vt:lpstr>Res (100kWh)</vt:lpstr>
      <vt:lpstr>Res (250kWh)</vt:lpstr>
      <vt:lpstr>Res (500kWh)</vt:lpstr>
      <vt:lpstr>Res (800kWh)</vt:lpstr>
      <vt:lpstr>Res (1000kWh)</vt:lpstr>
      <vt:lpstr>Res (1500kWh)</vt:lpstr>
      <vt:lpstr>Res (2000kWh)</vt:lpstr>
      <vt:lpstr>GS&lt;50 (1,000kWh)</vt:lpstr>
      <vt:lpstr>GS&lt;50 (2,000kWh)</vt:lpstr>
      <vt:lpstr>GS&lt;50 (5,000kWh)</vt:lpstr>
      <vt:lpstr>GS&lt;50 (10,000kWh)</vt:lpstr>
      <vt:lpstr>GS&lt;50 (15,000kWh)</vt:lpstr>
      <vt:lpstr>GS 50-2999 (60kW)</vt:lpstr>
      <vt:lpstr>GS 50-2999 (100kW)</vt:lpstr>
      <vt:lpstr>GS 50-2999 (455 kW)</vt:lpstr>
      <vt:lpstr>GS 3000-4999 (3,000kW)</vt:lpstr>
      <vt:lpstr>GS 3000-4999 (3,290kW)</vt:lpstr>
      <vt:lpstr>GS 3000-4999 (5,000kW)</vt:lpstr>
      <vt:lpstr>ST (1kW)</vt:lpstr>
      <vt:lpstr>ST (470kW)</vt:lpstr>
      <vt:lpstr>SL (1kW)</vt:lpstr>
      <vt:lpstr>USL (150kWh)</vt:lpstr>
      <vt:lpstr>Summary</vt:lpstr>
      <vt:lpstr>'GS 3000-4999 (3,000kW)'!Print_Area</vt:lpstr>
      <vt:lpstr>'GS 3000-4999 (3,290kW)'!Print_Area</vt:lpstr>
      <vt:lpstr>'GS 3000-4999 (5,000kW)'!Print_Area</vt:lpstr>
      <vt:lpstr>'GS 50-2999 (100kW)'!Print_Area</vt:lpstr>
      <vt:lpstr>'GS 50-2999 (455 kW)'!Print_Area</vt:lpstr>
      <vt:lpstr>'GS 50-2999 (60kW)'!Print_Area</vt:lpstr>
      <vt:lpstr>'GS&lt;50 (1,000kWh)'!Print_Area</vt:lpstr>
      <vt:lpstr>'GS&lt;50 (10,000kWh)'!Print_Area</vt:lpstr>
      <vt:lpstr>'GS&lt;50 (15,000kWh)'!Print_Area</vt:lpstr>
      <vt:lpstr>'GS&lt;50 (2,000kWh)'!Print_Area</vt:lpstr>
      <vt:lpstr>'GS&lt;50 (5,000kWh)'!Print_Area</vt:lpstr>
      <vt:lpstr>'Res (1000kWh)'!Print_Area</vt:lpstr>
      <vt:lpstr>'Res (100kWh)'!Print_Area</vt:lpstr>
      <vt:lpstr>'Res (1500kWh)'!Print_Area</vt:lpstr>
      <vt:lpstr>'Res (2000kWh)'!Print_Area</vt:lpstr>
      <vt:lpstr>'Res (250kWh)'!Print_Area</vt:lpstr>
      <vt:lpstr>'Res (500kWh)'!Print_Area</vt:lpstr>
      <vt:lpstr>'Res (800kWh)'!Print_Area</vt:lpstr>
      <vt:lpstr>'SL (1kW)'!Print_Area</vt:lpstr>
      <vt:lpstr>'ST (1kW)'!Print_Area</vt:lpstr>
      <vt:lpstr>'ST (470kW)'!Print_Area</vt:lpstr>
      <vt:lpstr>'USL (150kWh)'!Print_Area</vt:lpstr>
    </vt:vector>
  </TitlesOfParts>
  <Company>Cambridge and North Dumfries Hydro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Calhoun</dc:creator>
  <cp:lastModifiedBy>Becky Proctor</cp:lastModifiedBy>
  <cp:lastPrinted>2014-12-08T16:05:09Z</cp:lastPrinted>
  <dcterms:created xsi:type="dcterms:W3CDTF">2013-08-28T15:11:04Z</dcterms:created>
  <dcterms:modified xsi:type="dcterms:W3CDTF">2014-12-11T19:15:56Z</dcterms:modified>
</cp:coreProperties>
</file>