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bookViews>
    <workbookView xWindow="12480" yWindow="-15" windowWidth="12765" windowHeight="6795" tabRatio="699"/>
  </bookViews>
  <sheets>
    <sheet name="1. Information Sheet" sheetId="15" r:id="rId1"/>
    <sheet name="2. 2014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 name="Sheet1" sheetId="17" r:id="rId8"/>
  </sheets>
  <externalReferences>
    <externalReference r:id="rId9"/>
    <externalReference r:id="rId10"/>
    <externalReference r:id="rId11"/>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2014 Continuity Schedule'!$A$1:$BQ$83</definedName>
    <definedName name="_xlnm.Print_Area" localSheetId="2">'3. Appendix A'!$B$1:$F$66</definedName>
    <definedName name="print_end" localSheetId="0">#REF!</definedName>
    <definedName name="print_end">#REF!</definedName>
    <definedName name="_xlnm.Print_Titles" localSheetId="1">'2. 2014 Continuity Schedule'!$C:$D,'2. 2014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BI79" i="2" l="1"/>
  <c r="BJ79" i="2"/>
  <c r="BJ76" i="2"/>
  <c r="BI76" i="2"/>
  <c r="BJ34" i="2" l="1"/>
  <c r="BI34" i="2"/>
  <c r="BE34" i="2"/>
  <c r="BP43" i="2"/>
  <c r="BP42" i="2"/>
  <c r="BN66" i="2"/>
  <c r="BM66" i="2"/>
  <c r="BN53" i="2"/>
  <c r="BM53" i="2"/>
  <c r="BN25" i="2"/>
  <c r="BM25" i="2"/>
  <c r="BJ33" i="2"/>
  <c r="BI33" i="2"/>
  <c r="BI29" i="2"/>
  <c r="AK64" i="2"/>
  <c r="AS64" i="2"/>
  <c r="AR64" i="2"/>
  <c r="BE33" i="2"/>
  <c r="AW79" i="2"/>
  <c r="AW76" i="2"/>
  <c r="AW33" i="2"/>
  <c r="AW29" i="2"/>
  <c r="AJ79" i="2"/>
  <c r="AJ76" i="2"/>
  <c r="AJ64" i="2"/>
  <c r="AE64" i="2"/>
  <c r="AE59" i="2"/>
  <c r="AE43" i="2"/>
  <c r="Z79" i="2"/>
  <c r="Z76" i="2"/>
  <c r="Z66" i="2"/>
  <c r="Z64" i="2"/>
  <c r="AA55" i="2"/>
  <c r="Z55" i="2" s="1"/>
  <c r="AA47" i="2"/>
  <c r="Z47" i="2" s="1"/>
  <c r="U76" i="2"/>
  <c r="P79" i="2"/>
  <c r="P77" i="2"/>
  <c r="P76" i="2"/>
  <c r="P66" i="2"/>
  <c r="K64" i="2"/>
  <c r="H64" i="2"/>
  <c r="N34" i="2" l="1"/>
  <c r="T34" i="2" s="1"/>
  <c r="X34" i="2" s="1"/>
  <c r="AD34" i="2" s="1"/>
  <c r="AH34" i="2" s="1"/>
  <c r="AQ34" i="2" s="1"/>
  <c r="AU34" i="2" s="1"/>
  <c r="BD34" i="2" s="1"/>
  <c r="BH34" i="2" s="1"/>
  <c r="O34" i="2"/>
  <c r="S34" i="2" s="1"/>
  <c r="Y34" i="2" s="1"/>
  <c r="AC34" i="2" s="1"/>
  <c r="AI34" i="2" s="1"/>
  <c r="AP34" i="2" s="1"/>
  <c r="AV34" i="2" s="1"/>
  <c r="BC34" i="2" s="1"/>
  <c r="I34" i="2"/>
  <c r="F4" i="13" l="1"/>
  <c r="L40" i="13"/>
  <c r="L41" i="13"/>
  <c r="L42" i="13"/>
  <c r="L19" i="13"/>
  <c r="L20" i="13"/>
  <c r="L21" i="13"/>
  <c r="L22" i="13"/>
  <c r="L23" i="13"/>
  <c r="L24" i="13"/>
  <c r="L25" i="13"/>
  <c r="L26" i="13"/>
  <c r="L27" i="13"/>
  <c r="L28" i="13"/>
  <c r="L29" i="13"/>
  <c r="L30" i="13"/>
  <c r="L31" i="13"/>
  <c r="L32" i="13"/>
  <c r="L33" i="13"/>
  <c r="L34" i="13"/>
  <c r="L35" i="13"/>
  <c r="L36" i="13"/>
  <c r="L37" i="13"/>
  <c r="L5" i="13"/>
  <c r="L6" i="13"/>
  <c r="L7" i="13"/>
  <c r="L8" i="13"/>
  <c r="L9" i="13"/>
  <c r="L10" i="13"/>
  <c r="L11" i="13"/>
  <c r="L50" i="13" s="1"/>
  <c r="L12" i="13"/>
  <c r="L13" i="13"/>
  <c r="L14" i="13"/>
  <c r="L15" i="13"/>
  <c r="L16" i="13"/>
  <c r="M40" i="13"/>
  <c r="M41" i="13"/>
  <c r="M42" i="13"/>
  <c r="M19" i="13"/>
  <c r="M20" i="13"/>
  <c r="M21" i="13"/>
  <c r="M22" i="13"/>
  <c r="M23" i="13"/>
  <c r="M24" i="13"/>
  <c r="M25" i="13"/>
  <c r="M26" i="13"/>
  <c r="M27" i="13"/>
  <c r="M28" i="13"/>
  <c r="M29" i="13"/>
  <c r="M30" i="13"/>
  <c r="M31" i="13"/>
  <c r="M32" i="13"/>
  <c r="M33" i="13"/>
  <c r="M34" i="13"/>
  <c r="M35" i="13"/>
  <c r="M36" i="13"/>
  <c r="M37" i="13"/>
  <c r="M5" i="13"/>
  <c r="M6" i="13"/>
  <c r="M7" i="13"/>
  <c r="M8" i="13"/>
  <c r="M9" i="13"/>
  <c r="M10" i="13"/>
  <c r="M11" i="13"/>
  <c r="M50" i="13" s="1"/>
  <c r="M12" i="13"/>
  <c r="M13" i="13"/>
  <c r="M14" i="13"/>
  <c r="M15" i="13"/>
  <c r="M16" i="13"/>
  <c r="N40" i="13"/>
  <c r="N41" i="13"/>
  <c r="N42" i="13"/>
  <c r="N19" i="13"/>
  <c r="N20" i="13"/>
  <c r="N21" i="13"/>
  <c r="N22" i="13"/>
  <c r="N23" i="13"/>
  <c r="N24" i="13"/>
  <c r="N25" i="13"/>
  <c r="N26" i="13"/>
  <c r="N27" i="13"/>
  <c r="N28" i="13"/>
  <c r="N29" i="13"/>
  <c r="N30" i="13"/>
  <c r="N31" i="13"/>
  <c r="N32" i="13"/>
  <c r="N33" i="13"/>
  <c r="N34" i="13"/>
  <c r="N35" i="13"/>
  <c r="N36" i="13"/>
  <c r="N37" i="13"/>
  <c r="N5" i="13"/>
  <c r="N6" i="13"/>
  <c r="N7" i="13"/>
  <c r="N8" i="13"/>
  <c r="N9" i="13"/>
  <c r="N10" i="13"/>
  <c r="N11" i="13"/>
  <c r="N50" i="13" s="1"/>
  <c r="N12" i="13"/>
  <c r="N13" i="13"/>
  <c r="N14" i="13"/>
  <c r="N15" i="13"/>
  <c r="N16" i="13"/>
  <c r="O40" i="13"/>
  <c r="O41" i="13"/>
  <c r="O42" i="13"/>
  <c r="O19" i="13"/>
  <c r="O20" i="13"/>
  <c r="O21" i="13"/>
  <c r="O22" i="13"/>
  <c r="O23" i="13"/>
  <c r="O24" i="13"/>
  <c r="O25" i="13"/>
  <c r="O26" i="13"/>
  <c r="O27" i="13"/>
  <c r="O28" i="13"/>
  <c r="O29" i="13"/>
  <c r="O30" i="13"/>
  <c r="O31" i="13"/>
  <c r="O32" i="13"/>
  <c r="O33" i="13"/>
  <c r="O34" i="13"/>
  <c r="O35" i="13"/>
  <c r="O36" i="13"/>
  <c r="O37" i="13"/>
  <c r="O5" i="13"/>
  <c r="O6" i="13"/>
  <c r="O7" i="13"/>
  <c r="O8" i="13"/>
  <c r="O9" i="13"/>
  <c r="O10" i="13"/>
  <c r="O11" i="13"/>
  <c r="O50" i="13" s="1"/>
  <c r="O12" i="13"/>
  <c r="O13" i="13"/>
  <c r="O14" i="13"/>
  <c r="O15" i="13"/>
  <c r="O16" i="13"/>
  <c r="P40" i="13"/>
  <c r="P41" i="13"/>
  <c r="P42" i="13"/>
  <c r="P19" i="13"/>
  <c r="P20" i="13"/>
  <c r="P21" i="13"/>
  <c r="P22" i="13"/>
  <c r="P23" i="13"/>
  <c r="P24" i="13"/>
  <c r="P25" i="13"/>
  <c r="P26" i="13"/>
  <c r="P27" i="13"/>
  <c r="P28" i="13"/>
  <c r="P29" i="13"/>
  <c r="P30" i="13"/>
  <c r="P31" i="13"/>
  <c r="P32" i="13"/>
  <c r="P33" i="13"/>
  <c r="P34" i="13"/>
  <c r="P35" i="13"/>
  <c r="P36" i="13"/>
  <c r="P37" i="13"/>
  <c r="P5" i="13"/>
  <c r="P6" i="13"/>
  <c r="P7" i="13"/>
  <c r="P8" i="13"/>
  <c r="P9" i="13"/>
  <c r="P10" i="13"/>
  <c r="P11" i="13"/>
  <c r="P50" i="13" s="1"/>
  <c r="P12" i="13"/>
  <c r="P13" i="13"/>
  <c r="P14" i="13"/>
  <c r="P15" i="13"/>
  <c r="P16" i="13"/>
  <c r="Q40" i="13"/>
  <c r="Q41" i="13"/>
  <c r="Q42" i="13"/>
  <c r="Q19" i="13"/>
  <c r="Q20" i="13"/>
  <c r="Q21" i="13"/>
  <c r="Q22" i="13"/>
  <c r="Q23" i="13"/>
  <c r="Q24" i="13"/>
  <c r="Q25" i="13"/>
  <c r="Q26" i="13"/>
  <c r="Q27" i="13"/>
  <c r="Q28" i="13"/>
  <c r="Q29" i="13"/>
  <c r="Q30" i="13"/>
  <c r="Q31" i="13"/>
  <c r="Q32" i="13"/>
  <c r="Q33" i="13"/>
  <c r="Q34" i="13"/>
  <c r="Q35" i="13"/>
  <c r="Q36" i="13"/>
  <c r="Q37" i="13"/>
  <c r="Q5" i="13"/>
  <c r="Q6" i="13"/>
  <c r="Q7" i="13"/>
  <c r="Q8" i="13"/>
  <c r="Q9" i="13"/>
  <c r="Q10" i="13"/>
  <c r="Q11" i="13"/>
  <c r="Q50" i="13" s="1"/>
  <c r="Q12" i="13"/>
  <c r="Q13" i="13"/>
  <c r="Q14" i="13"/>
  <c r="Q15" i="13"/>
  <c r="Q16" i="13"/>
  <c r="R40" i="13"/>
  <c r="R41" i="13"/>
  <c r="R42" i="13"/>
  <c r="R19" i="13"/>
  <c r="R20" i="13"/>
  <c r="R21" i="13"/>
  <c r="R22" i="13"/>
  <c r="R23" i="13"/>
  <c r="R24" i="13"/>
  <c r="R25" i="13"/>
  <c r="R26" i="13"/>
  <c r="R27" i="13"/>
  <c r="R28" i="13"/>
  <c r="R29" i="13"/>
  <c r="R30" i="13"/>
  <c r="R31" i="13"/>
  <c r="R32" i="13"/>
  <c r="R33" i="13"/>
  <c r="R34" i="13"/>
  <c r="R35" i="13"/>
  <c r="R36" i="13"/>
  <c r="R37" i="13"/>
  <c r="R5" i="13"/>
  <c r="R6" i="13"/>
  <c r="R7" i="13"/>
  <c r="R8" i="13"/>
  <c r="R9" i="13"/>
  <c r="R10" i="13"/>
  <c r="R11" i="13"/>
  <c r="R50" i="13" s="1"/>
  <c r="R12" i="13"/>
  <c r="R13" i="13"/>
  <c r="R14" i="13"/>
  <c r="R15" i="13"/>
  <c r="R16" i="13"/>
  <c r="S40" i="13"/>
  <c r="S41" i="13"/>
  <c r="S42" i="13"/>
  <c r="S19" i="13"/>
  <c r="S20" i="13"/>
  <c r="S21" i="13"/>
  <c r="S22" i="13"/>
  <c r="S23" i="13"/>
  <c r="S24" i="13"/>
  <c r="S25" i="13"/>
  <c r="S26" i="13"/>
  <c r="S27" i="13"/>
  <c r="S28" i="13"/>
  <c r="S29" i="13"/>
  <c r="S30" i="13"/>
  <c r="S31" i="13"/>
  <c r="S32" i="13"/>
  <c r="S33" i="13"/>
  <c r="S34" i="13"/>
  <c r="S35" i="13"/>
  <c r="S36" i="13"/>
  <c r="S37" i="13"/>
  <c r="S5" i="13"/>
  <c r="S6" i="13"/>
  <c r="S7" i="13"/>
  <c r="S8" i="13"/>
  <c r="S9" i="13"/>
  <c r="S10" i="13"/>
  <c r="S11" i="13"/>
  <c r="S50" i="13" s="1"/>
  <c r="S12" i="13"/>
  <c r="S13" i="13"/>
  <c r="S14" i="13"/>
  <c r="S15" i="13"/>
  <c r="S16" i="13"/>
  <c r="T40" i="13"/>
  <c r="T41" i="13"/>
  <c r="T42" i="13"/>
  <c r="T19" i="13"/>
  <c r="T20" i="13"/>
  <c r="T21" i="13"/>
  <c r="T22" i="13"/>
  <c r="T23" i="13"/>
  <c r="T24" i="13"/>
  <c r="T25" i="13"/>
  <c r="T26" i="13"/>
  <c r="T27" i="13"/>
  <c r="T28" i="13"/>
  <c r="T29" i="13"/>
  <c r="T30" i="13"/>
  <c r="T31" i="13"/>
  <c r="T32" i="13"/>
  <c r="T33" i="13"/>
  <c r="T34" i="13"/>
  <c r="T35" i="13"/>
  <c r="T36" i="13"/>
  <c r="T37" i="13"/>
  <c r="T5" i="13"/>
  <c r="T6" i="13"/>
  <c r="T7" i="13"/>
  <c r="T8" i="13"/>
  <c r="T9" i="13"/>
  <c r="T10" i="13"/>
  <c r="T11" i="13"/>
  <c r="T50" i="13" s="1"/>
  <c r="T12" i="13"/>
  <c r="T13" i="13"/>
  <c r="T14" i="13"/>
  <c r="T15" i="13"/>
  <c r="T16" i="13"/>
  <c r="U40" i="13"/>
  <c r="U41" i="13"/>
  <c r="U42" i="13"/>
  <c r="U19" i="13"/>
  <c r="U20" i="13"/>
  <c r="U21" i="13"/>
  <c r="U22" i="13"/>
  <c r="U23" i="13"/>
  <c r="U24" i="13"/>
  <c r="U25" i="13"/>
  <c r="U26" i="13"/>
  <c r="U27" i="13"/>
  <c r="U28" i="13"/>
  <c r="U29" i="13"/>
  <c r="U30" i="13"/>
  <c r="U31" i="13"/>
  <c r="U32" i="13"/>
  <c r="U33" i="13"/>
  <c r="U34" i="13"/>
  <c r="U35" i="13"/>
  <c r="U36" i="13"/>
  <c r="U37" i="13"/>
  <c r="U5" i="13"/>
  <c r="U6" i="13"/>
  <c r="U7" i="13"/>
  <c r="U8" i="13"/>
  <c r="U9" i="13"/>
  <c r="U10" i="13"/>
  <c r="U11" i="13"/>
  <c r="U50" i="13" s="1"/>
  <c r="U12" i="13"/>
  <c r="U13" i="13"/>
  <c r="U14" i="13"/>
  <c r="U15" i="13"/>
  <c r="U16" i="13"/>
  <c r="V40" i="13"/>
  <c r="V41" i="13"/>
  <c r="V42" i="13"/>
  <c r="V19" i="13"/>
  <c r="V20" i="13"/>
  <c r="V21" i="13"/>
  <c r="V22" i="13"/>
  <c r="V23" i="13"/>
  <c r="V24" i="13"/>
  <c r="V25" i="13"/>
  <c r="V26" i="13"/>
  <c r="V27" i="13"/>
  <c r="V28" i="13"/>
  <c r="V29" i="13"/>
  <c r="V30" i="13"/>
  <c r="V31" i="13"/>
  <c r="V32" i="13"/>
  <c r="V33" i="13"/>
  <c r="V34" i="13"/>
  <c r="V35" i="13"/>
  <c r="V36" i="13"/>
  <c r="V37" i="13"/>
  <c r="V5" i="13"/>
  <c r="V6" i="13"/>
  <c r="V7" i="13"/>
  <c r="V8" i="13"/>
  <c r="V9" i="13"/>
  <c r="V10" i="13"/>
  <c r="V11" i="13"/>
  <c r="V50" i="13" s="1"/>
  <c r="V12" i="13"/>
  <c r="V13" i="13"/>
  <c r="V14" i="13"/>
  <c r="V15" i="13"/>
  <c r="V16" i="13"/>
  <c r="W40" i="13"/>
  <c r="W41" i="13"/>
  <c r="W42" i="13"/>
  <c r="W19" i="13"/>
  <c r="W20" i="13"/>
  <c r="W21" i="13"/>
  <c r="W22" i="13"/>
  <c r="W23" i="13"/>
  <c r="W24" i="13"/>
  <c r="W25" i="13"/>
  <c r="W26" i="13"/>
  <c r="W27" i="13"/>
  <c r="W28" i="13"/>
  <c r="W29" i="13"/>
  <c r="W30" i="13"/>
  <c r="W31" i="13"/>
  <c r="W32" i="13"/>
  <c r="W33" i="13"/>
  <c r="W34" i="13"/>
  <c r="W35" i="13"/>
  <c r="W36" i="13"/>
  <c r="W37" i="13"/>
  <c r="W5" i="13"/>
  <c r="W6" i="13"/>
  <c r="W7" i="13"/>
  <c r="W8" i="13"/>
  <c r="W9" i="13"/>
  <c r="W10" i="13"/>
  <c r="W11" i="13"/>
  <c r="W50" i="13" s="1"/>
  <c r="W12" i="13"/>
  <c r="W13" i="13"/>
  <c r="W14" i="13"/>
  <c r="W15" i="13"/>
  <c r="W16" i="13"/>
  <c r="X40" i="13"/>
  <c r="X41" i="13"/>
  <c r="X42" i="13"/>
  <c r="X19" i="13"/>
  <c r="X20" i="13"/>
  <c r="X21" i="13"/>
  <c r="X22" i="13"/>
  <c r="X23" i="13"/>
  <c r="X24" i="13"/>
  <c r="X25" i="13"/>
  <c r="X26" i="13"/>
  <c r="X27" i="13"/>
  <c r="X28" i="13"/>
  <c r="X29" i="13"/>
  <c r="X30" i="13"/>
  <c r="X31" i="13"/>
  <c r="X32" i="13"/>
  <c r="X33" i="13"/>
  <c r="X34" i="13"/>
  <c r="X35" i="13"/>
  <c r="X36" i="13"/>
  <c r="X37" i="13"/>
  <c r="X5" i="13"/>
  <c r="X6" i="13"/>
  <c r="X7" i="13"/>
  <c r="X8" i="13"/>
  <c r="X9" i="13"/>
  <c r="X10" i="13"/>
  <c r="X11" i="13"/>
  <c r="X50" i="13" s="1"/>
  <c r="X12" i="13"/>
  <c r="X13" i="13"/>
  <c r="X14" i="13"/>
  <c r="X15" i="13"/>
  <c r="X16" i="13"/>
  <c r="Y40" i="13"/>
  <c r="Y41" i="13"/>
  <c r="Y42" i="13"/>
  <c r="Y19" i="13"/>
  <c r="Y20" i="13"/>
  <c r="Y21" i="13"/>
  <c r="Y22" i="13"/>
  <c r="Y23" i="13"/>
  <c r="Y24" i="13"/>
  <c r="Y25" i="13"/>
  <c r="Y26" i="13"/>
  <c r="Y27" i="13"/>
  <c r="Y28" i="13"/>
  <c r="Y29" i="13"/>
  <c r="Y30" i="13"/>
  <c r="Y31" i="13"/>
  <c r="Y32" i="13"/>
  <c r="Y33" i="13"/>
  <c r="Y34" i="13"/>
  <c r="Y35" i="13"/>
  <c r="Y36" i="13"/>
  <c r="Y37" i="13"/>
  <c r="Y5" i="13"/>
  <c r="Y6" i="13"/>
  <c r="Y7" i="13"/>
  <c r="Y8" i="13"/>
  <c r="Y9" i="13"/>
  <c r="Y10" i="13"/>
  <c r="Y11" i="13"/>
  <c r="Y50" i="13" s="1"/>
  <c r="Y12" i="13"/>
  <c r="Y13" i="13"/>
  <c r="Y14" i="13"/>
  <c r="Y15" i="13"/>
  <c r="Y16" i="13"/>
  <c r="D41" i="12"/>
  <c r="F26" i="13" s="1"/>
  <c r="F23" i="13"/>
  <c r="F31" i="13"/>
  <c r="I24" i="2"/>
  <c r="O24" i="2"/>
  <c r="S24" i="2"/>
  <c r="Y24" i="2" s="1"/>
  <c r="AC24" i="2" s="1"/>
  <c r="AI24" i="2" s="1"/>
  <c r="AP24" i="2" s="1"/>
  <c r="AV24" i="2" s="1"/>
  <c r="BC24" i="2" s="1"/>
  <c r="B20" i="14"/>
  <c r="B103" i="14" s="1"/>
  <c r="E103" i="14" s="1"/>
  <c r="F103" i="14" s="1"/>
  <c r="B109" i="14"/>
  <c r="B110" i="14"/>
  <c r="B111" i="14"/>
  <c r="B112" i="14"/>
  <c r="B113" i="14"/>
  <c r="B114" i="14"/>
  <c r="B115" i="14"/>
  <c r="B116" i="14"/>
  <c r="B117" i="14"/>
  <c r="B118" i="14"/>
  <c r="B119" i="14"/>
  <c r="B120" i="14"/>
  <c r="B121" i="14"/>
  <c r="B122" i="14"/>
  <c r="D122" i="14"/>
  <c r="D121" i="14"/>
  <c r="D120" i="14"/>
  <c r="D119" i="14"/>
  <c r="D118" i="14"/>
  <c r="D117" i="14"/>
  <c r="D116" i="14"/>
  <c r="D115" i="14"/>
  <c r="D114" i="14"/>
  <c r="D113" i="14"/>
  <c r="D112" i="14"/>
  <c r="D111" i="14"/>
  <c r="D110" i="14"/>
  <c r="D109" i="14"/>
  <c r="D108" i="14"/>
  <c r="D107" i="14"/>
  <c r="D106" i="14"/>
  <c r="D105" i="14"/>
  <c r="D104" i="14"/>
  <c r="D103" i="14"/>
  <c r="F53" i="13"/>
  <c r="G4" i="13"/>
  <c r="H4" i="13"/>
  <c r="I4" i="13"/>
  <c r="J4" i="13"/>
  <c r="K4" i="13"/>
  <c r="L4" i="13"/>
  <c r="M4" i="13"/>
  <c r="N4" i="13"/>
  <c r="O4" i="13"/>
  <c r="P4" i="13"/>
  <c r="Q4" i="13"/>
  <c r="R4" i="13"/>
  <c r="S4" i="13"/>
  <c r="T4" i="13"/>
  <c r="U4" i="13"/>
  <c r="V4" i="13"/>
  <c r="W4" i="13"/>
  <c r="X4" i="13"/>
  <c r="Y4" i="13"/>
  <c r="O41" i="12"/>
  <c r="BC82" i="2"/>
  <c r="AQ82" i="2"/>
  <c r="AU82" i="2"/>
  <c r="BD82" i="2"/>
  <c r="BH82" i="2" s="1"/>
  <c r="BC81" i="2"/>
  <c r="AQ81" i="2"/>
  <c r="AU81" i="2" s="1"/>
  <c r="BD81" i="2" s="1"/>
  <c r="BH81" i="2" s="1"/>
  <c r="BQ81" i="2" s="1"/>
  <c r="I79" i="2"/>
  <c r="O79" i="2" s="1"/>
  <c r="S79" i="2" s="1"/>
  <c r="Y79" i="2" s="1"/>
  <c r="AC79" i="2" s="1"/>
  <c r="AI79" i="2" s="1"/>
  <c r="AP79" i="2" s="1"/>
  <c r="AV79" i="2" s="1"/>
  <c r="BC79" i="2" s="1"/>
  <c r="BK79" i="2" s="1"/>
  <c r="N79" i="2"/>
  <c r="T79" i="2" s="1"/>
  <c r="X79" i="2" s="1"/>
  <c r="AD79" i="2" s="1"/>
  <c r="AH79" i="2" s="1"/>
  <c r="AQ79" i="2" s="1"/>
  <c r="AU79" i="2" s="1"/>
  <c r="BD79" i="2" s="1"/>
  <c r="BH79" i="2" s="1"/>
  <c r="BL79" i="2" s="1"/>
  <c r="D23" i="16" s="1"/>
  <c r="I78" i="2"/>
  <c r="O78" i="2" s="1"/>
  <c r="S78" i="2" s="1"/>
  <c r="Y78" i="2" s="1"/>
  <c r="AC78" i="2" s="1"/>
  <c r="AI78" i="2" s="1"/>
  <c r="AP78" i="2" s="1"/>
  <c r="AV78" i="2" s="1"/>
  <c r="BC78" i="2" s="1"/>
  <c r="N78" i="2"/>
  <c r="T78" i="2" s="1"/>
  <c r="X78" i="2" s="1"/>
  <c r="AD78" i="2" s="1"/>
  <c r="AH78" i="2" s="1"/>
  <c r="AQ78" i="2" s="1"/>
  <c r="AU78" i="2" s="1"/>
  <c r="BD78" i="2" s="1"/>
  <c r="BH78" i="2" s="1"/>
  <c r="BL78" i="2" s="1"/>
  <c r="D22" i="16" s="1"/>
  <c r="I77" i="2"/>
  <c r="O77" i="2" s="1"/>
  <c r="S77" i="2" s="1"/>
  <c r="Y77" i="2" s="1"/>
  <c r="AC77" i="2" s="1"/>
  <c r="AI77" i="2" s="1"/>
  <c r="AP77" i="2" s="1"/>
  <c r="AV77" i="2" s="1"/>
  <c r="BC77" i="2" s="1"/>
  <c r="BK77" i="2" s="1"/>
  <c r="N77" i="2"/>
  <c r="T77" i="2" s="1"/>
  <c r="X77" i="2" s="1"/>
  <c r="AD77" i="2" s="1"/>
  <c r="AH77" i="2" s="1"/>
  <c r="AQ77" i="2" s="1"/>
  <c r="AU77" i="2" s="1"/>
  <c r="BD77" i="2" s="1"/>
  <c r="BH77" i="2" s="1"/>
  <c r="I76" i="2"/>
  <c r="O76" i="2" s="1"/>
  <c r="S76" i="2" s="1"/>
  <c r="Y76" i="2" s="1"/>
  <c r="AC76" i="2" s="1"/>
  <c r="AI76" i="2" s="1"/>
  <c r="AP76" i="2" s="1"/>
  <c r="AV76" i="2" s="1"/>
  <c r="BC76" i="2" s="1"/>
  <c r="N76" i="2"/>
  <c r="T76" i="2" s="1"/>
  <c r="X76" i="2" s="1"/>
  <c r="AD76" i="2" s="1"/>
  <c r="AH76" i="2" s="1"/>
  <c r="AQ76" i="2" s="1"/>
  <c r="AU76" i="2" s="1"/>
  <c r="BD76" i="2" s="1"/>
  <c r="BH76" i="2" s="1"/>
  <c r="BL76" i="2" s="1"/>
  <c r="D20" i="16" s="1"/>
  <c r="BP62" i="2"/>
  <c r="BP68" i="2" s="1"/>
  <c r="BP74" i="2" s="1"/>
  <c r="BP37" i="2"/>
  <c r="I42" i="2"/>
  <c r="O42" i="2" s="1"/>
  <c r="I43" i="2"/>
  <c r="O43" i="2" s="1"/>
  <c r="S43" i="2" s="1"/>
  <c r="Y43" i="2" s="1"/>
  <c r="AC43" i="2" s="1"/>
  <c r="AI43" i="2" s="1"/>
  <c r="AP43" i="2" s="1"/>
  <c r="AV43" i="2" s="1"/>
  <c r="BC43" i="2" s="1"/>
  <c r="Y44" i="2"/>
  <c r="AC44" i="2"/>
  <c r="AI44" i="2" s="1"/>
  <c r="AP44" i="2" s="1"/>
  <c r="AV44" i="2" s="1"/>
  <c r="BC44" i="2"/>
  <c r="BQ44" i="2" s="1"/>
  <c r="Y45" i="2"/>
  <c r="AC45" i="2"/>
  <c r="AI45" i="2"/>
  <c r="AP45" i="2"/>
  <c r="AV45" i="2" s="1"/>
  <c r="BC45" i="2" s="1"/>
  <c r="I46" i="2"/>
  <c r="O46" i="2"/>
  <c r="S46" i="2" s="1"/>
  <c r="Y46" i="2" s="1"/>
  <c r="AC46" i="2" s="1"/>
  <c r="AI46" i="2" s="1"/>
  <c r="AP46" i="2" s="1"/>
  <c r="AV46" i="2" s="1"/>
  <c r="BC46" i="2" s="1"/>
  <c r="I47" i="2"/>
  <c r="O47" i="2" s="1"/>
  <c r="S47" i="2" s="1"/>
  <c r="Y47" i="2" s="1"/>
  <c r="AC47" i="2" s="1"/>
  <c r="AI47" i="2" s="1"/>
  <c r="AP47" i="2" s="1"/>
  <c r="AV47" i="2" s="1"/>
  <c r="BC47" i="2" s="1"/>
  <c r="I48" i="2"/>
  <c r="O48" i="2" s="1"/>
  <c r="S48" i="2" s="1"/>
  <c r="Y48" i="2"/>
  <c r="AC48" i="2" s="1"/>
  <c r="AI48" i="2" s="1"/>
  <c r="AP48" i="2" s="1"/>
  <c r="AV48" i="2" s="1"/>
  <c r="BC48" i="2" s="1"/>
  <c r="I49" i="2"/>
  <c r="O49" i="2"/>
  <c r="S49" i="2"/>
  <c r="Y49" i="2" s="1"/>
  <c r="AC49" i="2" s="1"/>
  <c r="AI49" i="2" s="1"/>
  <c r="AP49" i="2" s="1"/>
  <c r="AV49" i="2" s="1"/>
  <c r="BC49" i="2" s="1"/>
  <c r="I50" i="2"/>
  <c r="O50" i="2"/>
  <c r="S50" i="2" s="1"/>
  <c r="Y50" i="2" s="1"/>
  <c r="AC50" i="2" s="1"/>
  <c r="AI50" i="2" s="1"/>
  <c r="AP50" i="2" s="1"/>
  <c r="AV50" i="2" s="1"/>
  <c r="BC50" i="2" s="1"/>
  <c r="I51" i="2"/>
  <c r="O51" i="2" s="1"/>
  <c r="S51" i="2" s="1"/>
  <c r="Y51" i="2" s="1"/>
  <c r="AC51" i="2" s="1"/>
  <c r="AI51" i="2" s="1"/>
  <c r="AP51" i="2" s="1"/>
  <c r="AV51" i="2" s="1"/>
  <c r="BC51" i="2" s="1"/>
  <c r="BK51" i="2" s="1"/>
  <c r="C13" i="16" s="1"/>
  <c r="I52" i="2"/>
  <c r="O52" i="2" s="1"/>
  <c r="S52" i="2" s="1"/>
  <c r="Y52" i="2" s="1"/>
  <c r="AC52" i="2" s="1"/>
  <c r="AI52" i="2" s="1"/>
  <c r="AP52" i="2" s="1"/>
  <c r="AV52" i="2" s="1"/>
  <c r="BC52" i="2" s="1"/>
  <c r="BQ52" i="2" s="1"/>
  <c r="I53" i="2"/>
  <c r="O53" i="2" s="1"/>
  <c r="S53" i="2"/>
  <c r="Y53" i="2" s="1"/>
  <c r="AC53" i="2" s="1"/>
  <c r="AI53" i="2" s="1"/>
  <c r="AP53" i="2" s="1"/>
  <c r="AV53" i="2" s="1"/>
  <c r="BC53" i="2" s="1"/>
  <c r="BK53" i="2" s="1"/>
  <c r="C15" i="16" s="1"/>
  <c r="I54" i="2"/>
  <c r="O54" i="2"/>
  <c r="S54" i="2" s="1"/>
  <c r="Y54" i="2" s="1"/>
  <c r="AC54" i="2" s="1"/>
  <c r="AI54" i="2"/>
  <c r="AP54" i="2" s="1"/>
  <c r="AV54" i="2" s="1"/>
  <c r="BC54" i="2" s="1"/>
  <c r="BK54" i="2" s="1"/>
  <c r="C16" i="16" s="1"/>
  <c r="I55" i="2"/>
  <c r="O55" i="2" s="1"/>
  <c r="S55" i="2" s="1"/>
  <c r="Y55" i="2" s="1"/>
  <c r="AC55" i="2" s="1"/>
  <c r="AI55" i="2" s="1"/>
  <c r="AP55" i="2" s="1"/>
  <c r="AV55" i="2" s="1"/>
  <c r="BC55" i="2" s="1"/>
  <c r="BK55" i="2" s="1"/>
  <c r="C17" i="16" s="1"/>
  <c r="S56" i="2"/>
  <c r="Y56" i="2" s="1"/>
  <c r="AC56" i="2" s="1"/>
  <c r="AI56" i="2" s="1"/>
  <c r="AP56" i="2" s="1"/>
  <c r="AV56" i="2" s="1"/>
  <c r="BC56" i="2" s="1"/>
  <c r="BK56" i="2" s="1"/>
  <c r="C25" i="16" s="1"/>
  <c r="I57" i="2"/>
  <c r="O57" i="2" s="1"/>
  <c r="S57" i="2" s="1"/>
  <c r="Y57" i="2" s="1"/>
  <c r="AC57" i="2" s="1"/>
  <c r="AI57" i="2" s="1"/>
  <c r="AP57" i="2" s="1"/>
  <c r="AV57" i="2" s="1"/>
  <c r="BC57" i="2" s="1"/>
  <c r="BK57" i="2" s="1"/>
  <c r="C27" i="16" s="1"/>
  <c r="I58" i="2"/>
  <c r="O58" i="2" s="1"/>
  <c r="S58" i="2" s="1"/>
  <c r="Y58" i="2" s="1"/>
  <c r="AC58" i="2" s="1"/>
  <c r="AI58" i="2" s="1"/>
  <c r="AP58" i="2" s="1"/>
  <c r="AV58" i="2" s="1"/>
  <c r="BC58" i="2" s="1"/>
  <c r="I59" i="2"/>
  <c r="O59" i="2" s="1"/>
  <c r="S59" i="2" s="1"/>
  <c r="Y59" i="2" s="1"/>
  <c r="AC59" i="2" s="1"/>
  <c r="AI59" i="2" s="1"/>
  <c r="AP59" i="2" s="1"/>
  <c r="AV59" i="2" s="1"/>
  <c r="BC59" i="2" s="1"/>
  <c r="BK59" i="2" s="1"/>
  <c r="C32" i="16" s="1"/>
  <c r="I60" i="2"/>
  <c r="O60" i="2"/>
  <c r="S60" i="2" s="1"/>
  <c r="Y60" i="2" s="1"/>
  <c r="AC60" i="2" s="1"/>
  <c r="AI60" i="2" s="1"/>
  <c r="AP60" i="2" s="1"/>
  <c r="AV60" i="2" s="1"/>
  <c r="BC60" i="2" s="1"/>
  <c r="I25" i="2"/>
  <c r="O25" i="2" s="1"/>
  <c r="S25" i="2" s="1"/>
  <c r="Y25" i="2" s="1"/>
  <c r="AC25" i="2" s="1"/>
  <c r="AI25" i="2" s="1"/>
  <c r="AP25" i="2" s="1"/>
  <c r="AV25" i="2" s="1"/>
  <c r="BC25" i="2" s="1"/>
  <c r="BK25" i="2" s="1"/>
  <c r="C19" i="16" s="1"/>
  <c r="I26" i="2"/>
  <c r="O26" i="2" s="1"/>
  <c r="S26" i="2" s="1"/>
  <c r="Y26" i="2" s="1"/>
  <c r="AC26" i="2" s="1"/>
  <c r="AI26" i="2" s="1"/>
  <c r="AP26" i="2" s="1"/>
  <c r="AV26" i="2" s="1"/>
  <c r="BC26" i="2" s="1"/>
  <c r="BK26" i="2" s="1"/>
  <c r="I27" i="2"/>
  <c r="O27" i="2" s="1"/>
  <c r="S27" i="2" s="1"/>
  <c r="Y27" i="2" s="1"/>
  <c r="AC27" i="2" s="1"/>
  <c r="AI27" i="2" s="1"/>
  <c r="AP27" i="2" s="1"/>
  <c r="AV27" i="2" s="1"/>
  <c r="BC27" i="2" s="1"/>
  <c r="I28" i="2"/>
  <c r="O28" i="2"/>
  <c r="S28" i="2" s="1"/>
  <c r="Y28" i="2" s="1"/>
  <c r="AC28" i="2" s="1"/>
  <c r="AI28" i="2" s="1"/>
  <c r="AP28" i="2" s="1"/>
  <c r="AV28" i="2" s="1"/>
  <c r="BC28" i="2" s="1"/>
  <c r="I29" i="2"/>
  <c r="O29" i="2" s="1"/>
  <c r="S29" i="2" s="1"/>
  <c r="Y29" i="2" s="1"/>
  <c r="AC29" i="2" s="1"/>
  <c r="AI29" i="2" s="1"/>
  <c r="AP29" i="2" s="1"/>
  <c r="AV29" i="2" s="1"/>
  <c r="BC29" i="2" s="1"/>
  <c r="BK29" i="2" s="1"/>
  <c r="I30" i="2"/>
  <c r="O30" i="2" s="1"/>
  <c r="S30" i="2" s="1"/>
  <c r="Y30" i="2" s="1"/>
  <c r="AC30" i="2" s="1"/>
  <c r="AI30" i="2" s="1"/>
  <c r="AP30" i="2" s="1"/>
  <c r="AV30" i="2" s="1"/>
  <c r="BC30" i="2" s="1"/>
  <c r="I31" i="2"/>
  <c r="O31" i="2" s="1"/>
  <c r="S31" i="2" s="1"/>
  <c r="Y31" i="2" s="1"/>
  <c r="AC31" i="2" s="1"/>
  <c r="AI31" i="2" s="1"/>
  <c r="AP31" i="2" s="1"/>
  <c r="AV31" i="2" s="1"/>
  <c r="BC31" i="2" s="1"/>
  <c r="I32" i="2"/>
  <c r="O32" i="2"/>
  <c r="S32" i="2" s="1"/>
  <c r="Y32" i="2" s="1"/>
  <c r="AC32" i="2" s="1"/>
  <c r="AI32" i="2" s="1"/>
  <c r="AP32" i="2" s="1"/>
  <c r="AV32" i="2" s="1"/>
  <c r="BC32" i="2" s="1"/>
  <c r="BK32" i="2" s="1"/>
  <c r="I33" i="2"/>
  <c r="O33" i="2" s="1"/>
  <c r="S33" i="2" s="1"/>
  <c r="Y33" i="2" s="1"/>
  <c r="AC33" i="2" s="1"/>
  <c r="AI33" i="2" s="1"/>
  <c r="AP33" i="2" s="1"/>
  <c r="AV33" i="2" s="1"/>
  <c r="BC33" i="2" s="1"/>
  <c r="BK33" i="2" s="1"/>
  <c r="I35" i="2"/>
  <c r="O35" i="2" s="1"/>
  <c r="S35" i="2" s="1"/>
  <c r="Y35" i="2" s="1"/>
  <c r="AC35" i="2" s="1"/>
  <c r="AI35" i="2" s="1"/>
  <c r="AP35" i="2" s="1"/>
  <c r="AV35" i="2" s="1"/>
  <c r="BC35" i="2" s="1"/>
  <c r="I64" i="2"/>
  <c r="O64" i="2"/>
  <c r="S64" i="2" s="1"/>
  <c r="Y64" i="2" s="1"/>
  <c r="AC64" i="2" s="1"/>
  <c r="AI64" i="2" s="1"/>
  <c r="AP64" i="2" s="1"/>
  <c r="AV64" i="2" s="1"/>
  <c r="BC64" i="2" s="1"/>
  <c r="BK64" i="2" s="1"/>
  <c r="C24" i="16" s="1"/>
  <c r="I65" i="2"/>
  <c r="O65" i="2" s="1"/>
  <c r="S65" i="2" s="1"/>
  <c r="Y65" i="2" s="1"/>
  <c r="AC65" i="2" s="1"/>
  <c r="AI65" i="2" s="1"/>
  <c r="AP65" i="2" s="1"/>
  <c r="AV65" i="2" s="1"/>
  <c r="BC65" i="2" s="1"/>
  <c r="I66" i="2"/>
  <c r="O66" i="2" s="1"/>
  <c r="S66" i="2" s="1"/>
  <c r="Y66" i="2" s="1"/>
  <c r="AC66" i="2" s="1"/>
  <c r="AI66" i="2" s="1"/>
  <c r="AP66" i="2" s="1"/>
  <c r="AV66" i="2" s="1"/>
  <c r="BC66" i="2" s="1"/>
  <c r="S71" i="2"/>
  <c r="Y71" i="2" s="1"/>
  <c r="AC71" i="2" s="1"/>
  <c r="AI71" i="2" s="1"/>
  <c r="AP71" i="2" s="1"/>
  <c r="AV71" i="2" s="1"/>
  <c r="BC71" i="2" s="1"/>
  <c r="N42" i="2"/>
  <c r="T42" i="2" s="1"/>
  <c r="X42" i="2" s="1"/>
  <c r="AD42" i="2" s="1"/>
  <c r="AH42" i="2" s="1"/>
  <c r="AQ42" i="2" s="1"/>
  <c r="AU42" i="2" s="1"/>
  <c r="BD42" i="2" s="1"/>
  <c r="BH42" i="2" s="1"/>
  <c r="BL42" i="2" s="1"/>
  <c r="D4" i="16" s="1"/>
  <c r="N43" i="2"/>
  <c r="T43" i="2" s="1"/>
  <c r="X43" i="2" s="1"/>
  <c r="AD43" i="2" s="1"/>
  <c r="AH43" i="2" s="1"/>
  <c r="AQ43" i="2" s="1"/>
  <c r="AU43" i="2" s="1"/>
  <c r="BD43" i="2" s="1"/>
  <c r="BH43" i="2" s="1"/>
  <c r="BL43" i="2" s="1"/>
  <c r="D5" i="16" s="1"/>
  <c r="AD44" i="2"/>
  <c r="AH44" i="2"/>
  <c r="AQ44" i="2" s="1"/>
  <c r="AU44" i="2" s="1"/>
  <c r="BD44" i="2" s="1"/>
  <c r="BH44" i="2" s="1"/>
  <c r="AD45" i="2"/>
  <c r="AH45" i="2" s="1"/>
  <c r="AQ45" i="2" s="1"/>
  <c r="AU45" i="2" s="1"/>
  <c r="BD45" i="2" s="1"/>
  <c r="BH45" i="2" s="1"/>
  <c r="N46" i="2"/>
  <c r="T46" i="2"/>
  <c r="X46" i="2" s="1"/>
  <c r="AD46" i="2" s="1"/>
  <c r="AH46" i="2" s="1"/>
  <c r="AQ46" i="2" s="1"/>
  <c r="AU46" i="2" s="1"/>
  <c r="BD46" i="2" s="1"/>
  <c r="BH46" i="2" s="1"/>
  <c r="N47" i="2"/>
  <c r="T47" i="2" s="1"/>
  <c r="X47" i="2" s="1"/>
  <c r="AD47" i="2" s="1"/>
  <c r="AH47" i="2" s="1"/>
  <c r="AQ47" i="2" s="1"/>
  <c r="AU47" i="2" s="1"/>
  <c r="BD47" i="2" s="1"/>
  <c r="BH47" i="2" s="1"/>
  <c r="N48" i="2"/>
  <c r="T48" i="2" s="1"/>
  <c r="X48" i="2" s="1"/>
  <c r="AD48" i="2" s="1"/>
  <c r="AH48" i="2" s="1"/>
  <c r="AQ48" i="2" s="1"/>
  <c r="AU48" i="2" s="1"/>
  <c r="BD48" i="2" s="1"/>
  <c r="BH48" i="2" s="1"/>
  <c r="N49" i="2"/>
  <c r="T49" i="2" s="1"/>
  <c r="X49" i="2" s="1"/>
  <c r="AD49" i="2" s="1"/>
  <c r="AH49" i="2" s="1"/>
  <c r="AQ49" i="2" s="1"/>
  <c r="AU49" i="2" s="1"/>
  <c r="BD49" i="2" s="1"/>
  <c r="BH49" i="2" s="1"/>
  <c r="N50" i="2"/>
  <c r="T50" i="2"/>
  <c r="X50" i="2" s="1"/>
  <c r="AD50" i="2" s="1"/>
  <c r="AH50" i="2" s="1"/>
  <c r="AQ50" i="2" s="1"/>
  <c r="AU50" i="2" s="1"/>
  <c r="BD50" i="2" s="1"/>
  <c r="BH50" i="2" s="1"/>
  <c r="N51" i="2"/>
  <c r="T51" i="2" s="1"/>
  <c r="X51" i="2" s="1"/>
  <c r="AD51" i="2" s="1"/>
  <c r="AH51" i="2"/>
  <c r="AQ51" i="2" s="1"/>
  <c r="AU51" i="2" s="1"/>
  <c r="BD51" i="2" s="1"/>
  <c r="BH51" i="2" s="1"/>
  <c r="N52" i="2"/>
  <c r="T52" i="2" s="1"/>
  <c r="X52" i="2" s="1"/>
  <c r="AD52" i="2"/>
  <c r="AH52" i="2" s="1"/>
  <c r="AQ52" i="2" s="1"/>
  <c r="AU52" i="2" s="1"/>
  <c r="BD52" i="2"/>
  <c r="BH52" i="2" s="1"/>
  <c r="N53" i="2"/>
  <c r="T53" i="2" s="1"/>
  <c r="X53" i="2" s="1"/>
  <c r="N54" i="2"/>
  <c r="T54" i="2"/>
  <c r="X54" i="2" s="1"/>
  <c r="AD54" i="2" s="1"/>
  <c r="AH54" i="2" s="1"/>
  <c r="AQ54" i="2" s="1"/>
  <c r="AU54" i="2" s="1"/>
  <c r="BD54" i="2" s="1"/>
  <c r="BH54" i="2" s="1"/>
  <c r="N55" i="2"/>
  <c r="T55" i="2" s="1"/>
  <c r="X55" i="2" s="1"/>
  <c r="AD55" i="2" s="1"/>
  <c r="AH55" i="2"/>
  <c r="AQ55" i="2" s="1"/>
  <c r="AU55" i="2" s="1"/>
  <c r="BD55" i="2" s="1"/>
  <c r="BH55" i="2" s="1"/>
  <c r="N56" i="2"/>
  <c r="T56" i="2" s="1"/>
  <c r="X56" i="2" s="1"/>
  <c r="AD56" i="2"/>
  <c r="AH56" i="2" s="1"/>
  <c r="AQ56" i="2" s="1"/>
  <c r="AU56" i="2" s="1"/>
  <c r="BD56" i="2"/>
  <c r="BH56" i="2" s="1"/>
  <c r="N57" i="2"/>
  <c r="T57" i="2" s="1"/>
  <c r="X57" i="2"/>
  <c r="AD57" i="2"/>
  <c r="AH57" i="2" s="1"/>
  <c r="AQ57" i="2" s="1"/>
  <c r="AU57" i="2" s="1"/>
  <c r="BD57" i="2" s="1"/>
  <c r="BH57" i="2" s="1"/>
  <c r="N58" i="2"/>
  <c r="T58" i="2"/>
  <c r="X58" i="2" s="1"/>
  <c r="AD58" i="2" s="1"/>
  <c r="AH58" i="2" s="1"/>
  <c r="AQ58" i="2" s="1"/>
  <c r="AU58" i="2" s="1"/>
  <c r="BD58" i="2" s="1"/>
  <c r="BH58" i="2" s="1"/>
  <c r="N59" i="2"/>
  <c r="T59" i="2" s="1"/>
  <c r="N60" i="2"/>
  <c r="T60" i="2" s="1"/>
  <c r="X60" i="2" s="1"/>
  <c r="AD60" i="2" s="1"/>
  <c r="AH60" i="2" s="1"/>
  <c r="AQ60" i="2" s="1"/>
  <c r="AU60" i="2" s="1"/>
  <c r="BD60" i="2" s="1"/>
  <c r="BH60" i="2" s="1"/>
  <c r="N24" i="2"/>
  <c r="T24" i="2"/>
  <c r="X24" i="2"/>
  <c r="AD24" i="2" s="1"/>
  <c r="AH24" i="2" s="1"/>
  <c r="AQ24" i="2" s="1"/>
  <c r="AU24" i="2" s="1"/>
  <c r="BD24" i="2" s="1"/>
  <c r="BH24" i="2" s="1"/>
  <c r="BL24" i="2" s="1"/>
  <c r="D18" i="16" s="1"/>
  <c r="N25" i="2"/>
  <c r="T25" i="2"/>
  <c r="X25" i="2" s="1"/>
  <c r="AD25" i="2" s="1"/>
  <c r="AH25" i="2" s="1"/>
  <c r="N26" i="2"/>
  <c r="T26" i="2" s="1"/>
  <c r="X26" i="2" s="1"/>
  <c r="AD26" i="2" s="1"/>
  <c r="N27" i="2"/>
  <c r="T27" i="2" s="1"/>
  <c r="X27" i="2" s="1"/>
  <c r="N28" i="2"/>
  <c r="T28" i="2"/>
  <c r="X28" i="2"/>
  <c r="AD28" i="2" s="1"/>
  <c r="AH28" i="2" s="1"/>
  <c r="AQ28" i="2" s="1"/>
  <c r="AU28" i="2" s="1"/>
  <c r="BD28" i="2" s="1"/>
  <c r="BH28" i="2" s="1"/>
  <c r="N29" i="2"/>
  <c r="T29" i="2"/>
  <c r="X29" i="2" s="1"/>
  <c r="AD29" i="2" s="1"/>
  <c r="AH29" i="2" s="1"/>
  <c r="AQ29" i="2" s="1"/>
  <c r="AU29" i="2" s="1"/>
  <c r="BD29" i="2" s="1"/>
  <c r="BH29" i="2" s="1"/>
  <c r="N30" i="2"/>
  <c r="T30" i="2"/>
  <c r="X30" i="2"/>
  <c r="AD30" i="2" s="1"/>
  <c r="N31" i="2"/>
  <c r="T31" i="2"/>
  <c r="X31" i="2" s="1"/>
  <c r="AD31" i="2" s="1"/>
  <c r="AH31" i="2" s="1"/>
  <c r="AQ31" i="2" s="1"/>
  <c r="AU31" i="2" s="1"/>
  <c r="BD31" i="2" s="1"/>
  <c r="BH31" i="2" s="1"/>
  <c r="N32" i="2"/>
  <c r="T32" i="2" s="1"/>
  <c r="N33" i="2"/>
  <c r="T33" i="2" s="1"/>
  <c r="X33" i="2" s="1"/>
  <c r="AD33" i="2" s="1"/>
  <c r="AH33" i="2" s="1"/>
  <c r="AQ33" i="2" s="1"/>
  <c r="AU33" i="2" s="1"/>
  <c r="BD33" i="2" s="1"/>
  <c r="BH33" i="2" s="1"/>
  <c r="N35" i="2"/>
  <c r="T35" i="2"/>
  <c r="X35" i="2"/>
  <c r="AD35" i="2" s="1"/>
  <c r="AH35" i="2" s="1"/>
  <c r="AQ35" i="2" s="1"/>
  <c r="AU35" i="2" s="1"/>
  <c r="N64" i="2"/>
  <c r="T64" i="2" s="1"/>
  <c r="X64" i="2" s="1"/>
  <c r="AD64" i="2" s="1"/>
  <c r="AH64" i="2" s="1"/>
  <c r="AQ64" i="2" s="1"/>
  <c r="AU64" i="2" s="1"/>
  <c r="BD64" i="2" s="1"/>
  <c r="BH64" i="2" s="1"/>
  <c r="N65" i="2"/>
  <c r="T65" i="2"/>
  <c r="X65" i="2" s="1"/>
  <c r="AD65" i="2" s="1"/>
  <c r="AH65" i="2" s="1"/>
  <c r="AQ65" i="2" s="1"/>
  <c r="AU65" i="2" s="1"/>
  <c r="BD65" i="2" s="1"/>
  <c r="BH65" i="2" s="1"/>
  <c r="N66" i="2"/>
  <c r="T66" i="2" s="1"/>
  <c r="X66" i="2" s="1"/>
  <c r="AD66" i="2" s="1"/>
  <c r="AH66" i="2" s="1"/>
  <c r="AQ66" i="2" s="1"/>
  <c r="AU66" i="2" s="1"/>
  <c r="BD66" i="2" s="1"/>
  <c r="BH66" i="2" s="1"/>
  <c r="X71" i="2"/>
  <c r="AD71" i="2" s="1"/>
  <c r="AH71" i="2" s="1"/>
  <c r="AQ71" i="2" s="1"/>
  <c r="AU71" i="2" s="1"/>
  <c r="BD71" i="2" s="1"/>
  <c r="BH71" i="2" s="1"/>
  <c r="BQ49" i="2"/>
  <c r="BQ46" i="2"/>
  <c r="J8" i="16" s="1"/>
  <c r="BQ45" i="2"/>
  <c r="BP39" i="2"/>
  <c r="BC39" i="2"/>
  <c r="BP38" i="2"/>
  <c r="BQ34" i="2"/>
  <c r="BL82" i="2"/>
  <c r="BK82" i="2"/>
  <c r="BL81" i="2"/>
  <c r="BK81" i="2"/>
  <c r="BL77" i="2"/>
  <c r="BK71" i="2"/>
  <c r="BK66" i="2"/>
  <c r="BK65" i="2"/>
  <c r="BK60" i="2"/>
  <c r="BK58" i="2"/>
  <c r="BL52" i="2"/>
  <c r="BL50" i="2"/>
  <c r="BL49" i="2"/>
  <c r="BK49" i="2"/>
  <c r="C11" i="16" s="1"/>
  <c r="BL48" i="2"/>
  <c r="BL47" i="2"/>
  <c r="BL46" i="2"/>
  <c r="BK46" i="2"/>
  <c r="BL45" i="2"/>
  <c r="BK45" i="2"/>
  <c r="BL44" i="2"/>
  <c r="BK44" i="2"/>
  <c r="BK27" i="2"/>
  <c r="BK28" i="2"/>
  <c r="BK30" i="2"/>
  <c r="BK31" i="2"/>
  <c r="BK34" i="2"/>
  <c r="BL34" i="2"/>
  <c r="C39" i="2"/>
  <c r="I5" i="16"/>
  <c r="C6" i="16"/>
  <c r="D6" i="16"/>
  <c r="F6" i="16"/>
  <c r="G6" i="16"/>
  <c r="I6" i="16"/>
  <c r="C7" i="16"/>
  <c r="D7" i="16"/>
  <c r="F7" i="16"/>
  <c r="G7" i="16"/>
  <c r="I7" i="16"/>
  <c r="J7" i="16"/>
  <c r="C8" i="16"/>
  <c r="D8" i="16"/>
  <c r="F8" i="16"/>
  <c r="G8" i="16"/>
  <c r="I8" i="16"/>
  <c r="D9" i="16"/>
  <c r="F9" i="16"/>
  <c r="G9" i="16"/>
  <c r="I9" i="16"/>
  <c r="D10" i="16"/>
  <c r="F10" i="16"/>
  <c r="G10" i="16"/>
  <c r="I10" i="16"/>
  <c r="D11" i="16"/>
  <c r="F11" i="16"/>
  <c r="G11" i="16"/>
  <c r="I11" i="16"/>
  <c r="J11" i="16"/>
  <c r="D12" i="16"/>
  <c r="F12" i="16"/>
  <c r="G12" i="16"/>
  <c r="I12" i="16"/>
  <c r="F13" i="16"/>
  <c r="G13" i="16"/>
  <c r="I13" i="16"/>
  <c r="D14" i="16"/>
  <c r="F14" i="16"/>
  <c r="G14" i="16"/>
  <c r="I14" i="16"/>
  <c r="F15" i="16"/>
  <c r="G15" i="16"/>
  <c r="I15" i="16"/>
  <c r="F16" i="16"/>
  <c r="G16" i="16"/>
  <c r="I16" i="16"/>
  <c r="F17" i="16"/>
  <c r="G17" i="16"/>
  <c r="I17" i="16"/>
  <c r="I18" i="16"/>
  <c r="F19" i="16"/>
  <c r="G19" i="16"/>
  <c r="I19" i="16"/>
  <c r="F20" i="16"/>
  <c r="G20" i="16"/>
  <c r="I20" i="16"/>
  <c r="D21" i="16"/>
  <c r="F21" i="16"/>
  <c r="G21" i="16"/>
  <c r="I21" i="16"/>
  <c r="F22" i="16"/>
  <c r="G22" i="16"/>
  <c r="I22" i="16"/>
  <c r="F23" i="16"/>
  <c r="G23" i="16"/>
  <c r="I23" i="16"/>
  <c r="F24" i="16"/>
  <c r="G24" i="16"/>
  <c r="I24" i="16"/>
  <c r="F25" i="16"/>
  <c r="G25" i="16"/>
  <c r="I25" i="16"/>
  <c r="C26" i="16"/>
  <c r="F26" i="16"/>
  <c r="G26" i="16"/>
  <c r="I26" i="16"/>
  <c r="F27" i="16"/>
  <c r="G27" i="16"/>
  <c r="I27" i="16"/>
  <c r="C28" i="16"/>
  <c r="F28" i="16"/>
  <c r="G28" i="16"/>
  <c r="I28" i="16"/>
  <c r="C29" i="16"/>
  <c r="D29" i="16"/>
  <c r="F29" i="16"/>
  <c r="G29" i="16"/>
  <c r="I29" i="16"/>
  <c r="J29" i="16"/>
  <c r="C30" i="16"/>
  <c r="D30" i="16"/>
  <c r="F30" i="16"/>
  <c r="G30" i="16"/>
  <c r="I30" i="16"/>
  <c r="I31" i="16"/>
  <c r="F32" i="16"/>
  <c r="G32" i="16"/>
  <c r="I32" i="16"/>
  <c r="C33" i="16"/>
  <c r="I33" i="16"/>
  <c r="C34" i="16"/>
  <c r="I34" i="16"/>
  <c r="I35" i="16"/>
  <c r="I36" i="16"/>
  <c r="C37" i="16"/>
  <c r="F37" i="16"/>
  <c r="G37" i="16"/>
  <c r="I37" i="16"/>
  <c r="C38" i="16"/>
  <c r="F38" i="16"/>
  <c r="G38" i="16"/>
  <c r="I38" i="16"/>
  <c r="C39" i="16"/>
  <c r="D39" i="16"/>
  <c r="F39" i="16"/>
  <c r="G39" i="16"/>
  <c r="I39" i="16"/>
  <c r="J39" i="16"/>
  <c r="C40" i="16"/>
  <c r="E40" i="16" s="1"/>
  <c r="D40" i="16"/>
  <c r="F40" i="16"/>
  <c r="G40" i="16"/>
  <c r="I40" i="16"/>
  <c r="J40" i="16"/>
  <c r="C41" i="16"/>
  <c r="D41" i="16"/>
  <c r="F41" i="16"/>
  <c r="G41" i="16"/>
  <c r="I41" i="16"/>
  <c r="J41" i="16"/>
  <c r="C42" i="16"/>
  <c r="E42" i="16" s="1"/>
  <c r="D42" i="16"/>
  <c r="F42" i="16"/>
  <c r="G42" i="16"/>
  <c r="I42" i="16"/>
  <c r="J42" i="16"/>
  <c r="F43" i="16"/>
  <c r="G43" i="16"/>
  <c r="I43" i="16"/>
  <c r="C44" i="16"/>
  <c r="F44" i="16"/>
  <c r="G44" i="16"/>
  <c r="I44" i="16"/>
  <c r="I4" i="16"/>
  <c r="BG62" i="2"/>
  <c r="BG37" i="2"/>
  <c r="BG68" i="2" s="1"/>
  <c r="BG74" i="2" s="1"/>
  <c r="BF62" i="2"/>
  <c r="BF37" i="2"/>
  <c r="BE62" i="2"/>
  <c r="BE37" i="2"/>
  <c r="BE68" i="2" s="1"/>
  <c r="BE74" i="2" s="1"/>
  <c r="BB62" i="2"/>
  <c r="BB68" i="2" s="1"/>
  <c r="BB74" i="2" s="1"/>
  <c r="BB37" i="2"/>
  <c r="BA62" i="2"/>
  <c r="BA68" i="2" s="1"/>
  <c r="BA74" i="2" s="1"/>
  <c r="BA37" i="2"/>
  <c r="AZ62" i="2"/>
  <c r="AZ68" i="2" s="1"/>
  <c r="AZ74" i="2" s="1"/>
  <c r="AZ37" i="2"/>
  <c r="AY62" i="2"/>
  <c r="AY68" i="2" s="1"/>
  <c r="AY74" i="2" s="1"/>
  <c r="AY37" i="2"/>
  <c r="AX62" i="2"/>
  <c r="AX68" i="2" s="1"/>
  <c r="AX74" i="2" s="1"/>
  <c r="AX37" i="2"/>
  <c r="AW62" i="2"/>
  <c r="AW68" i="2" s="1"/>
  <c r="AW74" i="2" s="1"/>
  <c r="AW37" i="2"/>
  <c r="BG39" i="2"/>
  <c r="BF39" i="2"/>
  <c r="BE39" i="2"/>
  <c r="BB39" i="2"/>
  <c r="BA39" i="2"/>
  <c r="BA38" i="2" s="1"/>
  <c r="AZ39" i="2"/>
  <c r="AY39" i="2"/>
  <c r="AY38" i="2" s="1"/>
  <c r="AX39" i="2"/>
  <c r="AW39" i="2"/>
  <c r="AW38" i="2" s="1"/>
  <c r="AV39" i="2"/>
  <c r="BG38" i="2"/>
  <c r="BB38" i="2"/>
  <c r="AZ38" i="2"/>
  <c r="AX38" i="2"/>
  <c r="G76" i="14"/>
  <c r="G77" i="14"/>
  <c r="G78" i="14"/>
  <c r="G79" i="14"/>
  <c r="G80" i="14"/>
  <c r="G81" i="14"/>
  <c r="G82" i="14"/>
  <c r="G83" i="14"/>
  <c r="G84" i="14"/>
  <c r="G85" i="14"/>
  <c r="G86" i="14"/>
  <c r="G87" i="14"/>
  <c r="G88" i="14"/>
  <c r="G89" i="14"/>
  <c r="G90" i="14"/>
  <c r="G91" i="14"/>
  <c r="G92" i="14"/>
  <c r="G93" i="14"/>
  <c r="G94" i="14"/>
  <c r="G75" i="14"/>
  <c r="N41" i="12"/>
  <c r="D76" i="14"/>
  <c r="D78" i="14"/>
  <c r="D81" i="14"/>
  <c r="D84" i="14"/>
  <c r="D75" i="14"/>
  <c r="D94" i="14"/>
  <c r="D93" i="14"/>
  <c r="D92" i="14"/>
  <c r="D91" i="14"/>
  <c r="D90" i="14"/>
  <c r="D89" i="14"/>
  <c r="D88" i="14"/>
  <c r="D87" i="14"/>
  <c r="D86" i="14"/>
  <c r="D85" i="14"/>
  <c r="D83" i="14"/>
  <c r="D82" i="14"/>
  <c r="F37" i="2"/>
  <c r="G37" i="2"/>
  <c r="H37" i="2"/>
  <c r="K37" i="2"/>
  <c r="L37" i="2"/>
  <c r="M37" i="2"/>
  <c r="P37" i="2"/>
  <c r="Q37" i="2"/>
  <c r="R37" i="2"/>
  <c r="U37" i="2"/>
  <c r="V37" i="2"/>
  <c r="W37" i="2"/>
  <c r="Z37" i="2"/>
  <c r="AA37" i="2"/>
  <c r="AB37" i="2"/>
  <c r="AE37" i="2"/>
  <c r="AF37" i="2"/>
  <c r="AG37" i="2"/>
  <c r="AJ37" i="2"/>
  <c r="AJ39" i="2"/>
  <c r="AJ38" i="2" s="1"/>
  <c r="AK37" i="2"/>
  <c r="AK38" i="2" s="1"/>
  <c r="AL37" i="2"/>
  <c r="AM37" i="2"/>
  <c r="AN37" i="2"/>
  <c r="AO37" i="2"/>
  <c r="AO68" i="2" s="1"/>
  <c r="AO74" i="2" s="1"/>
  <c r="AR37" i="2"/>
  <c r="AS37" i="2"/>
  <c r="AS38" i="2" s="1"/>
  <c r="AT37" i="2"/>
  <c r="AT62" i="2"/>
  <c r="BI37" i="2"/>
  <c r="BI38" i="2" s="1"/>
  <c r="BJ37" i="2"/>
  <c r="BJ38" i="2" s="1"/>
  <c r="AS62" i="2"/>
  <c r="AR62" i="2"/>
  <c r="AR68" i="2" s="1"/>
  <c r="AR74" i="2" s="1"/>
  <c r="AO62" i="2"/>
  <c r="AN62" i="2"/>
  <c r="AM62" i="2"/>
  <c r="AL62" i="2"/>
  <c r="AL68" i="2" s="1"/>
  <c r="AL74" i="2" s="1"/>
  <c r="AK62" i="2"/>
  <c r="AJ62" i="2"/>
  <c r="AJ68" i="2" s="1"/>
  <c r="AJ74" i="2" s="1"/>
  <c r="AT39" i="2"/>
  <c r="AS39" i="2"/>
  <c r="AR39" i="2"/>
  <c r="AR38" i="2" s="1"/>
  <c r="AO39" i="2"/>
  <c r="AN39" i="2"/>
  <c r="AN38" i="2" s="1"/>
  <c r="AM39" i="2"/>
  <c r="AM38" i="2"/>
  <c r="AL39" i="2"/>
  <c r="AK39" i="2"/>
  <c r="AS68" i="2"/>
  <c r="AS74" i="2" s="1"/>
  <c r="AN68" i="2"/>
  <c r="AN74" i="2" s="1"/>
  <c r="AL38" i="2"/>
  <c r="AP82" i="2"/>
  <c r="AK68" i="2"/>
  <c r="AK74" i="2" s="1"/>
  <c r="AM68" i="2"/>
  <c r="AM74" i="2" s="1"/>
  <c r="G48" i="14"/>
  <c r="G49" i="14"/>
  <c r="G50" i="14"/>
  <c r="G51" i="14"/>
  <c r="G52" i="14"/>
  <c r="G53" i="14"/>
  <c r="G20" i="14"/>
  <c r="G47" i="14"/>
  <c r="D48" i="14"/>
  <c r="D53" i="14"/>
  <c r="D47" i="14"/>
  <c r="D20" i="14"/>
  <c r="C66" i="14"/>
  <c r="G66" i="14"/>
  <c r="C65" i="14"/>
  <c r="D65" i="14"/>
  <c r="C64" i="14"/>
  <c r="G64" i="14"/>
  <c r="C63" i="14"/>
  <c r="D63" i="14"/>
  <c r="G62" i="14"/>
  <c r="C61" i="14"/>
  <c r="D61" i="14"/>
  <c r="C60" i="14"/>
  <c r="G60" i="14"/>
  <c r="C59" i="14"/>
  <c r="D59" i="14"/>
  <c r="G58" i="14"/>
  <c r="C57" i="14"/>
  <c r="D57" i="14"/>
  <c r="G56" i="14"/>
  <c r="C55" i="14"/>
  <c r="D55" i="14"/>
  <c r="C54" i="14"/>
  <c r="G54" i="14"/>
  <c r="BO82" i="2"/>
  <c r="D54" i="13" s="1"/>
  <c r="E34" i="11"/>
  <c r="D64" i="14"/>
  <c r="D62" i="14"/>
  <c r="D60" i="14"/>
  <c r="D58" i="14"/>
  <c r="D56" i="14"/>
  <c r="D54" i="14"/>
  <c r="G65" i="14"/>
  <c r="G63" i="14"/>
  <c r="G61" i="14"/>
  <c r="G59" i="14"/>
  <c r="G57" i="14"/>
  <c r="G55" i="14"/>
  <c r="D66" i="14"/>
  <c r="D23" i="14"/>
  <c r="C26" i="14"/>
  <c r="C27" i="14"/>
  <c r="C28" i="14"/>
  <c r="C29" i="14"/>
  <c r="C30" i="14"/>
  <c r="C31" i="14"/>
  <c r="C32" i="14"/>
  <c r="C34" i="14"/>
  <c r="C35" i="14"/>
  <c r="C36" i="14"/>
  <c r="C37" i="14"/>
  <c r="C38" i="14"/>
  <c r="C39" i="14"/>
  <c r="B21" i="14"/>
  <c r="B104" i="14" s="1"/>
  <c r="E104" i="14" s="1"/>
  <c r="F104" i="14" s="1"/>
  <c r="B22" i="14"/>
  <c r="B105" i="14" s="1"/>
  <c r="E105" i="14" s="1"/>
  <c r="F105" i="14" s="1"/>
  <c r="B23" i="14"/>
  <c r="B50" i="14" s="1"/>
  <c r="B24" i="14"/>
  <c r="B25" i="14"/>
  <c r="B26" i="14"/>
  <c r="B27" i="14"/>
  <c r="B28" i="14"/>
  <c r="B29" i="14"/>
  <c r="B30" i="14"/>
  <c r="B31" i="14"/>
  <c r="B32" i="14"/>
  <c r="B33" i="14"/>
  <c r="B34" i="14"/>
  <c r="B35" i="14"/>
  <c r="B36" i="14"/>
  <c r="B37" i="14"/>
  <c r="B38" i="14"/>
  <c r="B39" i="14"/>
  <c r="D46" i="13"/>
  <c r="B63" i="14"/>
  <c r="B91" i="14"/>
  <c r="B59" i="14"/>
  <c r="B87" i="14"/>
  <c r="B55" i="14"/>
  <c r="B83" i="14"/>
  <c r="B51" i="14"/>
  <c r="B79" i="14"/>
  <c r="B66" i="14"/>
  <c r="B94" i="14"/>
  <c r="B62" i="14"/>
  <c r="B90" i="14"/>
  <c r="B58" i="14"/>
  <c r="B86" i="14"/>
  <c r="B54" i="14"/>
  <c r="B82" i="14"/>
  <c r="B65" i="14"/>
  <c r="B93" i="14"/>
  <c r="B61" i="14"/>
  <c r="B89" i="14"/>
  <c r="B57" i="14"/>
  <c r="B85" i="14"/>
  <c r="B53" i="14"/>
  <c r="B81" i="14"/>
  <c r="B64" i="14"/>
  <c r="B92" i="14"/>
  <c r="B60" i="14"/>
  <c r="B88" i="14"/>
  <c r="B56" i="14"/>
  <c r="B84" i="14"/>
  <c r="B52" i="14"/>
  <c r="B48" i="14"/>
  <c r="B76" i="14"/>
  <c r="B47" i="14"/>
  <c r="G38" i="14"/>
  <c r="D38" i="14"/>
  <c r="G36" i="14"/>
  <c r="D36" i="14"/>
  <c r="G34" i="14"/>
  <c r="D34" i="14"/>
  <c r="G32" i="14"/>
  <c r="D32" i="14"/>
  <c r="G30" i="14"/>
  <c r="D30" i="14"/>
  <c r="G28" i="14"/>
  <c r="D28" i="14"/>
  <c r="G26" i="14"/>
  <c r="D26" i="14"/>
  <c r="G24" i="14"/>
  <c r="G22" i="14"/>
  <c r="D39" i="14"/>
  <c r="G39" i="14"/>
  <c r="D37" i="14"/>
  <c r="G37" i="14"/>
  <c r="D35" i="14"/>
  <c r="G35" i="14"/>
  <c r="D33" i="14"/>
  <c r="G33" i="14"/>
  <c r="D31" i="14"/>
  <c r="G31" i="14"/>
  <c r="D29" i="14"/>
  <c r="G29" i="14"/>
  <c r="D27" i="14"/>
  <c r="G27" i="14"/>
  <c r="G23" i="14"/>
  <c r="D21" i="14"/>
  <c r="G21" i="14"/>
  <c r="G41" i="12"/>
  <c r="I41" i="12"/>
  <c r="F42" i="13" s="1"/>
  <c r="J41" i="12"/>
  <c r="K41" i="12"/>
  <c r="L41" i="12"/>
  <c r="M41" i="12"/>
  <c r="P41" i="12"/>
  <c r="E41" i="12"/>
  <c r="F6" i="13" s="1"/>
  <c r="H22" i="12"/>
  <c r="H24" i="12"/>
  <c r="D50" i="14"/>
  <c r="H27" i="12"/>
  <c r="H28" i="12"/>
  <c r="H29" i="12"/>
  <c r="H30" i="12"/>
  <c r="H31" i="12"/>
  <c r="H32" i="12"/>
  <c r="H33" i="12"/>
  <c r="H34" i="12"/>
  <c r="H35" i="12"/>
  <c r="H36" i="12"/>
  <c r="H37" i="12"/>
  <c r="H38" i="12"/>
  <c r="H39" i="12"/>
  <c r="H40" i="12"/>
  <c r="H21" i="12"/>
  <c r="U54" i="13"/>
  <c r="U53" i="13"/>
  <c r="Y54" i="13"/>
  <c r="Y53" i="13"/>
  <c r="M54" i="13"/>
  <c r="M53" i="13"/>
  <c r="V53" i="13"/>
  <c r="V54" i="13"/>
  <c r="W53" i="13"/>
  <c r="W54" i="13"/>
  <c r="Q54" i="13"/>
  <c r="Q53" i="13"/>
  <c r="N53" i="13"/>
  <c r="N54" i="13"/>
  <c r="R53" i="13"/>
  <c r="R54" i="13"/>
  <c r="O53" i="13"/>
  <c r="O54" i="13"/>
  <c r="S53" i="13"/>
  <c r="S54" i="13"/>
  <c r="L54" i="13"/>
  <c r="L53" i="13"/>
  <c r="P54" i="13"/>
  <c r="P53" i="13"/>
  <c r="T54" i="13"/>
  <c r="T53" i="13"/>
  <c r="X54" i="13"/>
  <c r="X53" i="13"/>
  <c r="BJ62" i="2"/>
  <c r="BI62" i="2"/>
  <c r="AG62" i="2"/>
  <c r="AF62" i="2"/>
  <c r="AA62" i="2"/>
  <c r="Z62" i="2"/>
  <c r="Z68" i="2" s="1"/>
  <c r="Z74" i="2" s="1"/>
  <c r="W62" i="2"/>
  <c r="V62" i="2"/>
  <c r="P62" i="2"/>
  <c r="P68" i="2" s="1"/>
  <c r="P74" i="2" s="1"/>
  <c r="F62" i="2"/>
  <c r="F68" i="2" s="1"/>
  <c r="F74" i="2" s="1"/>
  <c r="AA68" i="2"/>
  <c r="AA74" i="2" s="1"/>
  <c r="AP81" i="2"/>
  <c r="AE62" i="2"/>
  <c r="AE68" i="2" s="1"/>
  <c r="AE74" i="2" s="1"/>
  <c r="AB62" i="2"/>
  <c r="AG39" i="2"/>
  <c r="AF39" i="2"/>
  <c r="AE39" i="2"/>
  <c r="AB39" i="2"/>
  <c r="AA39" i="2"/>
  <c r="AA38" i="2" s="1"/>
  <c r="Z39" i="2"/>
  <c r="BI39" i="2"/>
  <c r="BJ39" i="2"/>
  <c r="G62" i="2"/>
  <c r="G68" i="2"/>
  <c r="G74" i="2"/>
  <c r="H62" i="2"/>
  <c r="H68" i="2" s="1"/>
  <c r="H74" i="2" s="1"/>
  <c r="K62" i="2"/>
  <c r="K68" i="2" s="1"/>
  <c r="K74" i="2" s="1"/>
  <c r="L62" i="2"/>
  <c r="L68" i="2"/>
  <c r="L74" i="2"/>
  <c r="M62" i="2"/>
  <c r="M68" i="2"/>
  <c r="M74" i="2"/>
  <c r="Q62" i="2"/>
  <c r="Q68" i="2" s="1"/>
  <c r="Q74" i="2" s="1"/>
  <c r="R62" i="2"/>
  <c r="R68" i="2"/>
  <c r="R74" i="2" s="1"/>
  <c r="U62" i="2"/>
  <c r="F39" i="2"/>
  <c r="F38" i="2"/>
  <c r="G39" i="2"/>
  <c r="H39" i="2"/>
  <c r="H38" i="2" s="1"/>
  <c r="K39" i="2"/>
  <c r="K38" i="2"/>
  <c r="L39" i="2"/>
  <c r="L38" i="2" s="1"/>
  <c r="M39" i="2"/>
  <c r="M38" i="2"/>
  <c r="P39" i="2"/>
  <c r="P38" i="2" s="1"/>
  <c r="Q39" i="2"/>
  <c r="Q38" i="2"/>
  <c r="R39" i="2"/>
  <c r="R38" i="2" s="1"/>
  <c r="U39" i="2"/>
  <c r="V39" i="2"/>
  <c r="V38" i="2"/>
  <c r="W39" i="2"/>
  <c r="AE38" i="2"/>
  <c r="AB38" i="2"/>
  <c r="Z38" i="2"/>
  <c r="AF38" i="2"/>
  <c r="G38" i="2"/>
  <c r="E65" i="11"/>
  <c r="BO46" i="2"/>
  <c r="D23" i="13" s="1"/>
  <c r="BO81" i="2"/>
  <c r="D53" i="13"/>
  <c r="BO45" i="2"/>
  <c r="D22" i="13" s="1"/>
  <c r="AB68" i="2"/>
  <c r="AB74" i="2"/>
  <c r="E41" i="11"/>
  <c r="BO44" i="2"/>
  <c r="D21" i="13" s="1"/>
  <c r="E42" i="11"/>
  <c r="BO49" i="2"/>
  <c r="D26" i="13" s="1"/>
  <c r="W68" i="2"/>
  <c r="W74" i="2" s="1"/>
  <c r="AF68" i="2"/>
  <c r="AF74" i="2" s="1"/>
  <c r="V68" i="2"/>
  <c r="V74" i="2"/>
  <c r="AG68" i="2"/>
  <c r="AG74" i="2" s="1"/>
  <c r="J62" i="2"/>
  <c r="E39" i="2"/>
  <c r="E37" i="2"/>
  <c r="I39" i="2"/>
  <c r="J39" i="2"/>
  <c r="E62" i="2"/>
  <c r="E68" i="2" s="1"/>
  <c r="E74" i="2" s="1"/>
  <c r="E38" i="2"/>
  <c r="I37" i="2"/>
  <c r="I38" i="2" s="1"/>
  <c r="J37" i="2"/>
  <c r="J68" i="2" s="1"/>
  <c r="J74" i="2" s="1"/>
  <c r="O39" i="2"/>
  <c r="N39" i="2"/>
  <c r="N38" i="2" s="1"/>
  <c r="N37" i="2"/>
  <c r="O37" i="2"/>
  <c r="O38" i="2" s="1"/>
  <c r="E45" i="11"/>
  <c r="S39" i="2"/>
  <c r="T39" i="2"/>
  <c r="S37" i="2"/>
  <c r="J38" i="2"/>
  <c r="Y39" i="2"/>
  <c r="X39" i="2"/>
  <c r="S38" i="2"/>
  <c r="Y37" i="2"/>
  <c r="AI39" i="2"/>
  <c r="AC39" i="2"/>
  <c r="Y38" i="2"/>
  <c r="AC37" i="2"/>
  <c r="AC38" i="2" s="1"/>
  <c r="AP39" i="2"/>
  <c r="AI37" i="2"/>
  <c r="AT68" i="2" l="1"/>
  <c r="AT74" i="2" s="1"/>
  <c r="BK78" i="2"/>
  <c r="BK76" i="2"/>
  <c r="C31" i="16"/>
  <c r="BN26" i="2"/>
  <c r="G31" i="16" s="1"/>
  <c r="BM26" i="2"/>
  <c r="F31" i="16" s="1"/>
  <c r="I62" i="2"/>
  <c r="BM30" i="2"/>
  <c r="BN30" i="2"/>
  <c r="F12" i="13"/>
  <c r="F33" i="13"/>
  <c r="F25" i="13"/>
  <c r="F41" i="13"/>
  <c r="BK39" i="2"/>
  <c r="J53" i="13"/>
  <c r="BM28" i="2"/>
  <c r="F34" i="16" s="1"/>
  <c r="BN28" i="2"/>
  <c r="G34" i="16" s="1"/>
  <c r="G22" i="13"/>
  <c r="F40" i="13"/>
  <c r="F43" i="13" s="1"/>
  <c r="F22" i="13"/>
  <c r="K53" i="13"/>
  <c r="Y55" i="13"/>
  <c r="F37" i="13"/>
  <c r="N62" i="2"/>
  <c r="N68" i="2" s="1"/>
  <c r="N74" i="2" s="1"/>
  <c r="K22" i="13"/>
  <c r="F28" i="13"/>
  <c r="F29" i="13"/>
  <c r="AT38" i="2"/>
  <c r="C35" i="16"/>
  <c r="BN29" i="2"/>
  <c r="G35" i="16" s="1"/>
  <c r="BM29" i="2"/>
  <c r="F35" i="16" s="1"/>
  <c r="J40" i="13"/>
  <c r="F16" i="13"/>
  <c r="F35" i="13"/>
  <c r="F27" i="13"/>
  <c r="BN27" i="2"/>
  <c r="G33" i="16" s="1"/>
  <c r="BM27" i="2"/>
  <c r="F33" i="16" s="1"/>
  <c r="F30" i="13"/>
  <c r="I53" i="13"/>
  <c r="F21" i="13"/>
  <c r="AP37" i="2"/>
  <c r="H53" i="13"/>
  <c r="AV37" i="2"/>
  <c r="C36" i="16"/>
  <c r="I42" i="13"/>
  <c r="F34" i="13"/>
  <c r="M55" i="13"/>
  <c r="W55" i="13"/>
  <c r="BI68" i="2"/>
  <c r="BI74" i="2" s="1"/>
  <c r="I54" i="13"/>
  <c r="H54" i="13"/>
  <c r="K54" i="13"/>
  <c r="D55" i="13"/>
  <c r="J54" i="13"/>
  <c r="F54" i="13"/>
  <c r="BQ82" i="2"/>
  <c r="P43" i="13"/>
  <c r="P55" i="13"/>
  <c r="T55" i="13"/>
  <c r="O55" i="13"/>
  <c r="V55" i="13"/>
  <c r="X55" i="13"/>
  <c r="S55" i="13"/>
  <c r="N55" i="13"/>
  <c r="L55" i="13"/>
  <c r="E83" i="14" s="1"/>
  <c r="F83" i="14" s="1"/>
  <c r="Q55" i="13"/>
  <c r="G25" i="14"/>
  <c r="R55" i="13"/>
  <c r="B77" i="14"/>
  <c r="E66" i="14"/>
  <c r="F66" i="14" s="1"/>
  <c r="E58" i="14"/>
  <c r="F58" i="14" s="1"/>
  <c r="B108" i="14"/>
  <c r="E108" i="14" s="1"/>
  <c r="F108" i="14" s="1"/>
  <c r="E122" i="14"/>
  <c r="F122" i="14" s="1"/>
  <c r="E114" i="14"/>
  <c r="F114" i="14" s="1"/>
  <c r="K12" i="13"/>
  <c r="K37" i="13"/>
  <c r="K29" i="13"/>
  <c r="K21" i="13"/>
  <c r="J6" i="13"/>
  <c r="J31" i="13"/>
  <c r="J23" i="13"/>
  <c r="I16" i="13"/>
  <c r="I33" i="13"/>
  <c r="I25" i="13"/>
  <c r="I41" i="13"/>
  <c r="H35" i="13"/>
  <c r="H27" i="13"/>
  <c r="G12" i="13"/>
  <c r="G37" i="13"/>
  <c r="G29" i="13"/>
  <c r="G21" i="13"/>
  <c r="B49" i="14"/>
  <c r="E65" i="14"/>
  <c r="F65" i="14" s="1"/>
  <c r="E57" i="14"/>
  <c r="F57" i="14" s="1"/>
  <c r="B107" i="14"/>
  <c r="E107" i="14" s="1"/>
  <c r="F107" i="14" s="1"/>
  <c r="E121" i="14"/>
  <c r="F121" i="14" s="1"/>
  <c r="E113" i="14"/>
  <c r="F113" i="14" s="1"/>
  <c r="M43" i="13"/>
  <c r="K28" i="13"/>
  <c r="J30" i="13"/>
  <c r="J22" i="13"/>
  <c r="I40" i="13"/>
  <c r="H34" i="13"/>
  <c r="H26" i="13"/>
  <c r="H42" i="13"/>
  <c r="G28" i="13"/>
  <c r="B80" i="14"/>
  <c r="B78" i="14"/>
  <c r="E64" i="14"/>
  <c r="F64" i="14" s="1"/>
  <c r="E56" i="14"/>
  <c r="F56" i="14" s="1"/>
  <c r="B106" i="14"/>
  <c r="E106" i="14" s="1"/>
  <c r="F106" i="14" s="1"/>
  <c r="E120" i="14"/>
  <c r="F120" i="14" s="1"/>
  <c r="E112" i="14"/>
  <c r="F112" i="14" s="1"/>
  <c r="K35" i="13"/>
  <c r="K27" i="13"/>
  <c r="J12" i="13"/>
  <c r="J37" i="13"/>
  <c r="J29" i="13"/>
  <c r="J21" i="13"/>
  <c r="I6" i="13"/>
  <c r="I31" i="13"/>
  <c r="I23" i="13"/>
  <c r="H16" i="13"/>
  <c r="H33" i="13"/>
  <c r="H25" i="13"/>
  <c r="H41" i="13"/>
  <c r="G35" i="13"/>
  <c r="G27" i="13"/>
  <c r="E63" i="14"/>
  <c r="F63" i="14" s="1"/>
  <c r="E55" i="14"/>
  <c r="F55" i="14" s="1"/>
  <c r="E119" i="14"/>
  <c r="F119" i="14" s="1"/>
  <c r="E111" i="14"/>
  <c r="F111" i="14" s="1"/>
  <c r="L43" i="13"/>
  <c r="K34" i="13"/>
  <c r="K26" i="13"/>
  <c r="K42" i="13"/>
  <c r="J28" i="13"/>
  <c r="I30" i="13"/>
  <c r="I22" i="13"/>
  <c r="H40" i="13"/>
  <c r="G34" i="13"/>
  <c r="G26" i="13"/>
  <c r="G42" i="13"/>
  <c r="E62" i="14"/>
  <c r="F62" i="14" s="1"/>
  <c r="E54" i="14"/>
  <c r="F54" i="14" s="1"/>
  <c r="B75" i="14"/>
  <c r="G54" i="13"/>
  <c r="E118" i="14"/>
  <c r="F118" i="14" s="1"/>
  <c r="E110" i="14"/>
  <c r="F110" i="14" s="1"/>
  <c r="K16" i="13"/>
  <c r="K33" i="13"/>
  <c r="K25" i="13"/>
  <c r="K41" i="13"/>
  <c r="J35" i="13"/>
  <c r="J27" i="13"/>
  <c r="I12" i="13"/>
  <c r="I37" i="13"/>
  <c r="I29" i="13"/>
  <c r="I21" i="13"/>
  <c r="H6" i="13"/>
  <c r="H31" i="13"/>
  <c r="H23" i="13"/>
  <c r="G16" i="13"/>
  <c r="G33" i="13"/>
  <c r="G25" i="13"/>
  <c r="G41" i="13"/>
  <c r="E61" i="14"/>
  <c r="F61" i="14" s="1"/>
  <c r="E53" i="14"/>
  <c r="F53" i="14" s="1"/>
  <c r="E86" i="14"/>
  <c r="F86" i="14" s="1"/>
  <c r="G53" i="13"/>
  <c r="E117" i="14"/>
  <c r="F117" i="14" s="1"/>
  <c r="E109" i="14"/>
  <c r="F109" i="14" s="1"/>
  <c r="K40" i="13"/>
  <c r="J34" i="13"/>
  <c r="J26" i="13"/>
  <c r="J42" i="13"/>
  <c r="I28" i="13"/>
  <c r="H30" i="13"/>
  <c r="H22" i="13"/>
  <c r="G40" i="13"/>
  <c r="E60" i="14"/>
  <c r="F60" i="14" s="1"/>
  <c r="E93" i="14"/>
  <c r="F93" i="14" s="1"/>
  <c r="E85" i="14"/>
  <c r="F85" i="14" s="1"/>
  <c r="E116" i="14"/>
  <c r="F116" i="14" s="1"/>
  <c r="K6" i="13"/>
  <c r="K31" i="13"/>
  <c r="K23" i="13"/>
  <c r="J16" i="13"/>
  <c r="J33" i="13"/>
  <c r="J25" i="13"/>
  <c r="J41" i="13"/>
  <c r="I35" i="13"/>
  <c r="I27" i="13"/>
  <c r="H12" i="13"/>
  <c r="H37" i="13"/>
  <c r="H29" i="13"/>
  <c r="H21" i="13"/>
  <c r="G6" i="13"/>
  <c r="G31" i="13"/>
  <c r="G23" i="13"/>
  <c r="U55" i="13"/>
  <c r="E59" i="14"/>
  <c r="F59" i="14" s="1"/>
  <c r="E84" i="14"/>
  <c r="F84" i="14" s="1"/>
  <c r="E115" i="14"/>
  <c r="F115" i="14" s="1"/>
  <c r="K30" i="13"/>
  <c r="I34" i="13"/>
  <c r="I26" i="13"/>
  <c r="H28" i="13"/>
  <c r="G30" i="13"/>
  <c r="BJ68" i="2"/>
  <c r="BJ74" i="2" s="1"/>
  <c r="S43" i="13"/>
  <c r="J6" i="16"/>
  <c r="E40" i="11"/>
  <c r="BK52" i="2"/>
  <c r="AP38" i="2"/>
  <c r="J14" i="16"/>
  <c r="E48" i="11"/>
  <c r="U43" i="13"/>
  <c r="O43" i="13"/>
  <c r="Y43" i="13"/>
  <c r="Q43" i="13"/>
  <c r="X43" i="13"/>
  <c r="T43" i="13"/>
  <c r="W43" i="13"/>
  <c r="V43" i="13"/>
  <c r="R43" i="13"/>
  <c r="N43" i="13"/>
  <c r="BK48" i="2"/>
  <c r="BQ48" i="2"/>
  <c r="BQ50" i="2"/>
  <c r="BK50" i="2"/>
  <c r="U38" i="13"/>
  <c r="M38" i="13"/>
  <c r="C20" i="16"/>
  <c r="E20" i="16" s="1"/>
  <c r="H20" i="16" s="1"/>
  <c r="BO76" i="2"/>
  <c r="C22" i="16"/>
  <c r="E22" i="16" s="1"/>
  <c r="H22" i="16" s="1"/>
  <c r="BO78" i="2"/>
  <c r="C21" i="16"/>
  <c r="E21" i="16" s="1"/>
  <c r="H21" i="16" s="1"/>
  <c r="BO77" i="2"/>
  <c r="C23" i="16"/>
  <c r="E23" i="16" s="1"/>
  <c r="H23" i="16" s="1"/>
  <c r="BO79" i="2"/>
  <c r="BQ76" i="2"/>
  <c r="W38" i="13"/>
  <c r="O38" i="13"/>
  <c r="Y38" i="13"/>
  <c r="Q38" i="13"/>
  <c r="S38" i="13"/>
  <c r="BQ47" i="2"/>
  <c r="BK47" i="2"/>
  <c r="N38" i="13"/>
  <c r="P38" i="13"/>
  <c r="R38" i="13"/>
  <c r="T38" i="13"/>
  <c r="V38" i="13"/>
  <c r="X38" i="13"/>
  <c r="L38" i="13"/>
  <c r="BQ43" i="2"/>
  <c r="BK43" i="2"/>
  <c r="S42" i="2"/>
  <c r="O62" i="2"/>
  <c r="O68" i="2" s="1"/>
  <c r="O74" i="2" s="1"/>
  <c r="BQ65" i="2"/>
  <c r="BL65" i="2"/>
  <c r="BL33" i="2"/>
  <c r="BO33" i="2" s="1"/>
  <c r="D14" i="13" s="1"/>
  <c r="H14" i="13" s="1"/>
  <c r="BQ33" i="2"/>
  <c r="E33" i="11" s="1"/>
  <c r="AH30" i="2"/>
  <c r="AD39" i="2"/>
  <c r="AD38" i="2" s="1"/>
  <c r="AD27" i="2"/>
  <c r="AH27" i="2" s="1"/>
  <c r="AQ27" i="2" s="1"/>
  <c r="AU27" i="2" s="1"/>
  <c r="BD27" i="2" s="1"/>
  <c r="BH27" i="2" s="1"/>
  <c r="X59" i="2"/>
  <c r="AD59" i="2" s="1"/>
  <c r="AH59" i="2" s="1"/>
  <c r="AQ59" i="2" s="1"/>
  <c r="AU59" i="2" s="1"/>
  <c r="BD59" i="2" s="1"/>
  <c r="BH59" i="2" s="1"/>
  <c r="T62" i="2"/>
  <c r="T68" i="2" s="1"/>
  <c r="T74" i="2" s="1"/>
  <c r="X32" i="2"/>
  <c r="AD32" i="2" s="1"/>
  <c r="AH32" i="2" s="1"/>
  <c r="AQ32" i="2" s="1"/>
  <c r="AU32" i="2" s="1"/>
  <c r="BD32" i="2" s="1"/>
  <c r="BH32" i="2" s="1"/>
  <c r="T37" i="2"/>
  <c r="T38" i="2" s="1"/>
  <c r="BQ28" i="2"/>
  <c r="BL28" i="2"/>
  <c r="AH26" i="2"/>
  <c r="AQ26" i="2" s="1"/>
  <c r="AU26" i="2" s="1"/>
  <c r="BD26" i="2" s="1"/>
  <c r="BH26" i="2" s="1"/>
  <c r="AD37" i="2"/>
  <c r="BQ58" i="2"/>
  <c r="BL58" i="2"/>
  <c r="BQ55" i="2"/>
  <c r="BL55" i="2"/>
  <c r="AD53" i="2"/>
  <c r="BQ51" i="2"/>
  <c r="BL51" i="2"/>
  <c r="BL71" i="2"/>
  <c r="BQ71" i="2"/>
  <c r="BQ64" i="2"/>
  <c r="BL64" i="2"/>
  <c r="BL31" i="2"/>
  <c r="BO31" i="2" s="1"/>
  <c r="D12" i="13" s="1"/>
  <c r="BQ31" i="2"/>
  <c r="E31" i="11" s="1"/>
  <c r="AQ25" i="2"/>
  <c r="AH37" i="2"/>
  <c r="BL56" i="2"/>
  <c r="BQ56" i="2"/>
  <c r="BQ66" i="2"/>
  <c r="BL66" i="2"/>
  <c r="BL29" i="2"/>
  <c r="BQ29" i="2"/>
  <c r="BL60" i="2"/>
  <c r="BQ60" i="2"/>
  <c r="BQ57" i="2"/>
  <c r="BL57" i="2"/>
  <c r="BQ54" i="2"/>
  <c r="BL54" i="2"/>
  <c r="AG38" i="2"/>
  <c r="U68" i="2"/>
  <c r="U74" i="2" s="1"/>
  <c r="BF38" i="2"/>
  <c r="AO38" i="2"/>
  <c r="BE38" i="2"/>
  <c r="W38" i="2"/>
  <c r="BO34" i="2"/>
  <c r="D15" i="13" s="1"/>
  <c r="F15" i="13" s="1"/>
  <c r="AV38" i="2"/>
  <c r="BQ77" i="2"/>
  <c r="BQ78" i="2"/>
  <c r="BK24" i="2"/>
  <c r="BQ24" i="2"/>
  <c r="BQ79" i="2"/>
  <c r="Y17" i="13"/>
  <c r="X17" i="13"/>
  <c r="W17" i="13"/>
  <c r="V17" i="13"/>
  <c r="U17" i="13"/>
  <c r="T17" i="13"/>
  <c r="S17" i="13"/>
  <c r="R17" i="13"/>
  <c r="Q17" i="13"/>
  <c r="P17" i="13"/>
  <c r="O17" i="13"/>
  <c r="N17" i="13"/>
  <c r="M17" i="13"/>
  <c r="L17" i="13"/>
  <c r="H42" i="16"/>
  <c r="H40" i="16"/>
  <c r="E30" i="16"/>
  <c r="H30" i="16" s="1"/>
  <c r="BF68" i="2"/>
  <c r="BF74" i="2" s="1"/>
  <c r="E41" i="16"/>
  <c r="H41" i="16" s="1"/>
  <c r="BC37" i="2"/>
  <c r="BK35" i="2"/>
  <c r="BD35" i="2"/>
  <c r="AI38" i="2"/>
  <c r="U38" i="2"/>
  <c r="E8" i="16"/>
  <c r="H8" i="16" s="1"/>
  <c r="E6" i="16"/>
  <c r="H6" i="16" s="1"/>
  <c r="E39" i="16"/>
  <c r="H39" i="16" s="1"/>
  <c r="E29" i="16"/>
  <c r="H29" i="16" s="1"/>
  <c r="E11" i="16"/>
  <c r="H11" i="16" s="1"/>
  <c r="E7" i="16"/>
  <c r="H7" i="16" s="1"/>
  <c r="I68" i="2"/>
  <c r="I74" i="2" s="1"/>
  <c r="M49" i="13" l="1"/>
  <c r="M51" i="13" s="1"/>
  <c r="I14" i="13"/>
  <c r="K14" i="13"/>
  <c r="F55" i="13"/>
  <c r="I43" i="13"/>
  <c r="I55" i="13"/>
  <c r="E78" i="14" s="1"/>
  <c r="K43" i="13"/>
  <c r="G36" i="16"/>
  <c r="BN39" i="2"/>
  <c r="K55" i="13"/>
  <c r="E80" i="14" s="1"/>
  <c r="E92" i="14"/>
  <c r="F92" i="14" s="1"/>
  <c r="E88" i="14"/>
  <c r="F88" i="14" s="1"/>
  <c r="E82" i="14"/>
  <c r="F82" i="14" s="1"/>
  <c r="H55" i="13"/>
  <c r="E77" i="14" s="1"/>
  <c r="E94" i="14"/>
  <c r="F94" i="14" s="1"/>
  <c r="BN24" i="2"/>
  <c r="BM24" i="2"/>
  <c r="BN43" i="2"/>
  <c r="G5" i="16" s="1"/>
  <c r="BM43" i="2"/>
  <c r="F5" i="16" s="1"/>
  <c r="J14" i="13"/>
  <c r="E81" i="14"/>
  <c r="F81" i="14" s="1"/>
  <c r="J55" i="13"/>
  <c r="E79" i="14" s="1"/>
  <c r="F14" i="13"/>
  <c r="F36" i="16"/>
  <c r="BM39" i="2"/>
  <c r="U49" i="13"/>
  <c r="U51" i="13" s="1"/>
  <c r="G14" i="13"/>
  <c r="H15" i="13"/>
  <c r="G15" i="13"/>
  <c r="K15" i="13"/>
  <c r="J15" i="13"/>
  <c r="I15" i="13"/>
  <c r="E87" i="14"/>
  <c r="F87" i="14" s="1"/>
  <c r="E89" i="14"/>
  <c r="F89" i="14" s="1"/>
  <c r="E90" i="14"/>
  <c r="F90" i="14" s="1"/>
  <c r="E75" i="14"/>
  <c r="J30" i="16"/>
  <c r="E66" i="11"/>
  <c r="E91" i="14"/>
  <c r="F91" i="14" s="1"/>
  <c r="G55" i="13"/>
  <c r="E76" i="14" s="1"/>
  <c r="G43" i="13"/>
  <c r="H43" i="13"/>
  <c r="E123" i="14"/>
  <c r="Y49" i="13"/>
  <c r="Y51" i="13" s="1"/>
  <c r="O49" i="13"/>
  <c r="O51" i="13" s="1"/>
  <c r="J43" i="13"/>
  <c r="L49" i="13"/>
  <c r="L51" i="13" s="1"/>
  <c r="BO52" i="2"/>
  <c r="D29" i="13" s="1"/>
  <c r="C14" i="16"/>
  <c r="E14" i="16" s="1"/>
  <c r="H14" i="16" s="1"/>
  <c r="R49" i="13"/>
  <c r="R51" i="13" s="1"/>
  <c r="X49" i="13"/>
  <c r="X51" i="13" s="1"/>
  <c r="S49" i="13"/>
  <c r="S51" i="13" s="1"/>
  <c r="V49" i="13"/>
  <c r="V51" i="13" s="1"/>
  <c r="T49" i="13"/>
  <c r="T51" i="13" s="1"/>
  <c r="P49" i="13"/>
  <c r="P51" i="13" s="1"/>
  <c r="N49" i="13"/>
  <c r="N51" i="13" s="1"/>
  <c r="W49" i="13"/>
  <c r="W51" i="13" s="1"/>
  <c r="Q49" i="13"/>
  <c r="Q51" i="13" s="1"/>
  <c r="BO50" i="2"/>
  <c r="D27" i="13" s="1"/>
  <c r="C12" i="16"/>
  <c r="E12" i="16" s="1"/>
  <c r="H12" i="16" s="1"/>
  <c r="J12" i="16"/>
  <c r="E46" i="11"/>
  <c r="E44" i="11"/>
  <c r="J10" i="16"/>
  <c r="C10" i="16"/>
  <c r="E10" i="16" s="1"/>
  <c r="H10" i="16" s="1"/>
  <c r="BO48" i="2"/>
  <c r="D25" i="13" s="1"/>
  <c r="X62" i="2"/>
  <c r="J20" i="16"/>
  <c r="E61" i="11"/>
  <c r="BO47" i="2"/>
  <c r="D24" i="13" s="1"/>
  <c r="C9" i="16"/>
  <c r="E9" i="16" s="1"/>
  <c r="H9" i="16" s="1"/>
  <c r="E43" i="11"/>
  <c r="J9" i="16"/>
  <c r="Y42" i="2"/>
  <c r="S62" i="2"/>
  <c r="S68" i="2" s="1"/>
  <c r="S74" i="2" s="1"/>
  <c r="BO43" i="2"/>
  <c r="D20" i="13" s="1"/>
  <c r="C5" i="16"/>
  <c r="E5" i="16" s="1"/>
  <c r="J5" i="16"/>
  <c r="E39" i="11"/>
  <c r="J22" i="16"/>
  <c r="E63" i="11"/>
  <c r="D16" i="16"/>
  <c r="E16" i="16" s="1"/>
  <c r="H16" i="16" s="1"/>
  <c r="BO54" i="2"/>
  <c r="D31" i="13" s="1"/>
  <c r="E56" i="11"/>
  <c r="J44" i="16"/>
  <c r="E24" i="11"/>
  <c r="J18" i="16"/>
  <c r="D27" i="16"/>
  <c r="E27" i="16" s="1"/>
  <c r="H27" i="16" s="1"/>
  <c r="BO57" i="2"/>
  <c r="D34" i="13" s="1"/>
  <c r="E29" i="11"/>
  <c r="J35" i="16"/>
  <c r="D24" i="16"/>
  <c r="E24" i="16" s="1"/>
  <c r="H24" i="16" s="1"/>
  <c r="BO64" i="2"/>
  <c r="D40" i="13" s="1"/>
  <c r="BO51" i="2"/>
  <c r="D28" i="13" s="1"/>
  <c r="D13" i="16"/>
  <c r="E13" i="16" s="1"/>
  <c r="H13" i="16" s="1"/>
  <c r="BO55" i="2"/>
  <c r="D32" i="13" s="1"/>
  <c r="D17" i="16"/>
  <c r="E17" i="16" s="1"/>
  <c r="H17" i="16" s="1"/>
  <c r="BL27" i="2"/>
  <c r="BQ27" i="2"/>
  <c r="D38" i="16"/>
  <c r="E38" i="16" s="1"/>
  <c r="H38" i="16" s="1"/>
  <c r="BO66" i="2"/>
  <c r="D42" i="13" s="1"/>
  <c r="BO24" i="2"/>
  <c r="D5" i="13" s="1"/>
  <c r="C18" i="16"/>
  <c r="E18" i="16" s="1"/>
  <c r="J27" i="16"/>
  <c r="E53" i="11"/>
  <c r="D35" i="16"/>
  <c r="E35" i="16" s="1"/>
  <c r="H35" i="16" s="1"/>
  <c r="BO29" i="2"/>
  <c r="D10" i="13" s="1"/>
  <c r="AU25" i="2"/>
  <c r="J24" i="16"/>
  <c r="E57" i="11"/>
  <c r="E47" i="11"/>
  <c r="J13" i="16"/>
  <c r="E51" i="11"/>
  <c r="J17" i="16"/>
  <c r="BQ26" i="2"/>
  <c r="BL26" i="2"/>
  <c r="BQ32" i="2"/>
  <c r="E32" i="11" s="1"/>
  <c r="BL32" i="2"/>
  <c r="BO32" i="2" s="1"/>
  <c r="D13" i="13" s="1"/>
  <c r="X37" i="2"/>
  <c r="X38" i="2" s="1"/>
  <c r="J25" i="16"/>
  <c r="E52" i="11"/>
  <c r="J26" i="16"/>
  <c r="E60" i="11"/>
  <c r="D28" i="16"/>
  <c r="E28" i="16" s="1"/>
  <c r="H28" i="16" s="1"/>
  <c r="BO58" i="2"/>
  <c r="D35" i="13" s="1"/>
  <c r="D34" i="16"/>
  <c r="E34" i="16" s="1"/>
  <c r="H34" i="16" s="1"/>
  <c r="BO28" i="2"/>
  <c r="D9" i="13" s="1"/>
  <c r="BO65" i="2"/>
  <c r="D41" i="13" s="1"/>
  <c r="D37" i="16"/>
  <c r="E37" i="16" s="1"/>
  <c r="H37" i="16" s="1"/>
  <c r="E64" i="11"/>
  <c r="J23" i="16"/>
  <c r="E62" i="11"/>
  <c r="J21" i="16"/>
  <c r="J16" i="16"/>
  <c r="E50" i="11"/>
  <c r="BO60" i="2"/>
  <c r="D37" i="13" s="1"/>
  <c r="D44" i="16"/>
  <c r="E44" i="16" s="1"/>
  <c r="H44" i="16" s="1"/>
  <c r="J38" i="16"/>
  <c r="E59" i="11"/>
  <c r="BO56" i="2"/>
  <c r="D33" i="13" s="1"/>
  <c r="D25" i="16"/>
  <c r="E25" i="16" s="1"/>
  <c r="H25" i="16" s="1"/>
  <c r="D26" i="16"/>
  <c r="E26" i="16" s="1"/>
  <c r="H26" i="16" s="1"/>
  <c r="BO71" i="2"/>
  <c r="AH53" i="2"/>
  <c r="AD62" i="2"/>
  <c r="AD68" i="2" s="1"/>
  <c r="AD74" i="2" s="1"/>
  <c r="J28" i="16"/>
  <c r="E54" i="11"/>
  <c r="J34" i="16"/>
  <c r="E28" i="11"/>
  <c r="BQ59" i="2"/>
  <c r="BL59" i="2"/>
  <c r="AH39" i="2"/>
  <c r="AH38" i="2" s="1"/>
  <c r="AQ30" i="2"/>
  <c r="AQ37" i="2" s="1"/>
  <c r="E58" i="11"/>
  <c r="J37" i="16"/>
  <c r="BK37" i="2"/>
  <c r="C43" i="16"/>
  <c r="BC38" i="2"/>
  <c r="BH35" i="2"/>
  <c r="E36" i="14" l="1"/>
  <c r="F36" i="14" s="1"/>
  <c r="F76" i="14"/>
  <c r="F78" i="14"/>
  <c r="F75" i="14"/>
  <c r="F10" i="13"/>
  <c r="G10" i="13"/>
  <c r="J10" i="13"/>
  <c r="I10" i="13"/>
  <c r="H10" i="13"/>
  <c r="K10" i="13"/>
  <c r="J20" i="13"/>
  <c r="G20" i="13"/>
  <c r="F20" i="13"/>
  <c r="I20" i="13"/>
  <c r="H20" i="13"/>
  <c r="K20" i="13"/>
  <c r="F32" i="13"/>
  <c r="G32" i="13"/>
  <c r="I32" i="13"/>
  <c r="K32" i="13"/>
  <c r="J32" i="13"/>
  <c r="H32" i="13"/>
  <c r="H5" i="13"/>
  <c r="K5" i="13"/>
  <c r="F5" i="13"/>
  <c r="I5" i="13"/>
  <c r="G5" i="13"/>
  <c r="J5" i="13"/>
  <c r="F9" i="13"/>
  <c r="G9" i="13"/>
  <c r="K9" i="13"/>
  <c r="J9" i="13"/>
  <c r="H9" i="13"/>
  <c r="I9" i="13"/>
  <c r="I24" i="13"/>
  <c r="J24" i="13"/>
  <c r="F24" i="13"/>
  <c r="G24" i="13"/>
  <c r="K24" i="13"/>
  <c r="H24" i="13"/>
  <c r="F18" i="16"/>
  <c r="BM37" i="2"/>
  <c r="BM38" i="2" s="1"/>
  <c r="H5" i="16"/>
  <c r="BN37" i="2"/>
  <c r="BN38" i="2" s="1"/>
  <c r="G18" i="16"/>
  <c r="E95" i="14"/>
  <c r="F13" i="13"/>
  <c r="K13" i="13"/>
  <c r="H13" i="13"/>
  <c r="J13" i="13"/>
  <c r="G13" i="13"/>
  <c r="I13" i="13"/>
  <c r="E35" i="14"/>
  <c r="F35" i="14" s="1"/>
  <c r="E33" i="14"/>
  <c r="F33" i="14" s="1"/>
  <c r="E34" i="14"/>
  <c r="F34" i="14" s="1"/>
  <c r="E30" i="14"/>
  <c r="F30" i="14" s="1"/>
  <c r="E37" i="14"/>
  <c r="F37" i="14" s="1"/>
  <c r="E32" i="14"/>
  <c r="F32" i="14" s="1"/>
  <c r="E29" i="14"/>
  <c r="F29" i="14" s="1"/>
  <c r="E31" i="14"/>
  <c r="F31" i="14" s="1"/>
  <c r="E28" i="14"/>
  <c r="F28" i="14" s="1"/>
  <c r="E26" i="14"/>
  <c r="F26" i="14" s="1"/>
  <c r="E39" i="14"/>
  <c r="F39" i="14" s="1"/>
  <c r="E38" i="14"/>
  <c r="F38" i="14" s="1"/>
  <c r="E27" i="14"/>
  <c r="F27" i="14" s="1"/>
  <c r="AC42" i="2"/>
  <c r="Y62" i="2"/>
  <c r="Y68" i="2" s="1"/>
  <c r="Y74" i="2" s="1"/>
  <c r="D32" i="16"/>
  <c r="E32" i="16" s="1"/>
  <c r="H32" i="16" s="1"/>
  <c r="BO59" i="2"/>
  <c r="D36" i="13" s="1"/>
  <c r="D33" i="16"/>
  <c r="E33" i="16" s="1"/>
  <c r="H33" i="16" s="1"/>
  <c r="BO27" i="2"/>
  <c r="D8" i="13" s="1"/>
  <c r="P42" i="12"/>
  <c r="P43" i="12" s="1"/>
  <c r="D45" i="13"/>
  <c r="D47" i="13" s="1"/>
  <c r="J32" i="16"/>
  <c r="E55" i="11"/>
  <c r="X68" i="2"/>
  <c r="X74" i="2" s="1"/>
  <c r="D31" i="16"/>
  <c r="E31" i="16" s="1"/>
  <c r="H31" i="16" s="1"/>
  <c r="BO26" i="2"/>
  <c r="D7" i="13" s="1"/>
  <c r="AQ39" i="2"/>
  <c r="AQ38" i="2" s="1"/>
  <c r="AU30" i="2"/>
  <c r="AU37" i="2" s="1"/>
  <c r="J31" i="16"/>
  <c r="E26" i="11"/>
  <c r="BD25" i="2"/>
  <c r="AQ53" i="2"/>
  <c r="AH62" i="2"/>
  <c r="AH68" i="2" s="1"/>
  <c r="AH74" i="2" s="1"/>
  <c r="E27" i="11"/>
  <c r="J33" i="16"/>
  <c r="D43" i="13"/>
  <c r="BK38" i="2"/>
  <c r="BL35" i="2"/>
  <c r="BQ35" i="2"/>
  <c r="H18" i="16" l="1"/>
  <c r="H8" i="13"/>
  <c r="K8" i="13"/>
  <c r="G8" i="13"/>
  <c r="F8" i="13"/>
  <c r="J8" i="13"/>
  <c r="I8" i="13"/>
  <c r="F36" i="13"/>
  <c r="I36" i="13"/>
  <c r="K36" i="13"/>
  <c r="H36" i="13"/>
  <c r="G36" i="13"/>
  <c r="J36" i="13"/>
  <c r="K7" i="13"/>
  <c r="H7" i="13"/>
  <c r="J7" i="13"/>
  <c r="I7" i="13"/>
  <c r="F7" i="13"/>
  <c r="G7" i="13"/>
  <c r="AI42" i="2"/>
  <c r="AC62" i="2"/>
  <c r="AC68" i="2" s="1"/>
  <c r="AC74" i="2" s="1"/>
  <c r="BH25" i="2"/>
  <c r="AU53" i="2"/>
  <c r="AQ62" i="2"/>
  <c r="AQ68" i="2" s="1"/>
  <c r="AQ74" i="2" s="1"/>
  <c r="BD30" i="2"/>
  <c r="AU39" i="2"/>
  <c r="AU38" i="2" s="1"/>
  <c r="D43" i="16"/>
  <c r="E43" i="16" s="1"/>
  <c r="H43" i="16" s="1"/>
  <c r="BO35" i="2"/>
  <c r="J43" i="16"/>
  <c r="E35" i="11"/>
  <c r="AP42" i="2" l="1"/>
  <c r="AI62" i="2"/>
  <c r="AI68" i="2" s="1"/>
  <c r="AI74" i="2" s="1"/>
  <c r="BQ25" i="2"/>
  <c r="BL25" i="2"/>
  <c r="BD53" i="2"/>
  <c r="AU62" i="2"/>
  <c r="AU68" i="2" s="1"/>
  <c r="AU74" i="2" s="1"/>
  <c r="BH30" i="2"/>
  <c r="BH37" i="2" s="1"/>
  <c r="BD39" i="2"/>
  <c r="BD37" i="2"/>
  <c r="D16" i="13"/>
  <c r="BD38" i="2" l="1"/>
  <c r="AV42" i="2"/>
  <c r="AP62" i="2"/>
  <c r="AP68" i="2" s="1"/>
  <c r="AP74" i="2" s="1"/>
  <c r="BQ37" i="2"/>
  <c r="BH53" i="2"/>
  <c r="BD62" i="2"/>
  <c r="BD68" i="2" s="1"/>
  <c r="BD74" i="2" s="1"/>
  <c r="BQ30" i="2"/>
  <c r="BH39" i="2"/>
  <c r="BQ39" i="2" s="1"/>
  <c r="BL30" i="2"/>
  <c r="BO25" i="2"/>
  <c r="D19" i="16"/>
  <c r="E19" i="16" s="1"/>
  <c r="H19" i="16" s="1"/>
  <c r="E25" i="11"/>
  <c r="J19" i="16"/>
  <c r="BC42" i="2" l="1"/>
  <c r="AV62" i="2"/>
  <c r="AV68" i="2" s="1"/>
  <c r="AV74" i="2" s="1"/>
  <c r="D6" i="13"/>
  <c r="D36" i="16"/>
  <c r="E36" i="16" s="1"/>
  <c r="H36" i="16" s="1"/>
  <c r="BL39" i="2"/>
  <c r="BO39" i="2" s="1"/>
  <c r="BO30" i="2"/>
  <c r="D11" i="13" s="1"/>
  <c r="BL53" i="2"/>
  <c r="BQ53" i="2"/>
  <c r="BH62" i="2"/>
  <c r="BL37" i="2"/>
  <c r="J36" i="16"/>
  <c r="E30" i="11"/>
  <c r="BH38" i="2"/>
  <c r="BQ38" i="2" s="1"/>
  <c r="D50" i="13" l="1"/>
  <c r="I11" i="13"/>
  <c r="F11" i="13"/>
  <c r="H11" i="13"/>
  <c r="K11" i="13"/>
  <c r="G11" i="13"/>
  <c r="J11" i="13"/>
  <c r="BL38" i="2"/>
  <c r="BO38" i="2" s="1"/>
  <c r="BK42" i="2"/>
  <c r="BQ42" i="2"/>
  <c r="BC62" i="2"/>
  <c r="BC68" i="2" s="1"/>
  <c r="BC74" i="2" s="1"/>
  <c r="BH68" i="2"/>
  <c r="J15" i="16"/>
  <c r="E49" i="11"/>
  <c r="D15" i="16"/>
  <c r="E15" i="16" s="1"/>
  <c r="H15" i="16" s="1"/>
  <c r="BO53" i="2"/>
  <c r="D30" i="13" s="1"/>
  <c r="BL62" i="2"/>
  <c r="BO37" i="2"/>
  <c r="D17" i="13"/>
  <c r="H50" i="13" l="1"/>
  <c r="E49" i="14" s="1"/>
  <c r="H17" i="13"/>
  <c r="J50" i="13"/>
  <c r="E51" i="14" s="1"/>
  <c r="J17" i="13"/>
  <c r="F50" i="13"/>
  <c r="E47" i="14" s="1"/>
  <c r="F17" i="13"/>
  <c r="G50" i="13"/>
  <c r="E48" i="14" s="1"/>
  <c r="G17" i="13"/>
  <c r="I50" i="13"/>
  <c r="E50" i="14" s="1"/>
  <c r="I17" i="13"/>
  <c r="K50" i="13"/>
  <c r="E52" i="14" s="1"/>
  <c r="K17" i="13"/>
  <c r="BN42" i="2"/>
  <c r="BM42" i="2"/>
  <c r="BQ62" i="2"/>
  <c r="E38" i="11"/>
  <c r="J4" i="16"/>
  <c r="C4" i="16"/>
  <c r="E4" i="16" s="1"/>
  <c r="BK62" i="2"/>
  <c r="BK68" i="2" s="1"/>
  <c r="BK74" i="2" s="1"/>
  <c r="BL68" i="2"/>
  <c r="BL74" i="2" s="1"/>
  <c r="BH74" i="2"/>
  <c r="BQ74" i="2" s="1"/>
  <c r="BQ68" i="2"/>
  <c r="F50" i="14" l="1"/>
  <c r="F48" i="14"/>
  <c r="BN62" i="2"/>
  <c r="BN68" i="2" s="1"/>
  <c r="BN74" i="2" s="1"/>
  <c r="G4" i="16"/>
  <c r="BO42" i="2"/>
  <c r="D19" i="13" s="1"/>
  <c r="BM62" i="2"/>
  <c r="BM68" i="2" s="1"/>
  <c r="BM74" i="2" s="1"/>
  <c r="F4" i="16"/>
  <c r="F47" i="14"/>
  <c r="E67" i="14"/>
  <c r="H4" i="16" l="1"/>
  <c r="BO62" i="2"/>
  <c r="BO68" i="2" s="1"/>
  <c r="BO74" i="2" s="1"/>
  <c r="D38" i="13"/>
  <c r="J19" i="13"/>
  <c r="G19" i="13"/>
  <c r="K19" i="13"/>
  <c r="I19" i="13"/>
  <c r="F19" i="13"/>
  <c r="H19" i="13"/>
  <c r="F38" i="13" l="1"/>
  <c r="F49" i="13" s="1"/>
  <c r="F51" i="13" s="1"/>
  <c r="I38" i="13"/>
  <c r="I49" i="13" s="1"/>
  <c r="I51" i="13" s="1"/>
  <c r="G38" i="13"/>
  <c r="G49" i="13" s="1"/>
  <c r="E21" i="14" s="1"/>
  <c r="J38" i="13"/>
  <c r="J49" i="13" s="1"/>
  <c r="J51" i="13" s="1"/>
  <c r="K38" i="13"/>
  <c r="K49" i="13" s="1"/>
  <c r="K51" i="13" s="1"/>
  <c r="H38" i="13"/>
  <c r="H49" i="13" s="1"/>
  <c r="H51" i="13" s="1"/>
  <c r="F21" i="14" l="1"/>
  <c r="E23" i="14"/>
  <c r="E24" i="14"/>
  <c r="E22" i="14"/>
  <c r="E25" i="14"/>
  <c r="E20" i="14"/>
  <c r="D49" i="13"/>
  <c r="D51" i="13" s="1"/>
  <c r="G51" i="13"/>
  <c r="F20" i="14" l="1"/>
  <c r="F23" i="14"/>
  <c r="E40" i="14"/>
  <c r="D24" i="14" l="1"/>
  <c r="F24" i="14" s="1"/>
  <c r="H25" i="12"/>
  <c r="D79" i="14"/>
  <c r="F79" i="14" s="1"/>
  <c r="D25" i="14"/>
  <c r="F25" i="14" s="1"/>
  <c r="H26" i="12"/>
  <c r="D80" i="14"/>
  <c r="F80" i="14" s="1"/>
  <c r="D52" i="14" l="1"/>
  <c r="F52" i="14" s="1"/>
  <c r="D51" i="14"/>
  <c r="F51" i="14" s="1"/>
  <c r="H23" i="12" l="1"/>
  <c r="D77" i="14"/>
  <c r="F77" i="14" s="1"/>
  <c r="D22" i="14"/>
  <c r="F22" i="14" s="1"/>
  <c r="F41" i="12"/>
  <c r="D49" i="14" l="1"/>
  <c r="F49" i="14" s="1"/>
  <c r="H41" i="12"/>
</calcChain>
</file>

<file path=xl/sharedStrings.xml><?xml version="1.0" encoding="utf-8"?>
<sst xmlns="http://schemas.openxmlformats.org/spreadsheetml/2006/main" count="473" uniqueCount="301">
  <si>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</si>
  <si>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</si>
  <si>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</si>
  <si>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</si>
  <si>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</si>
  <si>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</si>
  <si>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</si>
  <si>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</si>
  <si>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</si>
  <si>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</si>
  <si>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</si>
  <si>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</si>
  <si>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</si>
  <si>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</si>
  <si>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</si>
  <si>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</si>
  <si>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</si>
  <si>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</si>
  <si>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</si>
  <si>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</si>
  <si>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</si>
  <si>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</si>
  <si>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</si>
  <si>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</si>
  <si>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</si>
  <si>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</si>
  <si>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</si>
  <si>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</si>
  <si>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</si>
  <si>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</si>
  <si>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</si>
  <si>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</si>
  <si>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</si>
  <si>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</si>
  <si>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</si>
  <si>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</si>
  <si>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</si>
  <si>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</si>
  <si>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</si>
  <si>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</si>
  <si>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</si>
  <si>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</si>
  <si>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</si>
  <si>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</si>
  <si>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</si>
  <si>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</si>
  <si>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</si>
  <si>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</si>
  <si>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</si>
  <si>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</si>
  <si>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</si>
  <si>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</si>
  <si>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</si>
  <si>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</si>
  <si>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</si>
  <si>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</si>
  <si>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</si>
  <si>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</si>
  <si>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</si>
  <si>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</si>
  <si>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</si>
  <si>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1A</t>
  </si>
  <si>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</si>
  <si>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</si>
  <si>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</si>
  <si>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</si>
  <si>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</si>
  <si>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</si>
  <si>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</si>
  <si>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</si>
  <si>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</si>
  <si>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</si>
  <si>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</si>
  <si>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</si>
  <si>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</si>
  <si>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</si>
  <si>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</si>
  <si>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</si>
  <si>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</si>
  <si>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</si>
  <si>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</si>
  <si>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</si>
  <si>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</si>
  <si>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</si>
  <si>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</si>
  <si>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</si>
  <si>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</si>
  <si>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</si>
  <si>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</si>
  <si>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</si>
  <si>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</si>
  <si>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</si>
  <si>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</si>
  <si>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</si>
  <si>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</si>
  <si>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</si>
  <si>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</si>
  <si>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</si>
  <si>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</si>
  <si>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</si>
  <si>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</si>
  <si>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</si>
  <si>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</si>
  <si>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</si>
  <si>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</si>
  <si>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</si>
  <si>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</si>
  <si>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</si>
  <si>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</si>
  <si>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</si>
  <si>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</si>
  <si>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</si>
  <si>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</si>
  <si>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</si>
  <si>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</si>
  <si>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</si>
  <si>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</si>
  <si>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</si>
  <si>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</si>
  <si>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</si>
  <si>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</si>
  <si>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</si>
  <si>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</si>
  <si>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</si>
  <si>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</si>
  <si>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</si>
  <si>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</si>
  <si>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</si>
  <si>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</si>
  <si>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</si>
  <si>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</si>
  <si>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</si>
  <si>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</si>
  <si>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</si>
  <si>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</si>
  <si>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</si>
  <si>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</si>
  <si>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</si>
  <si>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</si>
  <si>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</si>
  <si>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</si>
  <si>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</si>
  <si>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</si>
  <si>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</si>
  <si>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</si>
  <si>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</si>
  <si>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</si>
  <si>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</si>
  <si>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</si>
  <si>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</si>
  <si>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</si>
  <si>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</si>
  <si>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</si>
  <si>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</si>
  <si>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</si>
  <si>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</si>
  <si>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</si>
  <si>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</si>
  <si>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</si>
  <si>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</si>
  <si>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</si>
  <si>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</si>
  <si>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</si>
  <si>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</si>
  <si>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</si>
  <si>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</si>
  <si>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</si>
  <si>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</si>
  <si>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</si>
  <si>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</si>
  <si>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</si>
  <si>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</si>
  <si>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</si>
  <si>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</si>
  <si>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</si>
  <si>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</si>
  <si>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</si>
  <si>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</si>
  <si>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</si>
  <si>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</si>
  <si>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</si>
  <si>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</si>
  <si>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</si>
  <si>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</si>
  <si>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</si>
  <si>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</si>
  <si>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</si>
  <si>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</si>
  <si>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</si>
  <si>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</si>
  <si>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Kingston Hydro Corporation</t>
  </si>
  <si>
    <t>Kitchener-Wilmot Hydro Inc.</t>
  </si>
  <si>
    <t>Lakefront Utilities Inc.</t>
  </si>
  <si>
    <t>Lakeland Power Distribution Ltd.</t>
  </si>
  <si>
    <t>London Hydro Inc.</t>
  </si>
  <si>
    <t>Midland Power Utility Corporation</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</si>
  <si>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</si>
  <si>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</si>
  <si>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</si>
  <si>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</si>
  <si>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</si>
  <si>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</si>
  <si>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</si>
  <si>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</si>
  <si>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</si>
  <si>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</si>
  <si>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</si>
  <si>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</si>
  <si>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</si>
  <si>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</si>
  <si>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</si>
  <si>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</si>
  <si>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</si>
  <si>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</si>
  <si>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</si>
  <si>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</si>
  <si>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</si>
  <si>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</si>
  <si>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</si>
  <si>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</si>
  <si>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</si>
  <si>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</si>
  <si>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</si>
  <si>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</si>
  <si>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</si>
  <si>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</si>
  <si>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</si>
  <si>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</si>
  <si>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</si>
  <si>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</si>
  <si>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</si>
  <si>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</si>
  <si>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</si>
  <si>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</si>
  <si>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</si>
  <si>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</si>
  <si>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</si>
  <si>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Collus PowerStream Corporation</t>
  </si>
  <si>
    <t>Entegrus Powerlines Inc. - Dutton Service Area</t>
  </si>
  <si>
    <t>Entegrus Powerlines Inc. - former Chatham-Kent Hydro Service Area</t>
  </si>
  <si>
    <t>Entegrus Powerlines Inc. - Newbury Service Area</t>
  </si>
  <si>
    <t>Entegrus Powerlines Inc. - Strathroy, Mount Brydges and Parkhill Service Areas</t>
  </si>
  <si>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</si>
  <si>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</si>
  <si>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</si>
  <si>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</si>
  <si>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Transactions Debit / (Credit) during 2013 excluding interest and adjustments 3</t>
  </si>
  <si>
    <t>Board-Approved Disposition during 2013</t>
  </si>
  <si>
    <t>Other 2 Adjustments during Q1 2013</t>
  </si>
  <si>
    <t>Other 2 Adjustments during Q2 2013</t>
  </si>
  <si>
    <t>Other 2 Adjustments during Q3 2013</t>
  </si>
  <si>
    <t>Other 2 Adjustments during Q4 2013</t>
  </si>
  <si>
    <t>Adjustments during 2013 - other 2</t>
  </si>
  <si>
    <t>Closing Principal Balance as of Dec-31-13</t>
  </si>
  <si>
    <t>Opening Interest Amounts as of Jan-1-13</t>
  </si>
  <si>
    <t>Interest Jan-1 to Dec-31-13</t>
  </si>
  <si>
    <t>Closing Interest Amounts as of Dec-31-13</t>
  </si>
  <si>
    <t>Principal Disposition during 2014 - instructed by Board</t>
  </si>
  <si>
    <t>Interest Disposition during 2014 - instructed by Board</t>
  </si>
  <si>
    <t>Closing Principal Balances as of Dec 31-13 Adjusted for Dispositions during 2014</t>
  </si>
  <si>
    <t>Closing Interest Balances as of Dec 31-13 Adjusted for Dispositions during 2014</t>
  </si>
  <si>
    <t>Projected Interest on Dec-31-13 Balances</t>
  </si>
  <si>
    <r>
      <t xml:space="preserve">Projected Interest from Jan 1, 2014 to December 31, 2014 on                        Dec 31 -13 balance adjusted for disposition during 2014 </t>
    </r>
    <r>
      <rPr>
        <b/>
        <vertAlign val="superscript"/>
        <sz val="10"/>
        <rFont val="Book Antiqua"/>
        <family val="1"/>
      </rPr>
      <t>6</t>
    </r>
  </si>
  <si>
    <r>
      <t xml:space="preserve">Projected Interest from January 1, 2015 to April 30, 2015 on Dec 31 -13 balance adjusted for disposition during 2014  </t>
    </r>
    <r>
      <rPr>
        <b/>
        <vertAlign val="superscript"/>
        <sz val="11"/>
        <rFont val="Book Antiqua"/>
        <family val="1"/>
      </rPr>
      <t>6</t>
    </r>
  </si>
  <si>
    <t>As of Dec 31-13</t>
  </si>
  <si>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</si>
  <si>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</si>
  <si>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</si>
  <si>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</si>
  <si>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Smart Meter OM&amp;A Variance</t>
  </si>
  <si>
    <t>Smart Meter Capital and Recovery Offset Variance - Sub-Account - Stranded Meter Costs</t>
  </si>
  <si>
    <t>Smart Meter Capital and Recovery Offset Variance - Sub-Account - Recoveries</t>
  </si>
  <si>
    <t>Smart Meter Capital and Recovery Offset Variance - Sub-Account - Capital</t>
  </si>
  <si>
    <t xml:space="preserve">Other Regulatory Assets - Sub-Account - Other </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</si>
  <si>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</si>
  <si>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</si>
  <si>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</si>
  <si>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</si>
  <si>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</si>
  <si>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</si>
  <si>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Total Balance Allocated to each class (excluding 1589 and 1586)</t>
  </si>
  <si>
    <t>Total Balance Allocated to each class (including 1589 and excluding 1586)</t>
  </si>
  <si>
    <t>If the LDC’s 2014 rate year begins January 1, 2014, the projected interest is recorded from January 1, 2013 to December 31, 2013 on the December 31, 2012 balance adjusted for the disposed balances approved by the Board in the 2013 rate decision.  If the LDC’s 2013 rate year begins May 1, 2014 the projected interest is recorded from January 1, 2013 to April 30, 2014 on the December 31, 2012 balance adjusted for the disposed balances approved by the Board in the 2013 rate decision.</t>
  </si>
  <si>
    <r>
      <t xml:space="preserve">Other Regulatory Assets - Sub-Account - Other </t>
    </r>
    <r>
      <rPr>
        <vertAlign val="superscript"/>
        <sz val="10"/>
        <rFont val="Arial"/>
        <family val="2"/>
      </rPr>
      <t>4</t>
    </r>
  </si>
  <si>
    <r>
      <t>Other Regulatory Assets - Sub-Account - Financial Assistance Payment and Recovery Variance - Ontario Clean Energy Benefit Act</t>
    </r>
    <r>
      <rPr>
        <vertAlign val="superscript"/>
        <sz val="10"/>
        <rFont val="Arial"/>
        <family val="2"/>
      </rPr>
      <t>8</t>
    </r>
  </si>
  <si>
    <t>EB-2014-0096</t>
  </si>
  <si>
    <t>Suzanne Wilson, Vice-President Finance</t>
  </si>
  <si>
    <t>905-353-6004</t>
  </si>
  <si>
    <t>Suzanne.Wilson@npei.ca</t>
  </si>
  <si>
    <t>Residential</t>
  </si>
  <si>
    <t>General Service &lt; 50 kW</t>
  </si>
  <si>
    <t>General Service &gt; 50</t>
  </si>
  <si>
    <t>Unmetered Scattered Load</t>
  </si>
  <si>
    <t>Sentinel Lighting</t>
  </si>
  <si>
    <t>Street Lighting</t>
  </si>
  <si>
    <t>kW</t>
  </si>
  <si>
    <t>Non-RPP kWh</t>
  </si>
  <si>
    <t>Distribution Rev.</t>
  </si>
  <si>
    <t>The difference of $56,211 is the 2014 depreciation on stranded meters, which has been included for disposition. The total for disposition agrees to Appendix 2-S Stranded Meters.</t>
  </si>
  <si>
    <t xml:space="preserve"> The amount included in the continuity schedule is 50% of the HST/OVAT Input Tax Credit balance: ($123,675) * 50% = ($61,838). The RRR balance nets to zero ,because the HST/OVAT Contra Account is also included in the RRR.</t>
  </si>
  <si>
    <t>The difference of $4,129,266 consists of the 2014 forecast amount of $3,333,862 plus the return of $795,404. The total for disposition agrees to Appendix 2-EC Account 1576 - Accounting Changes Under CGAAP.</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</si>
</sst>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s>
  <fonts count="53"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vertAlign val="superscrip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style="medium">
        <color indexed="9"/>
      </right>
      <top/>
      <bottom style="medium">
        <color indexed="9"/>
      </bottom>
      <diagonal/>
    </border>
    <border>
      <left style="medium">
        <color auto="1"/>
      </left>
      <right style="medium">
        <color indexed="64"/>
      </right>
      <top/>
      <bottom style="medium">
        <color auto="1"/>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s>
  <cellStyleXfs count="71">
    <xf numFmtId="0" fontId="0" fillId="0" borderId="0"/>
    <xf numFmtId="168" fontId="3" fillId="0" borderId="0"/>
    <xf numFmtId="171" fontId="3" fillId="0" borderId="0"/>
    <xf numFmtId="173" fontId="3" fillId="0" borderId="0"/>
    <xf numFmtId="174"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2" fontId="3" fillId="0" borderId="0"/>
    <xf numFmtId="169" fontId="3" fillId="0" borderId="0"/>
    <xf numFmtId="0" fontId="30" fillId="24" borderId="0" applyNumberFormat="0" applyBorder="0" applyAlignment="0" applyProtection="0"/>
    <xf numFmtId="170"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7" fontId="39" fillId="0" borderId="0" applyFont="0" applyFill="0" applyBorder="0" applyAlignment="0" applyProtection="0"/>
    <xf numFmtId="166" fontId="39" fillId="0" borderId="0" applyFont="0" applyFill="0" applyBorder="0" applyAlignment="0" applyProtection="0"/>
    <xf numFmtId="9" fontId="39" fillId="0" borderId="0" applyFont="0" applyFill="0" applyBorder="0" applyAlignment="0" applyProtection="0"/>
    <xf numFmtId="0" fontId="2" fillId="0" borderId="0"/>
    <xf numFmtId="168" fontId="3" fillId="0" borderId="0"/>
    <xf numFmtId="168" fontId="3" fillId="0" borderId="0"/>
    <xf numFmtId="168" fontId="3" fillId="0" borderId="0"/>
    <xf numFmtId="168" fontId="3" fillId="0" borderId="0"/>
    <xf numFmtId="173" fontId="3" fillId="0" borderId="0"/>
    <xf numFmtId="172" fontId="3" fillId="0" borderId="0"/>
    <xf numFmtId="172" fontId="3" fillId="0" borderId="0"/>
    <xf numFmtId="172" fontId="3" fillId="0" borderId="0"/>
    <xf numFmtId="172" fontId="3" fillId="0" borderId="0"/>
    <xf numFmtId="0" fontId="3" fillId="0" borderId="0"/>
    <xf numFmtId="0" fontId="3" fillId="0" borderId="0"/>
  </cellStyleXfs>
  <cellXfs count="279">
    <xf numFmtId="0" fontId="0" fillId="0" borderId="0" xfId="0"/>
    <xf numFmtId="0" fontId="0" fillId="0" borderId="0" xfId="0" applyProtection="1"/>
    <xf numFmtId="0" fontId="6" fillId="0" borderId="0" xfId="0" applyFont="1" applyProtection="1"/>
    <xf numFmtId="0" fontId="17"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44"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0"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2"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6"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5" fontId="6" fillId="0" borderId="4" xfId="57" applyNumberFormat="1" applyFont="1" applyBorder="1"/>
    <xf numFmtId="0" fontId="7" fillId="0" borderId="0" xfId="0" applyFont="1" applyAlignment="1">
      <alignment horizontal="right" indent="1"/>
    </xf>
    <xf numFmtId="175" fontId="7" fillId="0" borderId="0" xfId="57" applyNumberFormat="1" applyFont="1" applyAlignment="1">
      <alignment horizontal="right" indent="1"/>
    </xf>
    <xf numFmtId="175" fontId="7" fillId="0" borderId="0" xfId="0" applyNumberFormat="1" applyFont="1" applyAlignment="1">
      <alignment horizontal="right" indent="1"/>
    </xf>
    <xf numFmtId="0" fontId="6" fillId="0" borderId="44" xfId="0" applyFont="1" applyBorder="1" applyAlignment="1">
      <alignment horizontal="center" vertical="center"/>
    </xf>
    <xf numFmtId="0" fontId="6" fillId="0" borderId="44"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7"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5"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7" fontId="3" fillId="0" borderId="0" xfId="57" applyNumberFormat="1" applyFont="1" applyBorder="1" applyAlignment="1" applyProtection="1">
      <alignment horizontal="center" vertical="center"/>
    </xf>
    <xf numFmtId="0" fontId="3" fillId="0" borderId="0" xfId="0" applyFont="1" applyBorder="1" applyProtection="1"/>
    <xf numFmtId="175" fontId="3" fillId="0" borderId="0" xfId="57" applyNumberFormat="1" applyFont="1" applyBorder="1" applyProtection="1"/>
    <xf numFmtId="175"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7"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7"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6" fillId="31" borderId="4" xfId="0" applyNumberFormat="1" applyFont="1" applyFill="1" applyBorder="1" applyAlignment="1" applyProtection="1">
      <alignment vertical="center"/>
    </xf>
    <xf numFmtId="177"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7"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8" fontId="6" fillId="32" borderId="4" xfId="56" applyNumberFormat="1" applyFont="1" applyFill="1" applyBorder="1" applyAlignment="1">
      <alignment horizontal="center" vertical="center"/>
    </xf>
    <xf numFmtId="175" fontId="6" fillId="32" borderId="4" xfId="57" applyNumberFormat="1" applyFont="1" applyFill="1" applyBorder="1"/>
    <xf numFmtId="179"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8" fontId="3" fillId="28" borderId="4" xfId="0" applyNumberFormat="1" applyFont="1" applyFill="1" applyBorder="1" applyAlignment="1">
      <alignment horizontal="right" vertical="center"/>
    </xf>
    <xf numFmtId="0" fontId="51" fillId="0" borderId="0" xfId="0" applyFont="1"/>
    <xf numFmtId="178" fontId="0" fillId="0" borderId="0" xfId="0" applyNumberFormat="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165" fontId="0" fillId="0" borderId="0" xfId="0" applyNumberFormat="1" applyProtection="1"/>
    <xf numFmtId="165" fontId="4" fillId="0" borderId="0" xfId="0" applyNumberFormat="1" applyFont="1" applyFill="1" applyBorder="1" applyProtection="1"/>
    <xf numFmtId="165" fontId="0" fillId="0" borderId="0" xfId="0" applyNumberFormat="1" applyFill="1" applyProtection="1"/>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3" fillId="29" borderId="4" xfId="0" applyFont="1" applyFill="1" applyBorder="1" applyAlignment="1" applyProtection="1">
      <alignment horizontal="center" vertical="center"/>
      <protection locked="0"/>
    </xf>
    <xf numFmtId="177"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8" fontId="3" fillId="30" borderId="4" xfId="56" applyNumberFormat="1" applyFont="1" applyFill="1" applyBorder="1" applyProtection="1">
      <protection locked="0"/>
    </xf>
    <xf numFmtId="0" fontId="0" fillId="0" borderId="0" xfId="0" applyAlignment="1">
      <alignment wrapText="1"/>
    </xf>
    <xf numFmtId="9" fontId="3" fillId="30" borderId="4" xfId="58" applyFont="1" applyFill="1" applyBorder="1" applyProtection="1">
      <protection locked="0"/>
    </xf>
    <xf numFmtId="164" fontId="4" fillId="0" borderId="9" xfId="0" applyNumberFormat="1" applyFont="1" applyBorder="1" applyProtection="1"/>
    <xf numFmtId="164" fontId="4" fillId="0" borderId="0" xfId="0" applyNumberFormat="1" applyFont="1" applyBorder="1" applyProtection="1"/>
    <xf numFmtId="164" fontId="0" fillId="0" borderId="0" xfId="0" applyNumberFormat="1" applyBorder="1" applyAlignment="1" applyProtection="1">
      <alignment wrapText="1"/>
    </xf>
    <xf numFmtId="164" fontId="5"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4" fillId="30" borderId="19" xfId="0" applyNumberFormat="1" applyFont="1" applyFill="1" applyBorder="1" applyProtection="1">
      <protection locked="0"/>
    </xf>
    <xf numFmtId="164" fontId="4" fillId="30" borderId="20" xfId="0" applyNumberFormat="1" applyFont="1" applyFill="1" applyBorder="1" applyProtection="1">
      <protection locked="0"/>
    </xf>
    <xf numFmtId="164" fontId="4" fillId="0" borderId="0" xfId="0" applyNumberFormat="1" applyFont="1" applyFill="1" applyBorder="1" applyProtection="1"/>
    <xf numFmtId="164" fontId="4" fillId="0" borderId="10" xfId="0" applyNumberFormat="1" applyFont="1" applyFill="1" applyBorder="1" applyProtection="1"/>
    <xf numFmtId="164" fontId="4" fillId="26" borderId="19" xfId="0" applyNumberFormat="1" applyFont="1" applyFill="1" applyBorder="1" applyProtection="1"/>
    <xf numFmtId="164" fontId="4" fillId="26" borderId="20" xfId="0" applyNumberFormat="1" applyFont="1" applyFill="1" applyBorder="1" applyProtection="1"/>
    <xf numFmtId="164" fontId="4" fillId="26" borderId="31" xfId="0" applyNumberFormat="1" applyFont="1" applyFill="1" applyBorder="1" applyProtection="1"/>
    <xf numFmtId="164" fontId="4" fillId="30" borderId="21" xfId="0" applyNumberFormat="1" applyFont="1" applyFill="1" applyBorder="1" applyProtection="1">
      <protection locked="0"/>
    </xf>
    <xf numFmtId="164" fontId="4" fillId="30" borderId="22" xfId="0" applyNumberFormat="1" applyFont="1" applyFill="1" applyBorder="1" applyProtection="1">
      <protection locked="0"/>
    </xf>
    <xf numFmtId="164" fontId="4" fillId="0" borderId="9" xfId="0" applyNumberFormat="1" applyFont="1" applyFill="1" applyBorder="1" applyProtection="1"/>
    <xf numFmtId="164" fontId="4" fillId="0" borderId="15" xfId="0" applyNumberFormat="1" applyFont="1" applyFill="1" applyBorder="1" applyProtection="1"/>
    <xf numFmtId="164" fontId="4" fillId="22" borderId="20" xfId="0" applyNumberFormat="1" applyFont="1" applyFill="1" applyBorder="1" applyProtection="1"/>
    <xf numFmtId="164" fontId="4" fillId="30" borderId="23" xfId="0" applyNumberFormat="1" applyFont="1" applyFill="1" applyBorder="1" applyProtection="1">
      <protection locked="0"/>
    </xf>
    <xf numFmtId="164" fontId="4" fillId="30" borderId="24" xfId="0" applyNumberFormat="1" applyFont="1" applyFill="1" applyBorder="1" applyProtection="1">
      <protection locked="0"/>
    </xf>
    <xf numFmtId="164" fontId="4" fillId="30" borderId="25" xfId="0" applyNumberFormat="1" applyFont="1" applyFill="1" applyBorder="1" applyProtection="1">
      <protection locked="0"/>
    </xf>
    <xf numFmtId="164" fontId="4" fillId="26" borderId="25" xfId="0" applyNumberFormat="1" applyFont="1" applyFill="1" applyBorder="1" applyProtection="1"/>
    <xf numFmtId="164" fontId="4" fillId="22" borderId="24" xfId="0" applyNumberFormat="1" applyFont="1" applyFill="1" applyBorder="1" applyProtection="1"/>
    <xf numFmtId="164" fontId="4" fillId="22" borderId="0" xfId="0" applyNumberFormat="1" applyFont="1" applyFill="1" applyBorder="1" applyProtection="1"/>
    <xf numFmtId="164" fontId="4" fillId="22" borderId="10" xfId="0" applyNumberFormat="1" applyFont="1" applyFill="1" applyBorder="1" applyProtection="1"/>
    <xf numFmtId="164" fontId="4" fillId="30" borderId="27" xfId="0" applyNumberFormat="1" applyFont="1" applyFill="1" applyBorder="1" applyProtection="1">
      <protection locked="0"/>
    </xf>
    <xf numFmtId="164" fontId="4" fillId="30" borderId="28" xfId="0" applyNumberFormat="1" applyFont="1" applyFill="1" applyBorder="1" applyProtection="1">
      <protection locked="0"/>
    </xf>
    <xf numFmtId="164" fontId="4" fillId="30" borderId="0" xfId="0" applyNumberFormat="1" applyFont="1" applyFill="1" applyBorder="1" applyProtection="1">
      <protection locked="0"/>
    </xf>
    <xf numFmtId="164" fontId="4" fillId="30" borderId="15" xfId="0" applyNumberFormat="1" applyFont="1" applyFill="1" applyBorder="1" applyProtection="1">
      <protection locked="0"/>
    </xf>
    <xf numFmtId="164" fontId="4" fillId="26" borderId="23" xfId="0" applyNumberFormat="1" applyFont="1" applyFill="1" applyBorder="1" applyProtection="1"/>
    <xf numFmtId="164" fontId="4" fillId="26" borderId="24" xfId="0" applyNumberFormat="1" applyFont="1" applyFill="1" applyBorder="1" applyProtection="1"/>
    <xf numFmtId="164" fontId="4" fillId="30" borderId="47" xfId="0" applyNumberFormat="1" applyFont="1" applyFill="1" applyBorder="1" applyProtection="1">
      <protection locked="0"/>
    </xf>
    <xf numFmtId="164" fontId="4" fillId="30" borderId="48" xfId="0" applyNumberFormat="1" applyFont="1" applyFill="1" applyBorder="1" applyProtection="1">
      <protection locked="0"/>
    </xf>
    <xf numFmtId="164" fontId="4" fillId="26" borderId="26" xfId="0" applyNumberFormat="1" applyFont="1" applyFill="1" applyBorder="1" applyProtection="1"/>
    <xf numFmtId="0" fontId="3" fillId="0" borderId="0" xfId="0" applyFont="1" applyAlignment="1">
      <alignment wrapText="1"/>
    </xf>
    <xf numFmtId="164" fontId="4" fillId="0" borderId="49" xfId="0" applyNumberFormat="1" applyFont="1" applyBorder="1" applyProtection="1"/>
    <xf numFmtId="164" fontId="4" fillId="30" borderId="50" xfId="0" applyNumberFormat="1" applyFont="1" applyFill="1" applyBorder="1" applyProtection="1">
      <protection locked="0"/>
    </xf>
    <xf numFmtId="164" fontId="4" fillId="0" borderId="51" xfId="0" applyNumberFormat="1" applyFont="1" applyFill="1" applyBorder="1" applyProtection="1"/>
    <xf numFmtId="164" fontId="4" fillId="30" borderId="52" xfId="0" applyNumberFormat="1" applyFont="1" applyFill="1" applyBorder="1" applyProtection="1">
      <protection locked="0"/>
    </xf>
    <xf numFmtId="164" fontId="4" fillId="30" borderId="53" xfId="0" applyNumberFormat="1" applyFont="1" applyFill="1" applyBorder="1" applyProtection="1">
      <protection locked="0"/>
    </xf>
    <xf numFmtId="164" fontId="4" fillId="22" borderId="52" xfId="0" applyNumberFormat="1" applyFont="1" applyFill="1" applyBorder="1" applyProtection="1"/>
    <xf numFmtId="164" fontId="4" fillId="22" borderId="51" xfId="0" applyNumberFormat="1" applyFont="1" applyFill="1" applyBorder="1" applyProtection="1"/>
    <xf numFmtId="164" fontId="4" fillId="26" borderId="53" xfId="0" applyNumberFormat="1" applyFont="1" applyFill="1" applyBorder="1" applyProtection="1"/>
    <xf numFmtId="164" fontId="4" fillId="26" borderId="50" xfId="0" applyNumberFormat="1" applyFont="1" applyFill="1" applyBorder="1" applyProtection="1"/>
    <xf numFmtId="164" fontId="4" fillId="0" borderId="55" xfId="0" applyNumberFormat="1" applyFont="1" applyFill="1" applyBorder="1" applyProtection="1"/>
    <xf numFmtId="164" fontId="4" fillId="0" borderId="56" xfId="0" applyNumberFormat="1" applyFont="1" applyFill="1" applyBorder="1" applyProtection="1"/>
    <xf numFmtId="164" fontId="0" fillId="0" borderId="57" xfId="0" applyNumberFormat="1" applyBorder="1" applyProtection="1"/>
    <xf numFmtId="164" fontId="0" fillId="0" borderId="54" xfId="0" applyNumberFormat="1" applyBorder="1" applyProtection="1"/>
    <xf numFmtId="0" fontId="11" fillId="0" borderId="0" xfId="0" applyFont="1" applyAlignment="1" applyProtection="1">
      <alignment vertical="top"/>
    </xf>
    <xf numFmtId="0" fontId="0" fillId="0" borderId="0" xfId="0" applyAlignment="1" applyProtection="1">
      <alignment vertical="top"/>
    </xf>
    <xf numFmtId="165" fontId="0" fillId="0" borderId="0" xfId="0" applyNumberFormat="1" applyAlignment="1" applyProtection="1">
      <alignment vertical="top"/>
    </xf>
    <xf numFmtId="0" fontId="4" fillId="0" borderId="0" xfId="0" applyFont="1" applyAlignment="1" applyProtection="1">
      <alignment horizontal="center" vertical="top"/>
    </xf>
    <xf numFmtId="165" fontId="3" fillId="0" borderId="0" xfId="0" applyNumberFormat="1" applyFont="1" applyProtection="1"/>
    <xf numFmtId="0" fontId="4" fillId="0" borderId="4" xfId="0" applyFont="1" applyBorder="1" applyProtection="1"/>
    <xf numFmtId="0" fontId="4" fillId="0" borderId="4" xfId="0" applyFont="1" applyBorder="1" applyAlignment="1" applyProtection="1">
      <alignment horizontal="center"/>
    </xf>
    <xf numFmtId="0" fontId="4" fillId="0" borderId="4" xfId="0" applyFont="1" applyBorder="1" applyAlignment="1" applyProtection="1">
      <alignment wrapText="1"/>
    </xf>
    <xf numFmtId="0" fontId="4" fillId="0" borderId="4" xfId="0" applyFont="1" applyBorder="1" applyAlignment="1" applyProtection="1"/>
    <xf numFmtId="0" fontId="4" fillId="0" borderId="4" xfId="0" applyFont="1" applyBorder="1" applyAlignment="1" applyProtection="1">
      <alignment vertical="center" wrapText="1"/>
    </xf>
    <xf numFmtId="0" fontId="4" fillId="0" borderId="4" xfId="0" applyFont="1" applyBorder="1" applyAlignment="1" applyProtection="1">
      <alignment horizontal="center" vertical="center"/>
    </xf>
    <xf numFmtId="0" fontId="4" fillId="0" borderId="4" xfId="0" applyFont="1" applyBorder="1" applyAlignment="1" applyProtection="1">
      <alignment horizontal="left"/>
    </xf>
    <xf numFmtId="0" fontId="4" fillId="0" borderId="0" xfId="0" applyFont="1" applyBorder="1" applyAlignment="1" applyProtection="1"/>
    <xf numFmtId="0" fontId="0" fillId="0" borderId="58" xfId="0" applyBorder="1" applyAlignment="1" applyProtection="1">
      <alignment horizontal="left" vertical="top" wrapText="1"/>
      <protection locked="0"/>
    </xf>
    <xf numFmtId="0" fontId="0" fillId="0" borderId="29" xfId="0" applyBorder="1" applyProtection="1">
      <protection locked="0"/>
    </xf>
    <xf numFmtId="0" fontId="3" fillId="0" borderId="4" xfId="0" applyFont="1" applyBorder="1" applyAlignment="1" applyProtection="1">
      <alignment horizontal="left" vertical="top" wrapText="1"/>
    </xf>
    <xf numFmtId="0" fontId="3" fillId="0" borderId="30" xfId="0" applyFont="1" applyBorder="1" applyAlignment="1" applyProtection="1">
      <alignment horizontal="left" vertical="top" wrapText="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41" xfId="59" applyFont="1" applyFill="1" applyBorder="1" applyAlignment="1" applyProtection="1">
      <alignment horizontal="left" vertical="center" wrapText="1"/>
      <protection locked="0"/>
    </xf>
    <xf numFmtId="0" fontId="43" fillId="29" borderId="42" xfId="59" applyFont="1" applyFill="1" applyBorder="1" applyAlignment="1" applyProtection="1">
      <alignment horizontal="left" vertical="center" wrapText="1"/>
      <protection locked="0"/>
    </xf>
    <xf numFmtId="0" fontId="43" fillId="29" borderId="43" xfId="59" applyFont="1" applyFill="1" applyBorder="1" applyAlignment="1" applyProtection="1">
      <alignment horizontal="left" vertical="center" wrapText="1"/>
      <protection locked="0"/>
    </xf>
    <xf numFmtId="0" fontId="44" fillId="30" borderId="41" xfId="59" applyFont="1" applyFill="1" applyBorder="1" applyAlignment="1" applyProtection="1">
      <alignment horizontal="left" vertical="center"/>
      <protection locked="0"/>
    </xf>
    <xf numFmtId="0" fontId="44" fillId="30" borderId="42" xfId="59" applyFont="1" applyFill="1" applyBorder="1" applyAlignment="1" applyProtection="1">
      <alignment horizontal="left" vertical="center"/>
      <protection locked="0"/>
    </xf>
    <xf numFmtId="0" fontId="44" fillId="30" borderId="43" xfId="59" applyFont="1" applyFill="1" applyBorder="1" applyAlignment="1" applyProtection="1">
      <alignment horizontal="left" vertical="center"/>
      <protection locked="0"/>
    </xf>
    <xf numFmtId="0" fontId="43" fillId="30" borderId="41" xfId="59" applyFont="1" applyFill="1" applyBorder="1" applyAlignment="1" applyProtection="1">
      <alignment horizontal="left" vertical="center"/>
      <protection locked="0"/>
    </xf>
    <xf numFmtId="0" fontId="43" fillId="30" borderId="42" xfId="59" applyFont="1" applyFill="1" applyBorder="1" applyAlignment="1" applyProtection="1">
      <alignment horizontal="left" vertical="center"/>
      <protection locked="0"/>
    </xf>
    <xf numFmtId="0" fontId="43" fillId="30" borderId="43" xfId="59" applyFont="1" applyFill="1" applyBorder="1" applyAlignment="1" applyProtection="1">
      <alignment horizontal="left" vertical="center"/>
      <protection locked="0"/>
    </xf>
    <xf numFmtId="0" fontId="43" fillId="30" borderId="41" xfId="59" applyNumberFormat="1" applyFont="1" applyFill="1" applyBorder="1" applyAlignment="1" applyProtection="1">
      <alignment horizontal="left" vertical="center"/>
      <protection locked="0"/>
    </xf>
    <xf numFmtId="0" fontId="43" fillId="30" borderId="42" xfId="59" applyNumberFormat="1" applyFont="1" applyFill="1" applyBorder="1" applyAlignment="1" applyProtection="1">
      <alignment horizontal="left" vertical="center"/>
      <protection locked="0"/>
    </xf>
    <xf numFmtId="0" fontId="43" fillId="30" borderId="43" xfId="59" applyNumberFormat="1" applyFont="1" applyFill="1" applyBorder="1" applyAlignment="1" applyProtection="1">
      <alignment horizontal="left" vertical="center"/>
      <protection locked="0"/>
    </xf>
    <xf numFmtId="165" fontId="17" fillId="0" borderId="37" xfId="0" applyNumberFormat="1" applyFont="1" applyBorder="1" applyAlignment="1" applyProtection="1">
      <alignment horizontal="center" vertical="center" wrapText="1"/>
    </xf>
    <xf numFmtId="165" fontId="17" fillId="0" borderId="10" xfId="0" applyNumberFormat="1" applyFont="1" applyBorder="1" applyAlignment="1" applyProtection="1">
      <alignment horizontal="center" vertical="center" wrapText="1"/>
    </xf>
    <xf numFmtId="165" fontId="17" fillId="0" borderId="38" xfId="0" applyNumberFormat="1" applyFont="1" applyBorder="1" applyAlignment="1" applyProtection="1">
      <alignment horizontal="center" vertical="center" wrapText="1"/>
    </xf>
    <xf numFmtId="165" fontId="17" fillId="0" borderId="32" xfId="0" applyNumberFormat="1" applyFont="1" applyBorder="1" applyAlignment="1" applyProtection="1">
      <alignment horizontal="center" vertical="center" wrapText="1"/>
    </xf>
    <xf numFmtId="165" fontId="15" fillId="0" borderId="0" xfId="0" applyNumberFormat="1" applyFont="1" applyBorder="1" applyAlignment="1" applyProtection="1">
      <alignment horizontal="center" vertical="center" wrapText="1"/>
    </xf>
    <xf numFmtId="165" fontId="15" fillId="0" borderId="36" xfId="0" applyNumberFormat="1" applyFont="1" applyBorder="1" applyAlignment="1" applyProtection="1">
      <alignment horizontal="center" vertical="center" wrapText="1"/>
    </xf>
    <xf numFmtId="165" fontId="17" fillId="0" borderId="0" xfId="0" applyNumberFormat="1" applyFont="1" applyBorder="1" applyAlignment="1" applyProtection="1">
      <alignment horizontal="center" vertical="center" wrapText="1"/>
    </xf>
    <xf numFmtId="165" fontId="17" fillId="0" borderId="36" xfId="0" applyNumberFormat="1" applyFont="1" applyBorder="1" applyAlignment="1" applyProtection="1">
      <alignment horizontal="center" vertical="center" wrapText="1"/>
    </xf>
    <xf numFmtId="165" fontId="17" fillId="0" borderId="34" xfId="0" applyNumberFormat="1" applyFont="1" applyBorder="1" applyAlignment="1" applyProtection="1">
      <alignment horizontal="center" vertical="center" wrapText="1"/>
    </xf>
    <xf numFmtId="165" fontId="17" fillId="0" borderId="9" xfId="0" applyNumberFormat="1" applyFont="1" applyBorder="1" applyAlignment="1" applyProtection="1">
      <alignment horizontal="center" vertical="center" wrapText="1"/>
    </xf>
    <xf numFmtId="165" fontId="17" fillId="0" borderId="35" xfId="0" applyNumberFormat="1" applyFont="1" applyBorder="1" applyAlignment="1" applyProtection="1">
      <alignment horizontal="center" vertical="center" wrapText="1"/>
    </xf>
    <xf numFmtId="0" fontId="14" fillId="0" borderId="17" xfId="0" applyNumberFormat="1" applyFont="1" applyFill="1" applyBorder="1" applyAlignment="1" applyProtection="1">
      <alignment horizontal="center" vertical="center"/>
    </xf>
    <xf numFmtId="0" fontId="14" fillId="0" borderId="33"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6" fillId="0" borderId="17" xfId="0" applyNumberFormat="1" applyFont="1" applyBorder="1" applyAlignment="1" applyProtection="1">
      <alignment horizontal="center"/>
    </xf>
    <xf numFmtId="0" fontId="16" fillId="0" borderId="33" xfId="0" applyNumberFormat="1" applyFont="1" applyBorder="1" applyAlignment="1" applyProtection="1">
      <alignment horizontal="center"/>
    </xf>
    <xf numFmtId="0" fontId="16" fillId="0" borderId="13" xfId="0" applyNumberFormat="1" applyFont="1" applyBorder="1" applyAlignment="1" applyProtection="1">
      <alignment horizontal="center"/>
    </xf>
    <xf numFmtId="165" fontId="17" fillId="0" borderId="39" xfId="0" applyNumberFormat="1" applyFont="1" applyBorder="1" applyAlignment="1" applyProtection="1">
      <alignment horizontal="center" vertical="center" wrapText="1"/>
    </xf>
    <xf numFmtId="165" fontId="17" fillId="0" borderId="15" xfId="0" applyNumberFormat="1" applyFont="1" applyBorder="1" applyAlignment="1" applyProtection="1">
      <alignment horizontal="center" vertical="center" wrapText="1"/>
    </xf>
    <xf numFmtId="165" fontId="17" fillId="0" borderId="40" xfId="0" applyNumberFormat="1" applyFont="1" applyBorder="1" applyAlignment="1" applyProtection="1">
      <alignment horizontal="center" vertical="center" wrapText="1"/>
    </xf>
    <xf numFmtId="165" fontId="36" fillId="0" borderId="32" xfId="0" applyNumberFormat="1" applyFont="1" applyBorder="1" applyAlignment="1" applyProtection="1">
      <alignment horizontal="center" vertical="center" wrapText="1"/>
    </xf>
    <xf numFmtId="165" fontId="37" fillId="0" borderId="0" xfId="0" applyNumberFormat="1" applyFont="1" applyBorder="1" applyAlignment="1" applyProtection="1">
      <alignment horizontal="center" vertical="center" wrapText="1"/>
    </xf>
    <xf numFmtId="165" fontId="37" fillId="0" borderId="36" xfId="0" applyNumberFormat="1" applyFont="1" applyBorder="1" applyAlignment="1" applyProtection="1">
      <alignment horizontal="center" vertical="center"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34" fillId="0" borderId="34"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35" xfId="0" applyFont="1" applyBorder="1" applyAlignment="1" applyProtection="1">
      <alignment horizontal="left" vertical="center"/>
    </xf>
    <xf numFmtId="0" fontId="17" fillId="0" borderId="37"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0" fontId="34" fillId="0" borderId="34"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35" xfId="0" applyFont="1" applyBorder="1" applyAlignment="1" applyProtection="1">
      <alignment horizontal="left" vertical="center" wrapText="1"/>
    </xf>
    <xf numFmtId="0" fontId="6" fillId="0" borderId="0" xfId="0" applyFont="1" applyAlignment="1" applyProtection="1">
      <alignment horizontal="left" vertical="top" wrapText="1"/>
    </xf>
    <xf numFmtId="177"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177" fontId="6" fillId="28" borderId="4"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45"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44" xfId="69" applyFont="1" applyFill="1" applyBorder="1" applyAlignment="1" applyProtection="1">
      <alignment horizontal="center" vertical="center" wrapText="1"/>
    </xf>
    <xf numFmtId="0" fontId="6" fillId="28" borderId="46"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xf numFmtId="165" fontId="17" fillId="0" borderId="4" xfId="0" applyNumberFormat="1" applyFont="1" applyBorder="1" applyAlignment="1" applyProtection="1">
      <alignment horizontal="center" vertical="center" wrapText="1"/>
    </xf>
    <xf numFmtId="165" fontId="15" fillId="0" borderId="4" xfId="0" applyNumberFormat="1" applyFont="1" applyBorder="1" applyAlignment="1" applyProtection="1">
      <alignment horizontal="center" vertical="center" wrapText="1"/>
    </xf>
  </cellXfs>
  <cellStyles count="71">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57420"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15</xdr:col>
      <xdr:colOff>142875</xdr:colOff>
      <xdr:row>0</xdr:row>
      <xdr:rowOff>85725</xdr:rowOff>
    </xdr:from>
    <xdr:to>
      <xdr:col>25</xdr:col>
      <xdr:colOff>469900</xdr:colOff>
      <xdr:row>9</xdr:row>
      <xdr:rowOff>0</xdr:rowOff>
    </xdr:to>
    <xdr:sp macro="" textlink="">
      <xdr:nvSpPr>
        <xdr:cNvPr id="2" name="TextBox 1"/>
        <xdr:cNvSpPr txBox="1"/>
      </xdr:nvSpPr>
      <xdr:spPr>
        <a:xfrm>
          <a:off x="9563100" y="85725"/>
          <a:ext cx="5813425" cy="1628775"/>
        </a:xfrm>
        <a:prstGeom prst="rect">
          <a:avLst/>
        </a:prstGeom>
        <a:solidFill>
          <a:srgbClr val="FFFFCC"/>
        </a:solidFill>
        <a:ln w="9525" cmpd="sng">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rgbClr val="FF0000"/>
              </a:solidFill>
            </a:rPr>
            <a:t>Draft Version</a:t>
          </a:r>
          <a:r>
            <a:rPr lang="en-CA" sz="1400" b="1" baseline="0">
              <a:solidFill>
                <a:srgbClr val="FF0000"/>
              </a:solidFill>
            </a:rPr>
            <a:t> 2.3 has been updated as follows:</a:t>
          </a:r>
        </a:p>
        <a:p>
          <a:endParaRPr lang="en-CA" sz="1100" baseline="0"/>
        </a:p>
        <a:p>
          <a:r>
            <a:rPr lang="en-CA" sz="1100" baseline="0"/>
            <a:t>1.  </a:t>
          </a:r>
          <a:r>
            <a:rPr lang="en-CA" sz="1100" b="1" baseline="0"/>
            <a:t>Sheet 2 - 2014 Continuity Schedule:</a:t>
          </a:r>
          <a:r>
            <a:rPr lang="en-CA" sz="1100" baseline="0"/>
            <a:t>   U</a:t>
          </a:r>
          <a:r>
            <a:rPr lang="en-CA" sz="1100" b="0" baseline="0"/>
            <a:t>pdated </a:t>
          </a:r>
          <a:r>
            <a:rPr lang="en-CA" sz="1100" b="1" baseline="0"/>
            <a:t>row 34</a:t>
          </a:r>
          <a:r>
            <a:rPr lang="en-CA" sz="1100" b="0" baseline="0"/>
            <a:t> to ensure all applicable cells contain formulas.</a:t>
          </a:r>
        </a:p>
        <a:p>
          <a:endParaRPr lang="en-CA" sz="1100" b="0" baseline="0"/>
        </a:p>
        <a:p>
          <a:r>
            <a:rPr lang="en-CA" sz="1100" b="0" baseline="0"/>
            <a:t>2.  </a:t>
          </a:r>
          <a:r>
            <a:rPr lang="en-CA" sz="1100" b="1" baseline="0"/>
            <a:t>Sheet 5 - Allocation of Balances:  </a:t>
          </a:r>
          <a:r>
            <a:rPr lang="en-CA" sz="1100" b="0" baseline="0"/>
            <a:t>Updated </a:t>
          </a:r>
          <a:r>
            <a:rPr lang="en-CA" sz="1100" b="1" baseline="0"/>
            <a:t>row 17 </a:t>
          </a:r>
          <a:r>
            <a:rPr lang="en-CA" sz="1100" b="0" baseline="0"/>
            <a:t>to exclude account 1589 from the total.</a:t>
          </a:r>
        </a:p>
        <a:p>
          <a:endParaRPr lang="en-CA" sz="1100" b="0" baseline="0"/>
        </a:p>
        <a:p>
          <a:pPr marL="0" marR="0" indent="0" defTabSz="914400" eaLnBrk="1" fontAlgn="auto" latinLnBrk="0" hangingPunct="1">
            <a:lnSpc>
              <a:spcPct val="100000"/>
            </a:lnSpc>
            <a:spcBef>
              <a:spcPts val="0"/>
            </a:spcBef>
            <a:spcAft>
              <a:spcPts val="0"/>
            </a:spcAft>
            <a:buClrTx/>
            <a:buSzTx/>
            <a:buFontTx/>
            <a:buNone/>
            <a:tabLst/>
            <a:defRPr/>
          </a:pPr>
          <a:r>
            <a:rPr lang="en-CA" sz="1100" b="0" baseline="0">
              <a:solidFill>
                <a:schemeClr val="dk1"/>
              </a:solidFill>
              <a:effectLst/>
              <a:latin typeface="+mn-lt"/>
              <a:ea typeface="+mn-ea"/>
              <a:cs typeface="+mn-cs"/>
            </a:rPr>
            <a:t>3.  </a:t>
          </a:r>
          <a:r>
            <a:rPr lang="en-CA" sz="1100" b="1" baseline="0">
              <a:solidFill>
                <a:schemeClr val="dk1"/>
              </a:solidFill>
              <a:effectLst/>
              <a:latin typeface="+mn-lt"/>
              <a:ea typeface="+mn-ea"/>
              <a:cs typeface="+mn-cs"/>
            </a:rPr>
            <a:t>Sheet 5 - Allocation of Balances:  </a:t>
          </a:r>
          <a:r>
            <a:rPr lang="en-CA" sz="1100" b="0" baseline="0">
              <a:solidFill>
                <a:schemeClr val="dk1"/>
              </a:solidFill>
              <a:effectLst/>
              <a:latin typeface="+mn-lt"/>
              <a:ea typeface="+mn-ea"/>
              <a:cs typeface="+mn-cs"/>
            </a:rPr>
            <a:t>Updated </a:t>
          </a:r>
          <a:r>
            <a:rPr lang="en-CA" sz="1100" b="1" baseline="0">
              <a:solidFill>
                <a:schemeClr val="dk1"/>
              </a:solidFill>
              <a:effectLst/>
              <a:latin typeface="+mn-lt"/>
              <a:ea typeface="+mn-ea"/>
              <a:cs typeface="+mn-cs"/>
            </a:rPr>
            <a:t>row 50 </a:t>
          </a:r>
          <a:r>
            <a:rPr lang="en-CA" sz="1100" b="0" baseline="0">
              <a:solidFill>
                <a:schemeClr val="dk1"/>
              </a:solidFill>
              <a:effectLst/>
              <a:latin typeface="+mn-lt"/>
              <a:ea typeface="+mn-ea"/>
              <a:cs typeface="+mn-cs"/>
            </a:rPr>
            <a:t>to correctly reference  </a:t>
          </a:r>
          <a:r>
            <a:rPr lang="en-CA" sz="1100" b="1" baseline="0">
              <a:solidFill>
                <a:schemeClr val="dk1"/>
              </a:solidFill>
              <a:effectLst/>
              <a:latin typeface="+mn-lt"/>
              <a:ea typeface="+mn-ea"/>
              <a:cs typeface="+mn-cs"/>
            </a:rPr>
            <a:t>account 1589.</a:t>
          </a:r>
          <a:endParaRPr lang="en-CA">
            <a:effectLst/>
          </a:endParaRPr>
        </a:p>
        <a:p>
          <a:endParaRPr lang="en-CA" sz="1100" b="0" baseline="0"/>
        </a:p>
        <a:p>
          <a:endParaRPr lang="en-CA"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52438" y="28575"/>
          <a:ext cx="9319418" cy="2428875"/>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789745</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0</xdr:col>
      <xdr:colOff>137211</xdr:colOff>
      <xdr:row>4</xdr:row>
      <xdr:rowOff>53861</xdr:rowOff>
    </xdr:from>
    <xdr:to>
      <xdr:col>7</xdr:col>
      <xdr:colOff>636106</xdr:colOff>
      <xdr:row>7</xdr:row>
      <xdr:rowOff>114715</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2015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abSelected="1" topLeftCell="A14" zoomScaleNormal="100" workbookViewId="0">
      <selection activeCell="F24" sqref="F24:J24"/>
    </sheetView>
  </sheetViews>
  <sheetFormatPr defaultColWidth="9.140625" defaultRowHeight="15" x14ac:dyDescent="0.25"/>
  <cols>
    <col min="1" max="1" width="13.28515625" style="37" customWidth="1"/>
    <col min="2" max="4" width="9.140625" style="37"/>
    <col min="5" max="5" width="9.140625" style="37" customWidth="1"/>
    <col min="6" max="21" width="9.140625" style="37"/>
    <col min="22" max="22" width="54.140625" style="37" hidden="1" customWidth="1"/>
    <col min="23" max="16384" width="9.140625" style="37"/>
  </cols>
  <sheetData>
    <row r="1" spans="2:22" x14ac:dyDescent="0.25">
      <c r="V1" t="s">
        <v>156</v>
      </c>
    </row>
    <row r="2" spans="2:22" x14ac:dyDescent="0.25">
      <c r="V2" t="s">
        <v>157</v>
      </c>
    </row>
    <row r="3" spans="2:22" x14ac:dyDescent="0.25">
      <c r="V3" t="s">
        <v>158</v>
      </c>
    </row>
    <row r="4" spans="2:22" x14ac:dyDescent="0.25">
      <c r="V4" t="s">
        <v>159</v>
      </c>
    </row>
    <row r="5" spans="2:22" x14ac:dyDescent="0.25">
      <c r="V5" t="s">
        <v>160</v>
      </c>
    </row>
    <row r="6" spans="2:22" x14ac:dyDescent="0.25">
      <c r="V6" t="s">
        <v>161</v>
      </c>
    </row>
    <row r="7" spans="2:22" x14ac:dyDescent="0.25">
      <c r="V7" t="s">
        <v>162</v>
      </c>
    </row>
    <row r="8" spans="2:22" x14ac:dyDescent="0.25">
      <c r="V8" t="s">
        <v>163</v>
      </c>
    </row>
    <row r="9" spans="2:22" x14ac:dyDescent="0.25">
      <c r="V9" t="s">
        <v>164</v>
      </c>
    </row>
    <row r="10" spans="2:22" x14ac:dyDescent="0.25">
      <c r="V10" t="s">
        <v>165</v>
      </c>
    </row>
    <row r="11" spans="2:22" x14ac:dyDescent="0.25">
      <c r="G11" s="38"/>
      <c r="V11" t="s">
        <v>237</v>
      </c>
    </row>
    <row r="12" spans="2:22" x14ac:dyDescent="0.25">
      <c r="B12" s="39"/>
      <c r="C12" s="39"/>
      <c r="D12" s="39"/>
      <c r="E12" s="39"/>
      <c r="F12" s="39"/>
      <c r="G12" s="38"/>
      <c r="M12" s="40" t="s">
        <v>77</v>
      </c>
      <c r="N12" s="41">
        <v>2.4</v>
      </c>
      <c r="V12" t="s">
        <v>166</v>
      </c>
    </row>
    <row r="13" spans="2:22" ht="15.75" thickBot="1" x14ac:dyDescent="0.3">
      <c r="G13" s="38"/>
      <c r="V13" t="s">
        <v>167</v>
      </c>
    </row>
    <row r="14" spans="2:22" ht="16.5" thickTop="1" thickBot="1" x14ac:dyDescent="0.3">
      <c r="E14" s="42" t="s">
        <v>78</v>
      </c>
      <c r="F14" s="214" t="s">
        <v>197</v>
      </c>
      <c r="G14" s="215"/>
      <c r="H14" s="215"/>
      <c r="I14" s="215"/>
      <c r="J14" s="215"/>
      <c r="K14" s="215"/>
      <c r="L14" s="216"/>
      <c r="V14" t="s">
        <v>168</v>
      </c>
    </row>
    <row r="15" spans="2:22" ht="15.75" thickBot="1" x14ac:dyDescent="0.3">
      <c r="E15" s="43"/>
      <c r="F15" s="44"/>
      <c r="G15" s="45"/>
      <c r="H15" s="44"/>
      <c r="I15" s="44"/>
      <c r="J15" s="44"/>
      <c r="V15" s="177" t="s">
        <v>169</v>
      </c>
    </row>
    <row r="16" spans="2:22" ht="16.5" thickTop="1" thickBot="1" x14ac:dyDescent="0.3">
      <c r="E16" s="46" t="s">
        <v>79</v>
      </c>
      <c r="F16" s="217" t="s">
        <v>80</v>
      </c>
      <c r="G16" s="218"/>
      <c r="H16" s="218"/>
      <c r="I16" s="218"/>
      <c r="J16" s="219"/>
      <c r="V16" s="177" t="s">
        <v>238</v>
      </c>
    </row>
    <row r="17" spans="2:22" ht="27" thickBot="1" x14ac:dyDescent="0.3">
      <c r="E17" s="47"/>
      <c r="V17" s="177" t="s">
        <v>239</v>
      </c>
    </row>
    <row r="18" spans="2:22" ht="16.5" thickTop="1" thickBot="1" x14ac:dyDescent="0.3">
      <c r="E18" s="46" t="s">
        <v>81</v>
      </c>
      <c r="F18" s="220" t="s">
        <v>285</v>
      </c>
      <c r="G18" s="221"/>
      <c r="H18" s="221"/>
      <c r="I18" s="221"/>
      <c r="J18" s="222"/>
      <c r="V18" s="177" t="s">
        <v>240</v>
      </c>
    </row>
    <row r="19" spans="2:22" ht="12.75" customHeight="1" thickBot="1" x14ac:dyDescent="0.3">
      <c r="E19" s="47"/>
      <c r="V19" s="177" t="s">
        <v>241</v>
      </c>
    </row>
    <row r="20" spans="2:22" ht="16.5" thickTop="1" thickBot="1" x14ac:dyDescent="0.3">
      <c r="E20" s="46" t="s">
        <v>82</v>
      </c>
      <c r="F20" s="220" t="s">
        <v>286</v>
      </c>
      <c r="G20" s="221"/>
      <c r="H20" s="221"/>
      <c r="I20" s="221"/>
      <c r="J20" s="222"/>
      <c r="V20" t="s">
        <v>170</v>
      </c>
    </row>
    <row r="21" spans="2:22" ht="15.75" thickBot="1" x14ac:dyDescent="0.3">
      <c r="E21" s="48"/>
      <c r="F21" s="44"/>
      <c r="G21" s="45"/>
      <c r="H21" s="44"/>
      <c r="I21" s="44"/>
      <c r="J21" s="44"/>
      <c r="V21" t="s">
        <v>171</v>
      </c>
    </row>
    <row r="22" spans="2:22" ht="16.5" thickTop="1" thickBot="1" x14ac:dyDescent="0.3">
      <c r="E22" s="42" t="s">
        <v>83</v>
      </c>
      <c r="F22" s="220" t="s">
        <v>287</v>
      </c>
      <c r="G22" s="221"/>
      <c r="H22" s="221"/>
      <c r="I22" s="221"/>
      <c r="J22" s="222"/>
      <c r="V22" t="s">
        <v>172</v>
      </c>
    </row>
    <row r="23" spans="2:22" ht="15.75" thickBot="1" x14ac:dyDescent="0.3">
      <c r="E23" s="48"/>
      <c r="F23" s="44"/>
      <c r="G23" s="45"/>
      <c r="H23" s="44"/>
      <c r="I23" s="44"/>
      <c r="J23" s="44"/>
      <c r="V23" t="s">
        <v>173</v>
      </c>
    </row>
    <row r="24" spans="2:22" ht="16.5" thickTop="1" thickBot="1" x14ac:dyDescent="0.3">
      <c r="E24" s="42" t="s">
        <v>84</v>
      </c>
      <c r="F24" s="223" t="s">
        <v>288</v>
      </c>
      <c r="G24" s="224"/>
      <c r="H24" s="224"/>
      <c r="I24" s="224"/>
      <c r="J24" s="225"/>
      <c r="V24" t="s">
        <v>174</v>
      </c>
    </row>
    <row r="25" spans="2:22" x14ac:dyDescent="0.25">
      <c r="E25" s="48"/>
      <c r="F25" s="44"/>
      <c r="G25" s="45"/>
      <c r="H25" s="44"/>
      <c r="I25" s="44"/>
      <c r="J25" s="44"/>
      <c r="V25" t="s">
        <v>175</v>
      </c>
    </row>
    <row r="26" spans="2:22" x14ac:dyDescent="0.25">
      <c r="E26" s="42"/>
      <c r="I26" s="44"/>
      <c r="J26" s="44"/>
      <c r="V26" t="s">
        <v>176</v>
      </c>
    </row>
    <row r="27" spans="2:22" x14ac:dyDescent="0.25">
      <c r="B27" s="213" t="s">
        <v>89</v>
      </c>
      <c r="C27" s="213"/>
      <c r="D27" s="213"/>
      <c r="E27" s="213"/>
      <c r="F27" s="213"/>
      <c r="G27" s="213"/>
      <c r="H27" s="213"/>
      <c r="I27" s="213"/>
      <c r="J27" s="213"/>
      <c r="K27" s="213"/>
      <c r="L27" s="213"/>
      <c r="M27" s="213"/>
      <c r="V27" t="s">
        <v>177</v>
      </c>
    </row>
    <row r="28" spans="2:22" x14ac:dyDescent="0.25">
      <c r="V28" t="s">
        <v>178</v>
      </c>
    </row>
    <row r="29" spans="2:22" x14ac:dyDescent="0.25">
      <c r="B29" s="49" t="s">
        <v>85</v>
      </c>
      <c r="C29" s="50"/>
      <c r="D29" s="50"/>
      <c r="E29" s="50"/>
      <c r="F29" s="50"/>
      <c r="G29" s="50"/>
      <c r="H29" s="50"/>
      <c r="I29" s="50"/>
      <c r="J29" s="50"/>
      <c r="K29" s="50"/>
      <c r="L29" s="50"/>
      <c r="M29" s="50"/>
      <c r="N29" s="50"/>
      <c r="V29" t="s">
        <v>179</v>
      </c>
    </row>
    <row r="30" spans="2:22" ht="15.75" thickBot="1" x14ac:dyDescent="0.3">
      <c r="B30" s="50"/>
      <c r="C30" s="50"/>
      <c r="D30" s="50"/>
      <c r="E30" s="50"/>
      <c r="F30" s="50"/>
      <c r="G30" s="50"/>
      <c r="H30" s="50"/>
      <c r="I30" s="50"/>
      <c r="J30" s="50"/>
      <c r="K30" s="50"/>
      <c r="L30" s="50"/>
      <c r="M30" s="50"/>
      <c r="N30" s="50"/>
      <c r="V30" t="s">
        <v>180</v>
      </c>
    </row>
    <row r="31" spans="2:22" ht="15.75" thickBot="1" x14ac:dyDescent="0.3">
      <c r="B31" s="51"/>
      <c r="C31" s="208" t="s">
        <v>86</v>
      </c>
      <c r="D31" s="208"/>
      <c r="E31" s="208"/>
      <c r="F31" s="208"/>
      <c r="G31" s="208"/>
      <c r="H31" s="208"/>
      <c r="I31" s="208"/>
      <c r="J31" s="208"/>
      <c r="K31" s="208"/>
      <c r="L31" s="208"/>
      <c r="M31" s="50"/>
      <c r="N31" s="50"/>
      <c r="V31" t="s">
        <v>181</v>
      </c>
    </row>
    <row r="32" spans="2:22" ht="15.75" thickBot="1" x14ac:dyDescent="0.3">
      <c r="B32" s="50"/>
      <c r="C32" s="50"/>
      <c r="D32" s="50"/>
      <c r="E32" s="50"/>
      <c r="F32" s="50"/>
      <c r="G32" s="50"/>
      <c r="H32" s="50"/>
      <c r="I32" s="50"/>
      <c r="J32" s="50"/>
      <c r="K32" s="50"/>
      <c r="L32" s="50"/>
      <c r="M32" s="50"/>
      <c r="N32" s="50"/>
      <c r="V32" t="s">
        <v>182</v>
      </c>
    </row>
    <row r="33" spans="2:22" ht="15.75" thickBot="1" x14ac:dyDescent="0.3">
      <c r="B33" s="52"/>
      <c r="C33" s="209" t="s">
        <v>87</v>
      </c>
      <c r="D33" s="210"/>
      <c r="E33" s="210"/>
      <c r="F33" s="210"/>
      <c r="G33" s="210"/>
      <c r="H33" s="210"/>
      <c r="I33" s="210"/>
      <c r="J33" s="210"/>
      <c r="K33" s="210"/>
      <c r="L33" s="210"/>
      <c r="M33" s="210"/>
      <c r="N33" s="210"/>
      <c r="V33" t="s">
        <v>183</v>
      </c>
    </row>
    <row r="34" spans="2:22" ht="15.75" thickBot="1" x14ac:dyDescent="0.3">
      <c r="B34" s="53"/>
      <c r="C34" s="50"/>
      <c r="D34" s="50"/>
      <c r="E34" s="50"/>
      <c r="F34" s="50"/>
      <c r="G34" s="50"/>
      <c r="H34" s="50"/>
      <c r="I34" s="50"/>
      <c r="J34" s="50"/>
      <c r="K34" s="50"/>
      <c r="L34" s="50"/>
      <c r="M34" s="50"/>
      <c r="N34" s="50"/>
      <c r="V34" t="s">
        <v>184</v>
      </c>
    </row>
    <row r="35" spans="2:22" ht="15.75" thickBot="1" x14ac:dyDescent="0.3">
      <c r="B35" s="54"/>
      <c r="C35" s="211" t="s">
        <v>88</v>
      </c>
      <c r="D35" s="212"/>
      <c r="E35" s="212"/>
      <c r="F35" s="212"/>
      <c r="G35" s="212"/>
      <c r="H35" s="212"/>
      <c r="I35" s="212"/>
      <c r="J35" s="212"/>
      <c r="K35" s="212"/>
      <c r="L35" s="212"/>
      <c r="M35" s="212"/>
      <c r="N35" s="50"/>
      <c r="V35" t="s">
        <v>185</v>
      </c>
    </row>
    <row r="36" spans="2:22" x14ac:dyDescent="0.25">
      <c r="B36" s="50"/>
      <c r="C36" s="50"/>
      <c r="D36" s="50"/>
      <c r="E36" s="50"/>
      <c r="F36" s="50"/>
      <c r="G36" s="50"/>
      <c r="H36" s="50"/>
      <c r="I36" s="50"/>
      <c r="J36" s="50"/>
      <c r="K36" s="50"/>
      <c r="L36" s="50"/>
      <c r="M36" s="50"/>
      <c r="N36" s="50"/>
      <c r="V36" s="56" t="s">
        <v>186</v>
      </c>
    </row>
    <row r="37" spans="2:22" x14ac:dyDescent="0.25">
      <c r="V37" t="s">
        <v>187</v>
      </c>
    </row>
    <row r="38" spans="2:22" x14ac:dyDescent="0.25">
      <c r="V38" t="s">
        <v>188</v>
      </c>
    </row>
    <row r="39" spans="2:22" x14ac:dyDescent="0.25">
      <c r="V39" t="s">
        <v>189</v>
      </c>
    </row>
    <row r="40" spans="2:22" x14ac:dyDescent="0.25">
      <c r="V40" t="s">
        <v>190</v>
      </c>
    </row>
    <row r="41" spans="2:22" x14ac:dyDescent="0.25">
      <c r="V41" t="s">
        <v>191</v>
      </c>
    </row>
    <row r="42" spans="2:22" x14ac:dyDescent="0.25">
      <c r="V42" t="s">
        <v>192</v>
      </c>
    </row>
    <row r="43" spans="2:22" x14ac:dyDescent="0.25">
      <c r="V43" t="s">
        <v>193</v>
      </c>
    </row>
    <row r="44" spans="2:22" x14ac:dyDescent="0.25">
      <c r="V44" t="s">
        <v>194</v>
      </c>
    </row>
    <row r="45" spans="2:22" x14ac:dyDescent="0.25">
      <c r="V45" t="s">
        <v>195</v>
      </c>
    </row>
    <row r="46" spans="2:22" x14ac:dyDescent="0.25">
      <c r="V46" t="s">
        <v>242</v>
      </c>
    </row>
    <row r="47" spans="2:22" x14ac:dyDescent="0.25">
      <c r="V47" t="s">
        <v>196</v>
      </c>
    </row>
    <row r="48" spans="2:22" x14ac:dyDescent="0.25">
      <c r="V48" t="s">
        <v>197</v>
      </c>
    </row>
    <row r="49" spans="22:22" x14ac:dyDescent="0.25">
      <c r="V49" t="s">
        <v>198</v>
      </c>
    </row>
    <row r="50" spans="22:22" x14ac:dyDescent="0.25">
      <c r="V50" t="s">
        <v>199</v>
      </c>
    </row>
    <row r="51" spans="22:22" x14ac:dyDescent="0.25">
      <c r="V51" t="s">
        <v>200</v>
      </c>
    </row>
    <row r="52" spans="22:22" x14ac:dyDescent="0.25">
      <c r="V52" t="s">
        <v>201</v>
      </c>
    </row>
    <row r="53" spans="22:22" x14ac:dyDescent="0.25">
      <c r="V53" t="s">
        <v>202</v>
      </c>
    </row>
    <row r="54" spans="22:22" x14ac:dyDescent="0.25">
      <c r="V54" t="s">
        <v>203</v>
      </c>
    </row>
    <row r="55" spans="22:22" x14ac:dyDescent="0.25">
      <c r="V55" t="s">
        <v>204</v>
      </c>
    </row>
    <row r="56" spans="22:22" x14ac:dyDescent="0.25">
      <c r="V56" t="s">
        <v>205</v>
      </c>
    </row>
    <row r="57" spans="22:22" x14ac:dyDescent="0.25">
      <c r="V57" t="s">
        <v>206</v>
      </c>
    </row>
    <row r="58" spans="22:22" x14ac:dyDescent="0.25">
      <c r="V58" t="s">
        <v>207</v>
      </c>
    </row>
    <row r="59" spans="22:22" x14ac:dyDescent="0.25">
      <c r="V59" t="s">
        <v>208</v>
      </c>
    </row>
    <row r="60" spans="22:22" x14ac:dyDescent="0.25">
      <c r="V60" t="s">
        <v>209</v>
      </c>
    </row>
    <row r="61" spans="22:22" x14ac:dyDescent="0.25">
      <c r="V61" t="s">
        <v>210</v>
      </c>
    </row>
    <row r="62" spans="22:22" x14ac:dyDescent="0.25">
      <c r="V62" t="s">
        <v>211</v>
      </c>
    </row>
    <row r="63" spans="22:22" x14ac:dyDescent="0.25">
      <c r="V63" t="s">
        <v>212</v>
      </c>
    </row>
    <row r="64" spans="22:22" x14ac:dyDescent="0.25">
      <c r="V64" t="s">
        <v>213</v>
      </c>
    </row>
    <row r="65" spans="22:22" x14ac:dyDescent="0.25">
      <c r="V65" t="s">
        <v>214</v>
      </c>
    </row>
    <row r="66" spans="22:22" x14ac:dyDescent="0.25">
      <c r="V66" t="s">
        <v>215</v>
      </c>
    </row>
    <row r="67" spans="22:22" x14ac:dyDescent="0.25">
      <c r="V67" t="s">
        <v>216</v>
      </c>
    </row>
    <row r="68" spans="22:22" x14ac:dyDescent="0.25">
      <c r="V68" t="s">
        <v>217</v>
      </c>
    </row>
    <row r="69" spans="22:22" x14ac:dyDescent="0.25">
      <c r="V69" t="s">
        <v>218</v>
      </c>
    </row>
    <row r="70" spans="22:22" x14ac:dyDescent="0.25">
      <c r="V70" t="s">
        <v>219</v>
      </c>
    </row>
    <row r="71" spans="22:22" x14ac:dyDescent="0.25">
      <c r="V71" t="s">
        <v>220</v>
      </c>
    </row>
    <row r="72" spans="22:22" x14ac:dyDescent="0.25">
      <c r="V72" t="s">
        <v>221</v>
      </c>
    </row>
    <row r="73" spans="22:22" x14ac:dyDescent="0.25">
      <c r="V73" t="s">
        <v>222</v>
      </c>
    </row>
    <row r="74" spans="22:22" x14ac:dyDescent="0.25">
      <c r="V74" t="s">
        <v>223</v>
      </c>
    </row>
    <row r="75" spans="22:22" x14ac:dyDescent="0.25">
      <c r="V75" t="s">
        <v>224</v>
      </c>
    </row>
    <row r="76" spans="22:22" x14ac:dyDescent="0.25">
      <c r="V76" s="135" t="s">
        <v>225</v>
      </c>
    </row>
    <row r="77" spans="22:22" x14ac:dyDescent="0.25">
      <c r="V77" t="s">
        <v>226</v>
      </c>
    </row>
    <row r="78" spans="22:22" x14ac:dyDescent="0.25">
      <c r="V78" s="119"/>
    </row>
  </sheetData>
  <sheetProtection password="F8BD"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BQ101"/>
  <sheetViews>
    <sheetView showGridLines="0" topLeftCell="BI1" zoomScale="75" zoomScaleNormal="75" workbookViewId="0">
      <selection activeCell="BQ82" sqref="BQ82"/>
    </sheetView>
  </sheetViews>
  <sheetFormatPr defaultColWidth="9.140625"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0" customWidth="1"/>
    <col min="6" max="6" width="23.140625" style="120" customWidth="1"/>
    <col min="7" max="8" width="18.42578125" style="120" customWidth="1"/>
    <col min="9" max="9" width="14.7109375" style="120" customWidth="1"/>
    <col min="10" max="10" width="14.140625" style="120" customWidth="1"/>
    <col min="11" max="13" width="14.85546875" style="120" customWidth="1"/>
    <col min="14" max="14" width="15.42578125" style="120" customWidth="1"/>
    <col min="15" max="15" width="16.140625" style="120" customWidth="1"/>
    <col min="16" max="16" width="23.140625" style="120" customWidth="1"/>
    <col min="17" max="18" width="18.42578125" style="120" customWidth="1"/>
    <col min="19" max="19" width="14.7109375" style="120" customWidth="1"/>
    <col min="20" max="20" width="14.140625" style="120" customWidth="1"/>
    <col min="21" max="23" width="14.85546875" style="120" customWidth="1"/>
    <col min="24" max="24" width="15.42578125" style="120" customWidth="1"/>
    <col min="25" max="25" width="16.140625" style="120" customWidth="1"/>
    <col min="26" max="26" width="23.140625" style="120" customWidth="1"/>
    <col min="27" max="28" width="18.42578125" style="120" customWidth="1"/>
    <col min="29" max="29" width="14.7109375" style="120" customWidth="1"/>
    <col min="30" max="30" width="14.140625" style="120" customWidth="1"/>
    <col min="31" max="33" width="14.85546875" style="120" customWidth="1"/>
    <col min="34" max="34" width="15.42578125" style="120" customWidth="1"/>
    <col min="35" max="35" width="16.140625" style="120" customWidth="1"/>
    <col min="36" max="36" width="23.140625" style="120" customWidth="1"/>
    <col min="37" max="41" width="18.42578125" style="120" customWidth="1"/>
    <col min="42" max="42" width="14.7109375" style="120" customWidth="1"/>
    <col min="43" max="43" width="14.140625" style="120" customWidth="1"/>
    <col min="44" max="46" width="14.85546875" style="120" customWidth="1"/>
    <col min="47" max="47" width="15.42578125" style="120" customWidth="1"/>
    <col min="48" max="48" width="16.140625" style="120" customWidth="1"/>
    <col min="49" max="49" width="23.140625" style="120" customWidth="1"/>
    <col min="50" max="54" width="18.42578125" style="120" customWidth="1"/>
    <col min="55" max="55" width="14.7109375" style="120" customWidth="1"/>
    <col min="56" max="56" width="14.140625" style="120" customWidth="1"/>
    <col min="57" max="59" width="14.85546875" style="120" customWidth="1"/>
    <col min="60" max="60" width="15.42578125" style="120" customWidth="1"/>
    <col min="61" max="62" width="14.85546875" style="120" customWidth="1"/>
    <col min="63" max="63" width="16.85546875" style="120" customWidth="1"/>
    <col min="64" max="64" width="17.28515625" style="120" customWidth="1"/>
    <col min="65" max="66" width="26.85546875" style="120" customWidth="1"/>
    <col min="67" max="67" width="22.28515625" style="120" bestFit="1" customWidth="1"/>
    <col min="68" max="68" width="22.42578125" style="120" bestFit="1" customWidth="1"/>
    <col min="69" max="69" width="19.85546875" style="120" customWidth="1"/>
    <col min="70" max="16384" width="9.140625" style="1"/>
  </cols>
  <sheetData>
    <row r="18" spans="1:69" ht="15.75" thickBot="1" x14ac:dyDescent="0.35">
      <c r="C18" s="3"/>
      <c r="BK18" s="195"/>
      <c r="BL18" s="195"/>
      <c r="BM18" s="195"/>
      <c r="BN18" s="195"/>
      <c r="BO18" s="195"/>
    </row>
    <row r="19" spans="1:69" s="123" customFormat="1" ht="29.25" thickBot="1" x14ac:dyDescent="0.5">
      <c r="C19" s="124"/>
      <c r="D19" s="125"/>
      <c r="E19" s="237">
        <v>2009</v>
      </c>
      <c r="F19" s="238"/>
      <c r="G19" s="238"/>
      <c r="H19" s="238"/>
      <c r="I19" s="238"/>
      <c r="J19" s="238"/>
      <c r="K19" s="238"/>
      <c r="L19" s="238"/>
      <c r="M19" s="238"/>
      <c r="N19" s="239"/>
      <c r="O19" s="237">
        <v>2010</v>
      </c>
      <c r="P19" s="238"/>
      <c r="Q19" s="238"/>
      <c r="R19" s="238"/>
      <c r="S19" s="238"/>
      <c r="T19" s="238"/>
      <c r="U19" s="238"/>
      <c r="V19" s="238"/>
      <c r="W19" s="238"/>
      <c r="X19" s="239"/>
      <c r="Y19" s="237">
        <v>2011</v>
      </c>
      <c r="Z19" s="238"/>
      <c r="AA19" s="238"/>
      <c r="AB19" s="238"/>
      <c r="AC19" s="238"/>
      <c r="AD19" s="238"/>
      <c r="AE19" s="238"/>
      <c r="AF19" s="238"/>
      <c r="AG19" s="238"/>
      <c r="AH19" s="239"/>
      <c r="AI19" s="237">
        <v>2012</v>
      </c>
      <c r="AJ19" s="238"/>
      <c r="AK19" s="238"/>
      <c r="AL19" s="238"/>
      <c r="AM19" s="238"/>
      <c r="AN19" s="238"/>
      <c r="AO19" s="238"/>
      <c r="AP19" s="238"/>
      <c r="AQ19" s="238"/>
      <c r="AR19" s="238"/>
      <c r="AS19" s="238"/>
      <c r="AT19" s="238"/>
      <c r="AU19" s="239"/>
      <c r="AV19" s="237">
        <v>2013</v>
      </c>
      <c r="AW19" s="238"/>
      <c r="AX19" s="238"/>
      <c r="AY19" s="238"/>
      <c r="AZ19" s="238"/>
      <c r="BA19" s="238"/>
      <c r="BB19" s="238"/>
      <c r="BC19" s="238"/>
      <c r="BD19" s="238"/>
      <c r="BE19" s="238"/>
      <c r="BF19" s="238"/>
      <c r="BG19" s="238"/>
      <c r="BH19" s="239"/>
      <c r="BI19" s="237">
        <v>2014</v>
      </c>
      <c r="BJ19" s="238"/>
      <c r="BK19" s="238"/>
      <c r="BL19" s="239"/>
      <c r="BM19" s="240" t="s">
        <v>261</v>
      </c>
      <c r="BN19" s="241"/>
      <c r="BO19" s="242"/>
      <c r="BP19" s="126" t="s">
        <v>29</v>
      </c>
      <c r="BQ19" s="127"/>
    </row>
    <row r="20" spans="1:69" ht="14.25" customHeight="1" x14ac:dyDescent="0.2">
      <c r="C20" s="251" t="s">
        <v>24</v>
      </c>
      <c r="D20" s="254" t="s">
        <v>0</v>
      </c>
      <c r="E20" s="234" t="s">
        <v>49</v>
      </c>
      <c r="F20" s="229" t="s">
        <v>65</v>
      </c>
      <c r="G20" s="229" t="s">
        <v>31</v>
      </c>
      <c r="H20" s="229" t="s">
        <v>62</v>
      </c>
      <c r="I20" s="229" t="s">
        <v>14</v>
      </c>
      <c r="J20" s="229" t="s">
        <v>15</v>
      </c>
      <c r="K20" s="229" t="s">
        <v>26</v>
      </c>
      <c r="L20" s="229" t="s">
        <v>31</v>
      </c>
      <c r="M20" s="229" t="s">
        <v>62</v>
      </c>
      <c r="N20" s="226" t="s">
        <v>16</v>
      </c>
      <c r="O20" s="234" t="s">
        <v>50</v>
      </c>
      <c r="P20" s="229" t="s">
        <v>66</v>
      </c>
      <c r="Q20" s="229" t="s">
        <v>32</v>
      </c>
      <c r="R20" s="229" t="s">
        <v>63</v>
      </c>
      <c r="S20" s="229" t="s">
        <v>20</v>
      </c>
      <c r="T20" s="229" t="s">
        <v>21</v>
      </c>
      <c r="U20" s="229" t="s">
        <v>27</v>
      </c>
      <c r="V20" s="229" t="s">
        <v>32</v>
      </c>
      <c r="W20" s="229" t="s">
        <v>63</v>
      </c>
      <c r="X20" s="226" t="s">
        <v>22</v>
      </c>
      <c r="Y20" s="234" t="s">
        <v>52</v>
      </c>
      <c r="Z20" s="229" t="s">
        <v>67</v>
      </c>
      <c r="AA20" s="229" t="s">
        <v>53</v>
      </c>
      <c r="AB20" s="229" t="s">
        <v>63</v>
      </c>
      <c r="AC20" s="229" t="s">
        <v>54</v>
      </c>
      <c r="AD20" s="229" t="s">
        <v>55</v>
      </c>
      <c r="AE20" s="229" t="s">
        <v>56</v>
      </c>
      <c r="AF20" s="229" t="s">
        <v>53</v>
      </c>
      <c r="AG20" s="229" t="s">
        <v>64</v>
      </c>
      <c r="AH20" s="226" t="s">
        <v>57</v>
      </c>
      <c r="AI20" s="234" t="s">
        <v>131</v>
      </c>
      <c r="AJ20" s="229" t="s">
        <v>132</v>
      </c>
      <c r="AK20" s="229" t="s">
        <v>133</v>
      </c>
      <c r="AL20" s="229" t="s">
        <v>134</v>
      </c>
      <c r="AM20" s="229" t="s">
        <v>135</v>
      </c>
      <c r="AN20" s="229" t="s">
        <v>136</v>
      </c>
      <c r="AO20" s="229" t="s">
        <v>137</v>
      </c>
      <c r="AP20" s="229" t="s">
        <v>138</v>
      </c>
      <c r="AQ20" s="229" t="s">
        <v>139</v>
      </c>
      <c r="AR20" s="229" t="s">
        <v>140</v>
      </c>
      <c r="AS20" s="229" t="s">
        <v>133</v>
      </c>
      <c r="AT20" s="229" t="s">
        <v>141</v>
      </c>
      <c r="AU20" s="226" t="s">
        <v>142</v>
      </c>
      <c r="AV20" s="234" t="s">
        <v>245</v>
      </c>
      <c r="AW20" s="229" t="s">
        <v>246</v>
      </c>
      <c r="AX20" s="229" t="s">
        <v>247</v>
      </c>
      <c r="AY20" s="229" t="s">
        <v>248</v>
      </c>
      <c r="AZ20" s="229" t="s">
        <v>249</v>
      </c>
      <c r="BA20" s="229" t="s">
        <v>250</v>
      </c>
      <c r="BB20" s="229" t="s">
        <v>251</v>
      </c>
      <c r="BC20" s="229" t="s">
        <v>253</v>
      </c>
      <c r="BD20" s="229" t="s">
        <v>254</v>
      </c>
      <c r="BE20" s="229" t="s">
        <v>255</v>
      </c>
      <c r="BF20" s="229" t="s">
        <v>247</v>
      </c>
      <c r="BG20" s="229" t="s">
        <v>252</v>
      </c>
      <c r="BH20" s="226" t="s">
        <v>256</v>
      </c>
      <c r="BI20" s="229" t="s">
        <v>257</v>
      </c>
      <c r="BJ20" s="229" t="s">
        <v>258</v>
      </c>
      <c r="BK20" s="246" t="s">
        <v>259</v>
      </c>
      <c r="BL20" s="246" t="s">
        <v>260</v>
      </c>
      <c r="BM20" s="234" t="s">
        <v>262</v>
      </c>
      <c r="BN20" s="229" t="s">
        <v>263</v>
      </c>
      <c r="BO20" s="226" t="s">
        <v>28</v>
      </c>
      <c r="BP20" s="243" t="s">
        <v>264</v>
      </c>
      <c r="BQ20" s="226" t="s">
        <v>265</v>
      </c>
    </row>
    <row r="21" spans="1:69" ht="24.75" customHeight="1" x14ac:dyDescent="0.2">
      <c r="C21" s="252"/>
      <c r="D21" s="255"/>
      <c r="E21" s="235"/>
      <c r="F21" s="232"/>
      <c r="G21" s="230"/>
      <c r="H21" s="230"/>
      <c r="I21" s="230"/>
      <c r="J21" s="232"/>
      <c r="K21" s="230"/>
      <c r="L21" s="230"/>
      <c r="M21" s="230"/>
      <c r="N21" s="227"/>
      <c r="O21" s="235"/>
      <c r="P21" s="232"/>
      <c r="Q21" s="230"/>
      <c r="R21" s="230"/>
      <c r="S21" s="230"/>
      <c r="T21" s="232"/>
      <c r="U21" s="230"/>
      <c r="V21" s="230"/>
      <c r="W21" s="230"/>
      <c r="X21" s="227"/>
      <c r="Y21" s="235"/>
      <c r="Z21" s="232"/>
      <c r="AA21" s="230"/>
      <c r="AB21" s="230"/>
      <c r="AC21" s="230"/>
      <c r="AD21" s="232"/>
      <c r="AE21" s="230"/>
      <c r="AF21" s="230"/>
      <c r="AG21" s="230"/>
      <c r="AH21" s="227"/>
      <c r="AI21" s="235"/>
      <c r="AJ21" s="232"/>
      <c r="AK21" s="230"/>
      <c r="AL21" s="230"/>
      <c r="AM21" s="230"/>
      <c r="AN21" s="230"/>
      <c r="AO21" s="230"/>
      <c r="AP21" s="230"/>
      <c r="AQ21" s="232"/>
      <c r="AR21" s="230"/>
      <c r="AS21" s="230"/>
      <c r="AT21" s="230"/>
      <c r="AU21" s="227"/>
      <c r="AV21" s="235"/>
      <c r="AW21" s="232"/>
      <c r="AX21" s="230"/>
      <c r="AY21" s="230"/>
      <c r="AZ21" s="230"/>
      <c r="BA21" s="230"/>
      <c r="BB21" s="230"/>
      <c r="BC21" s="230"/>
      <c r="BD21" s="232"/>
      <c r="BE21" s="230"/>
      <c r="BF21" s="230"/>
      <c r="BG21" s="230"/>
      <c r="BH21" s="227"/>
      <c r="BI21" s="230"/>
      <c r="BJ21" s="230"/>
      <c r="BK21" s="247"/>
      <c r="BL21" s="247"/>
      <c r="BM21" s="235"/>
      <c r="BN21" s="232"/>
      <c r="BO21" s="227"/>
      <c r="BP21" s="244"/>
      <c r="BQ21" s="227"/>
    </row>
    <row r="22" spans="1:69" ht="36.75" customHeight="1" thickBot="1" x14ac:dyDescent="0.25">
      <c r="B22" s="19"/>
      <c r="C22" s="253"/>
      <c r="D22" s="256"/>
      <c r="E22" s="236"/>
      <c r="F22" s="233"/>
      <c r="G22" s="231"/>
      <c r="H22" s="231"/>
      <c r="I22" s="231"/>
      <c r="J22" s="233"/>
      <c r="K22" s="231"/>
      <c r="L22" s="231"/>
      <c r="M22" s="231"/>
      <c r="N22" s="228"/>
      <c r="O22" s="236"/>
      <c r="P22" s="233"/>
      <c r="Q22" s="231"/>
      <c r="R22" s="231"/>
      <c r="S22" s="231"/>
      <c r="T22" s="233"/>
      <c r="U22" s="231"/>
      <c r="V22" s="231"/>
      <c r="W22" s="231"/>
      <c r="X22" s="228"/>
      <c r="Y22" s="236"/>
      <c r="Z22" s="233"/>
      <c r="AA22" s="231"/>
      <c r="AB22" s="231"/>
      <c r="AC22" s="231"/>
      <c r="AD22" s="233"/>
      <c r="AE22" s="231"/>
      <c r="AF22" s="231"/>
      <c r="AG22" s="231"/>
      <c r="AH22" s="228"/>
      <c r="AI22" s="236"/>
      <c r="AJ22" s="233"/>
      <c r="AK22" s="231"/>
      <c r="AL22" s="231"/>
      <c r="AM22" s="231"/>
      <c r="AN22" s="231"/>
      <c r="AO22" s="231"/>
      <c r="AP22" s="231"/>
      <c r="AQ22" s="233"/>
      <c r="AR22" s="231"/>
      <c r="AS22" s="231"/>
      <c r="AT22" s="231"/>
      <c r="AU22" s="228"/>
      <c r="AV22" s="236"/>
      <c r="AW22" s="233"/>
      <c r="AX22" s="231"/>
      <c r="AY22" s="231"/>
      <c r="AZ22" s="231"/>
      <c r="BA22" s="231"/>
      <c r="BB22" s="231"/>
      <c r="BC22" s="231"/>
      <c r="BD22" s="233"/>
      <c r="BE22" s="231"/>
      <c r="BF22" s="231"/>
      <c r="BG22" s="231"/>
      <c r="BH22" s="228"/>
      <c r="BI22" s="231"/>
      <c r="BJ22" s="231"/>
      <c r="BK22" s="248"/>
      <c r="BL22" s="248"/>
      <c r="BM22" s="236"/>
      <c r="BN22" s="233"/>
      <c r="BO22" s="228" t="s">
        <v>13</v>
      </c>
      <c r="BP22" s="245"/>
      <c r="BQ22" s="228"/>
    </row>
    <row r="23" spans="1:69" s="148" customFormat="1" ht="33.75" customHeight="1" thickBot="1" x14ac:dyDescent="0.25">
      <c r="A23" s="1"/>
      <c r="B23" s="1"/>
      <c r="C23" s="55" t="s">
        <v>37</v>
      </c>
      <c r="D23" s="4"/>
      <c r="E23" s="178"/>
      <c r="F23" s="138"/>
      <c r="G23" s="139"/>
      <c r="H23" s="139"/>
      <c r="I23" s="139"/>
      <c r="J23" s="139"/>
      <c r="K23" s="139"/>
      <c r="L23" s="139"/>
      <c r="M23" s="139"/>
      <c r="N23" s="140"/>
      <c r="O23" s="137"/>
      <c r="P23" s="138"/>
      <c r="Q23" s="139"/>
      <c r="R23" s="139"/>
      <c r="S23" s="139"/>
      <c r="T23" s="139"/>
      <c r="U23" s="139"/>
      <c r="V23" s="139"/>
      <c r="W23" s="139"/>
      <c r="X23" s="140"/>
      <c r="Y23" s="137"/>
      <c r="Z23" s="138"/>
      <c r="AA23" s="139"/>
      <c r="AB23" s="139"/>
      <c r="AC23" s="139"/>
      <c r="AD23" s="139"/>
      <c r="AE23" s="139"/>
      <c r="AF23" s="139"/>
      <c r="AG23" s="139"/>
      <c r="AH23" s="140"/>
      <c r="AI23" s="137"/>
      <c r="AJ23" s="138"/>
      <c r="AK23" s="139"/>
      <c r="AL23" s="139"/>
      <c r="AM23" s="139"/>
      <c r="AN23" s="139"/>
      <c r="AO23" s="139"/>
      <c r="AP23" s="139"/>
      <c r="AQ23" s="139"/>
      <c r="AR23" s="139"/>
      <c r="AS23" s="139"/>
      <c r="AT23" s="139"/>
      <c r="AU23" s="140"/>
      <c r="AV23" s="137"/>
      <c r="AW23" s="138"/>
      <c r="AX23" s="139"/>
      <c r="AY23" s="139"/>
      <c r="AZ23" s="139"/>
      <c r="BA23" s="139"/>
      <c r="BB23" s="139"/>
      <c r="BC23" s="139"/>
      <c r="BD23" s="139"/>
      <c r="BE23" s="139"/>
      <c r="BF23" s="139"/>
      <c r="BG23" s="139"/>
      <c r="BH23" s="140"/>
      <c r="BI23" s="141"/>
      <c r="BJ23" s="142"/>
      <c r="BK23" s="139"/>
      <c r="BL23" s="143"/>
      <c r="BM23" s="144"/>
      <c r="BN23" s="144"/>
      <c r="BO23" s="145"/>
      <c r="BP23" s="146"/>
      <c r="BQ23" s="147"/>
    </row>
    <row r="24" spans="1:69" s="148" customFormat="1" ht="15" customHeight="1" thickBot="1" x14ac:dyDescent="0.25">
      <c r="A24" s="1">
        <v>1</v>
      </c>
      <c r="B24" s="1"/>
      <c r="C24" s="4" t="s">
        <v>39</v>
      </c>
      <c r="D24" s="7">
        <v>1550</v>
      </c>
      <c r="E24" s="179"/>
      <c r="F24" s="150"/>
      <c r="G24" s="150"/>
      <c r="H24" s="150"/>
      <c r="I24" s="151">
        <f>E24+F24-G24+H24</f>
        <v>0</v>
      </c>
      <c r="J24" s="150"/>
      <c r="K24" s="150"/>
      <c r="L24" s="150"/>
      <c r="M24" s="150"/>
      <c r="N24" s="152">
        <f>J24+K24-L24+M24</f>
        <v>0</v>
      </c>
      <c r="O24" s="153">
        <f>I24</f>
        <v>0</v>
      </c>
      <c r="P24" s="150"/>
      <c r="Q24" s="150"/>
      <c r="R24" s="150"/>
      <c r="S24" s="151">
        <f>O24+P24-Q24+R24</f>
        <v>0</v>
      </c>
      <c r="T24" s="154">
        <f>N24</f>
        <v>0</v>
      </c>
      <c r="U24" s="150"/>
      <c r="V24" s="150"/>
      <c r="W24" s="150"/>
      <c r="X24" s="152">
        <f>T24+U24-V24+W24</f>
        <v>0</v>
      </c>
      <c r="Y24" s="153">
        <f>S24</f>
        <v>0</v>
      </c>
      <c r="Z24" s="150"/>
      <c r="AA24" s="150"/>
      <c r="AB24" s="150"/>
      <c r="AC24" s="151">
        <f t="shared" ref="AC24:AC33" si="0">Y24+Z24-AA24+SUM(AB24:AB24)</f>
        <v>0</v>
      </c>
      <c r="AD24" s="154">
        <f t="shared" ref="AD24:AD33" si="1">X24</f>
        <v>0</v>
      </c>
      <c r="AE24" s="150"/>
      <c r="AF24" s="150"/>
      <c r="AG24" s="150"/>
      <c r="AH24" s="152">
        <f>AD24+AE24-AF24+AG24</f>
        <v>0</v>
      </c>
      <c r="AI24" s="153">
        <f>AC24</f>
        <v>0</v>
      </c>
      <c r="AJ24" s="150"/>
      <c r="AK24" s="150"/>
      <c r="AL24" s="150"/>
      <c r="AM24" s="150"/>
      <c r="AN24" s="150"/>
      <c r="AO24" s="150">
        <v>-123432.39000000001</v>
      </c>
      <c r="AP24" s="151">
        <f>AI24+AJ24-AK24+SUM(AL24:AO24)</f>
        <v>-123432.39000000001</v>
      </c>
      <c r="AQ24" s="154">
        <f>AH24</f>
        <v>0</v>
      </c>
      <c r="AR24" s="150"/>
      <c r="AS24" s="150"/>
      <c r="AT24" s="150">
        <v>1663.7900000000009</v>
      </c>
      <c r="AU24" s="152">
        <f>AQ24+AR24-AS24+AT24</f>
        <v>1663.7900000000009</v>
      </c>
      <c r="AV24" s="153">
        <f>AP24</f>
        <v>-123432.39000000001</v>
      </c>
      <c r="AW24" s="150">
        <v>67738.539999999994</v>
      </c>
      <c r="AX24" s="150"/>
      <c r="AY24" s="150"/>
      <c r="AZ24" s="150"/>
      <c r="BA24" s="150"/>
      <c r="BB24" s="150"/>
      <c r="BC24" s="151">
        <f>AV24+AW24-AX24+SUM(AY24:BB24)</f>
        <v>-55693.85000000002</v>
      </c>
      <c r="BD24" s="154">
        <f>AU24</f>
        <v>1663.7900000000009</v>
      </c>
      <c r="BE24" s="150">
        <v>3069.79</v>
      </c>
      <c r="BF24" s="150"/>
      <c r="BG24" s="150"/>
      <c r="BH24" s="152">
        <f>BD24+BE24-BF24+BG24</f>
        <v>4733.5800000000008</v>
      </c>
      <c r="BI24" s="149">
        <v>-123432.33</v>
      </c>
      <c r="BJ24" s="150">
        <v>-755.48</v>
      </c>
      <c r="BK24" s="154">
        <f>BC24-BI24</f>
        <v>67738.479999999981</v>
      </c>
      <c r="BL24" s="155">
        <f>BH24-BJ24</f>
        <v>5489.0600000000013</v>
      </c>
      <c r="BM24" s="156">
        <f>BK24*0.0147</f>
        <v>995.7556559999997</v>
      </c>
      <c r="BN24" s="150">
        <f>BK24*0.0147*4/12</f>
        <v>331.91855199999992</v>
      </c>
      <c r="BO24" s="145">
        <f>SUM(BK24:BN24)</f>
        <v>74555.214207999976</v>
      </c>
      <c r="BP24" s="157">
        <v>-50959.88</v>
      </c>
      <c r="BQ24" s="145">
        <f>BP24-SUM(BC24,BH24)</f>
        <v>0.3900000000212458</v>
      </c>
    </row>
    <row r="25" spans="1:69" s="148" customFormat="1" ht="15" thickBot="1" x14ac:dyDescent="0.25">
      <c r="A25" s="1">
        <v>2</v>
      </c>
      <c r="B25" s="1"/>
      <c r="C25" s="4" t="s">
        <v>244</v>
      </c>
      <c r="D25" s="7">
        <v>1551</v>
      </c>
      <c r="E25" s="181"/>
      <c r="F25" s="162"/>
      <c r="G25" s="162"/>
      <c r="H25" s="162"/>
      <c r="I25" s="151">
        <f t="shared" ref="I25" si="2">E25+F25-G25+H25</f>
        <v>0</v>
      </c>
      <c r="J25" s="150"/>
      <c r="K25" s="150"/>
      <c r="L25" s="150"/>
      <c r="M25" s="150"/>
      <c r="N25" s="152">
        <f t="shared" ref="N25" si="3">J25+K25-L25+M25</f>
        <v>0</v>
      </c>
      <c r="O25" s="153">
        <f t="shared" ref="O25" si="4">I25</f>
        <v>0</v>
      </c>
      <c r="P25" s="150"/>
      <c r="Q25" s="150"/>
      <c r="R25" s="150"/>
      <c r="S25" s="151">
        <f t="shared" ref="S25" si="5">O25+P25-Q25+SUM(R25:R25)</f>
        <v>0</v>
      </c>
      <c r="T25" s="154">
        <f t="shared" ref="T25" si="6">N25</f>
        <v>0</v>
      </c>
      <c r="U25" s="150"/>
      <c r="V25" s="163"/>
      <c r="W25" s="163"/>
      <c r="X25" s="152">
        <f t="shared" ref="X25" si="7">T25+U25-V25+W25</f>
        <v>0</v>
      </c>
      <c r="Y25" s="153">
        <f t="shared" ref="Y25" si="8">S25</f>
        <v>0</v>
      </c>
      <c r="Z25" s="150"/>
      <c r="AA25" s="150"/>
      <c r="AB25" s="150"/>
      <c r="AC25" s="151">
        <f t="shared" ref="AC25" si="9">Y25+Z25-AA25+SUM(AB25:AB25)</f>
        <v>0</v>
      </c>
      <c r="AD25" s="154">
        <f t="shared" ref="AD25" si="10">X25</f>
        <v>0</v>
      </c>
      <c r="AE25" s="150"/>
      <c r="AF25" s="163"/>
      <c r="AG25" s="162"/>
      <c r="AH25" s="152">
        <f t="shared" ref="AH25" si="11">AD25+AE25-AF25+AG25</f>
        <v>0</v>
      </c>
      <c r="AI25" s="153">
        <f t="shared" ref="AI25" si="12">AC25</f>
        <v>0</v>
      </c>
      <c r="AJ25" s="150"/>
      <c r="AK25" s="150"/>
      <c r="AL25" s="150"/>
      <c r="AM25" s="150"/>
      <c r="AN25" s="150"/>
      <c r="AO25" s="150"/>
      <c r="AP25" s="151">
        <f t="shared" ref="AP25" si="13">AI25+AJ25-AK25+SUM(AL25:AO25)</f>
        <v>0</v>
      </c>
      <c r="AQ25" s="154">
        <f t="shared" ref="AQ25" si="14">AH25</f>
        <v>0</v>
      </c>
      <c r="AR25" s="150"/>
      <c r="AS25" s="163"/>
      <c r="AT25" s="162"/>
      <c r="AU25" s="152">
        <f t="shared" ref="AU25" si="15">AQ25+AR25-AS25+AT25</f>
        <v>0</v>
      </c>
      <c r="AV25" s="153">
        <f>AP25</f>
        <v>0</v>
      </c>
      <c r="AW25" s="150">
        <v>36447.160000000003</v>
      </c>
      <c r="AX25" s="150"/>
      <c r="AY25" s="150"/>
      <c r="AZ25" s="150"/>
      <c r="BA25" s="150"/>
      <c r="BB25" s="150"/>
      <c r="BC25" s="151">
        <f>AV25+AW25-AX25+SUM(AY25:BB25)</f>
        <v>36447.160000000003</v>
      </c>
      <c r="BD25" s="154">
        <f>AU25</f>
        <v>0</v>
      </c>
      <c r="BE25" s="150">
        <v>509.07</v>
      </c>
      <c r="BF25" s="163"/>
      <c r="BG25" s="162"/>
      <c r="BH25" s="152">
        <f>BD25+BE25-BF25+BG25</f>
        <v>509.07</v>
      </c>
      <c r="BI25" s="149"/>
      <c r="BJ25" s="150"/>
      <c r="BK25" s="154">
        <f>BC25-BI25</f>
        <v>36447.160000000003</v>
      </c>
      <c r="BL25" s="155">
        <f>BH25-BJ25</f>
        <v>509.07</v>
      </c>
      <c r="BM25" s="156">
        <f t="shared" ref="BM25:BM30" si="16">BK25*0.0147</f>
        <v>535.77325200000007</v>
      </c>
      <c r="BN25" s="150">
        <f t="shared" ref="BN25:BN30" si="17">BK25*0.0147*4/12</f>
        <v>178.59108400000002</v>
      </c>
      <c r="BO25" s="145">
        <f t="shared" ref="BO25" si="18">SUM(BK25:BN25)</f>
        <v>37670.594336000002</v>
      </c>
      <c r="BP25" s="157">
        <v>36956.230000000003</v>
      </c>
      <c r="BQ25" s="145">
        <f>BP25-SUM(BC25,BH25)</f>
        <v>0</v>
      </c>
    </row>
    <row r="26" spans="1:69" s="148" customFormat="1" ht="15" thickBot="1" x14ac:dyDescent="0.25">
      <c r="A26" s="1">
        <v>3</v>
      </c>
      <c r="B26" s="1"/>
      <c r="C26" s="8" t="s">
        <v>1</v>
      </c>
      <c r="D26" s="7">
        <v>1580</v>
      </c>
      <c r="E26" s="179"/>
      <c r="F26" s="150"/>
      <c r="G26" s="150"/>
      <c r="H26" s="150"/>
      <c r="I26" s="151">
        <f t="shared" ref="I26:I32" si="19">E26+F26-G26+H26</f>
        <v>0</v>
      </c>
      <c r="J26" s="150"/>
      <c r="K26" s="150"/>
      <c r="L26" s="150"/>
      <c r="M26" s="150"/>
      <c r="N26" s="152">
        <f t="shared" ref="N26:N32" si="20">J26+K26-L26+M26</f>
        <v>0</v>
      </c>
      <c r="O26" s="153">
        <f t="shared" ref="O26:O32" si="21">I26</f>
        <v>0</v>
      </c>
      <c r="P26" s="150"/>
      <c r="Q26" s="150"/>
      <c r="R26" s="150"/>
      <c r="S26" s="151">
        <f t="shared" ref="S26:S33" si="22">O26+P26-Q26+SUM(R26:R26)</f>
        <v>0</v>
      </c>
      <c r="T26" s="154">
        <f t="shared" ref="T26:T32" si="23">N26</f>
        <v>0</v>
      </c>
      <c r="U26" s="150"/>
      <c r="V26" s="150"/>
      <c r="W26" s="150"/>
      <c r="X26" s="152">
        <f t="shared" ref="X26:X32" si="24">T26+U26-V26+W26</f>
        <v>0</v>
      </c>
      <c r="Y26" s="153">
        <f t="shared" ref="Y26:Y30" si="25">S26</f>
        <v>0</v>
      </c>
      <c r="Z26" s="150"/>
      <c r="AA26" s="150"/>
      <c r="AB26" s="150"/>
      <c r="AC26" s="151">
        <f t="shared" si="0"/>
        <v>0</v>
      </c>
      <c r="AD26" s="154">
        <f t="shared" si="1"/>
        <v>0</v>
      </c>
      <c r="AE26" s="150"/>
      <c r="AF26" s="150"/>
      <c r="AG26" s="150"/>
      <c r="AH26" s="152">
        <f t="shared" ref="AH26:AH32" si="26">AD26+AE26-AF26+AG26</f>
        <v>0</v>
      </c>
      <c r="AI26" s="153">
        <f t="shared" ref="AI26:AI30" si="27">AC26</f>
        <v>0</v>
      </c>
      <c r="AJ26" s="150"/>
      <c r="AK26" s="150"/>
      <c r="AL26" s="150"/>
      <c r="AM26" s="150"/>
      <c r="AN26" s="150"/>
      <c r="AO26" s="150">
        <v>-3164721.7800000003</v>
      </c>
      <c r="AP26" s="151">
        <f t="shared" ref="AP26:AP32" si="28">AI26+AJ26-AK26+SUM(AL26:AO26)</f>
        <v>-3164721.7800000003</v>
      </c>
      <c r="AQ26" s="154">
        <f t="shared" ref="AQ26:AQ30" si="29">AH26</f>
        <v>0</v>
      </c>
      <c r="AR26" s="150"/>
      <c r="AS26" s="150"/>
      <c r="AT26" s="150">
        <v>-29963.11</v>
      </c>
      <c r="AU26" s="152">
        <f t="shared" ref="AU26:AU32" si="30">AQ26+AR26-AS26+AT26</f>
        <v>-29963.11</v>
      </c>
      <c r="AV26" s="153">
        <f t="shared" ref="AV26:AV30" si="31">AP26</f>
        <v>-3164721.7800000003</v>
      </c>
      <c r="AW26" s="150">
        <v>-916481.47</v>
      </c>
      <c r="AX26" s="150"/>
      <c r="AY26" s="150"/>
      <c r="AZ26" s="150"/>
      <c r="BA26" s="150"/>
      <c r="BB26" s="150"/>
      <c r="BC26" s="151">
        <f t="shared" ref="BC26:BC32" si="32">AV26+AW26-AX26+SUM(AY26:BB26)</f>
        <v>-4081203.25</v>
      </c>
      <c r="BD26" s="154">
        <f t="shared" ref="BD26:BD30" si="33">AU26</f>
        <v>-29963.11</v>
      </c>
      <c r="BE26" s="150">
        <v>-40247.65</v>
      </c>
      <c r="BF26" s="150"/>
      <c r="BG26" s="150"/>
      <c r="BH26" s="152">
        <f t="shared" ref="BH26:BH32" si="34">BD26+BE26-BF26+BG26</f>
        <v>-70210.760000000009</v>
      </c>
      <c r="BI26" s="149">
        <v>-3164721.63</v>
      </c>
      <c r="BJ26" s="150">
        <v>-91991.66</v>
      </c>
      <c r="BK26" s="154">
        <f t="shared" ref="BK26:BK35" si="35">BC26-BI26</f>
        <v>-916481.62000000011</v>
      </c>
      <c r="BL26" s="155">
        <f t="shared" ref="BL26:BL35" si="36">BH26-BJ26</f>
        <v>21780.899999999994</v>
      </c>
      <c r="BM26" s="156">
        <f t="shared" si="16"/>
        <v>-13472.279814000001</v>
      </c>
      <c r="BN26" s="150">
        <f t="shared" si="17"/>
        <v>-4490.7599380000001</v>
      </c>
      <c r="BO26" s="145">
        <f t="shared" ref="BO26:BO79" si="37">SUM(BK26:BN26)</f>
        <v>-912663.7597520001</v>
      </c>
      <c r="BP26" s="157">
        <v>-4151413.74</v>
      </c>
      <c r="BQ26" s="145">
        <f t="shared" ref="BQ26:BQ39" si="38">BP26-SUM(BC26,BH26)</f>
        <v>0.26999999955296516</v>
      </c>
    </row>
    <row r="27" spans="1:69" s="148" customFormat="1" ht="15" thickBot="1" x14ac:dyDescent="0.25">
      <c r="A27" s="1">
        <v>4</v>
      </c>
      <c r="B27" s="1"/>
      <c r="C27" s="8" t="s">
        <v>2</v>
      </c>
      <c r="D27" s="7">
        <v>1584</v>
      </c>
      <c r="E27" s="179"/>
      <c r="F27" s="150"/>
      <c r="G27" s="150"/>
      <c r="H27" s="150"/>
      <c r="I27" s="151">
        <f t="shared" si="19"/>
        <v>0</v>
      </c>
      <c r="J27" s="150"/>
      <c r="K27" s="150"/>
      <c r="L27" s="150"/>
      <c r="M27" s="150"/>
      <c r="N27" s="152">
        <f t="shared" si="20"/>
        <v>0</v>
      </c>
      <c r="O27" s="153">
        <f t="shared" si="21"/>
        <v>0</v>
      </c>
      <c r="P27" s="150"/>
      <c r="Q27" s="150"/>
      <c r="R27" s="150"/>
      <c r="S27" s="151">
        <f t="shared" si="22"/>
        <v>0</v>
      </c>
      <c r="T27" s="154">
        <f t="shared" si="23"/>
        <v>0</v>
      </c>
      <c r="U27" s="150"/>
      <c r="V27" s="150"/>
      <c r="W27" s="150"/>
      <c r="X27" s="152">
        <f t="shared" si="24"/>
        <v>0</v>
      </c>
      <c r="Y27" s="153">
        <f t="shared" si="25"/>
        <v>0</v>
      </c>
      <c r="Z27" s="150"/>
      <c r="AA27" s="150"/>
      <c r="AB27" s="150"/>
      <c r="AC27" s="151">
        <f t="shared" si="0"/>
        <v>0</v>
      </c>
      <c r="AD27" s="154">
        <f t="shared" si="1"/>
        <v>0</v>
      </c>
      <c r="AE27" s="150"/>
      <c r="AF27" s="150"/>
      <c r="AG27" s="150"/>
      <c r="AH27" s="152">
        <f t="shared" si="26"/>
        <v>0</v>
      </c>
      <c r="AI27" s="153">
        <f t="shared" si="27"/>
        <v>0</v>
      </c>
      <c r="AJ27" s="150"/>
      <c r="AK27" s="150"/>
      <c r="AL27" s="150"/>
      <c r="AM27" s="150"/>
      <c r="AN27" s="150"/>
      <c r="AO27" s="150">
        <v>876442.76</v>
      </c>
      <c r="AP27" s="151">
        <f t="shared" si="28"/>
        <v>876442.76</v>
      </c>
      <c r="AQ27" s="154">
        <f t="shared" si="29"/>
        <v>0</v>
      </c>
      <c r="AR27" s="150"/>
      <c r="AS27" s="150"/>
      <c r="AT27" s="150">
        <v>10476.729999999996</v>
      </c>
      <c r="AU27" s="152">
        <f t="shared" si="30"/>
        <v>10476.729999999996</v>
      </c>
      <c r="AV27" s="153">
        <f t="shared" si="31"/>
        <v>876442.76</v>
      </c>
      <c r="AW27" s="150">
        <v>606068.4</v>
      </c>
      <c r="AX27" s="150"/>
      <c r="AY27" s="150"/>
      <c r="AZ27" s="150"/>
      <c r="BA27" s="150"/>
      <c r="BB27" s="150"/>
      <c r="BC27" s="151">
        <f t="shared" si="32"/>
        <v>1482511.1600000001</v>
      </c>
      <c r="BD27" s="154">
        <f t="shared" si="33"/>
        <v>10476.729999999996</v>
      </c>
      <c r="BE27" s="150">
        <v>10346.74</v>
      </c>
      <c r="BF27" s="150"/>
      <c r="BG27" s="150"/>
      <c r="BH27" s="152">
        <f t="shared" si="34"/>
        <v>20823.469999999994</v>
      </c>
      <c r="BI27" s="149">
        <v>876442.29</v>
      </c>
      <c r="BJ27" s="150">
        <v>27655.01</v>
      </c>
      <c r="BK27" s="154">
        <f t="shared" si="35"/>
        <v>606068.87000000011</v>
      </c>
      <c r="BL27" s="155">
        <f t="shared" si="36"/>
        <v>-6831.5400000000045</v>
      </c>
      <c r="BM27" s="156">
        <f t="shared" si="16"/>
        <v>8909.2123890000021</v>
      </c>
      <c r="BN27" s="150">
        <f t="shared" si="17"/>
        <v>2969.7374630000008</v>
      </c>
      <c r="BO27" s="145">
        <f t="shared" si="37"/>
        <v>611116.27985200007</v>
      </c>
      <c r="BP27" s="157">
        <v>1503334.65</v>
      </c>
      <c r="BQ27" s="145">
        <f t="shared" si="38"/>
        <v>1.9999999785795808E-2</v>
      </c>
    </row>
    <row r="28" spans="1:69" s="148" customFormat="1" ht="15" thickBot="1" x14ac:dyDescent="0.25">
      <c r="A28" s="1">
        <v>5</v>
      </c>
      <c r="B28" s="1"/>
      <c r="C28" s="8" t="s">
        <v>3</v>
      </c>
      <c r="D28" s="7">
        <v>1586</v>
      </c>
      <c r="E28" s="179"/>
      <c r="F28" s="150"/>
      <c r="G28" s="150"/>
      <c r="H28" s="150"/>
      <c r="I28" s="151">
        <f t="shared" si="19"/>
        <v>0</v>
      </c>
      <c r="J28" s="150"/>
      <c r="K28" s="150"/>
      <c r="L28" s="150"/>
      <c r="M28" s="150"/>
      <c r="N28" s="152">
        <f t="shared" si="20"/>
        <v>0</v>
      </c>
      <c r="O28" s="153">
        <f t="shared" si="21"/>
        <v>0</v>
      </c>
      <c r="P28" s="150"/>
      <c r="Q28" s="150"/>
      <c r="R28" s="150"/>
      <c r="S28" s="151">
        <f t="shared" si="22"/>
        <v>0</v>
      </c>
      <c r="T28" s="154">
        <f t="shared" si="23"/>
        <v>0</v>
      </c>
      <c r="U28" s="150"/>
      <c r="V28" s="150"/>
      <c r="W28" s="150"/>
      <c r="X28" s="152">
        <f t="shared" si="24"/>
        <v>0</v>
      </c>
      <c r="Y28" s="153">
        <f t="shared" si="25"/>
        <v>0</v>
      </c>
      <c r="Z28" s="150"/>
      <c r="AA28" s="150"/>
      <c r="AB28" s="150"/>
      <c r="AC28" s="151">
        <f t="shared" si="0"/>
        <v>0</v>
      </c>
      <c r="AD28" s="154">
        <f t="shared" si="1"/>
        <v>0</v>
      </c>
      <c r="AE28" s="150"/>
      <c r="AF28" s="150"/>
      <c r="AG28" s="150"/>
      <c r="AH28" s="152">
        <f t="shared" si="26"/>
        <v>0</v>
      </c>
      <c r="AI28" s="153">
        <f t="shared" si="27"/>
        <v>0</v>
      </c>
      <c r="AJ28" s="150"/>
      <c r="AK28" s="150"/>
      <c r="AL28" s="150"/>
      <c r="AM28" s="150"/>
      <c r="AN28" s="150"/>
      <c r="AO28" s="150">
        <v>650142.81000000006</v>
      </c>
      <c r="AP28" s="151">
        <f t="shared" si="28"/>
        <v>650142.81000000006</v>
      </c>
      <c r="AQ28" s="154">
        <f t="shared" si="29"/>
        <v>0</v>
      </c>
      <c r="AR28" s="150"/>
      <c r="AS28" s="150"/>
      <c r="AT28" s="150">
        <v>-849.65000000000146</v>
      </c>
      <c r="AU28" s="152">
        <f t="shared" si="30"/>
        <v>-849.65000000000146</v>
      </c>
      <c r="AV28" s="153">
        <f t="shared" si="31"/>
        <v>650142.81000000006</v>
      </c>
      <c r="AW28" s="150">
        <v>394499.5</v>
      </c>
      <c r="AX28" s="150"/>
      <c r="AY28" s="150"/>
      <c r="AZ28" s="150"/>
      <c r="BA28" s="150"/>
      <c r="BB28" s="150"/>
      <c r="BC28" s="151">
        <f t="shared" si="32"/>
        <v>1044642.31</v>
      </c>
      <c r="BD28" s="154">
        <f t="shared" si="33"/>
        <v>-849.65000000000146</v>
      </c>
      <c r="BE28" s="150">
        <v>6818.99</v>
      </c>
      <c r="BF28" s="150"/>
      <c r="BG28" s="150"/>
      <c r="BH28" s="152">
        <f t="shared" si="34"/>
        <v>5969.3399999999983</v>
      </c>
      <c r="BI28" s="149">
        <v>650142.65</v>
      </c>
      <c r="BJ28" s="150">
        <v>11893.15</v>
      </c>
      <c r="BK28" s="154">
        <f t="shared" si="35"/>
        <v>394499.66000000003</v>
      </c>
      <c r="BL28" s="155">
        <f t="shared" si="36"/>
        <v>-5923.8100000000013</v>
      </c>
      <c r="BM28" s="156">
        <f t="shared" si="16"/>
        <v>5799.1450020000002</v>
      </c>
      <c r="BN28" s="150">
        <f t="shared" si="17"/>
        <v>1933.0483340000001</v>
      </c>
      <c r="BO28" s="145">
        <f t="shared" si="37"/>
        <v>396308.043336</v>
      </c>
      <c r="BP28" s="157">
        <v>1050611.18</v>
      </c>
      <c r="BQ28" s="145">
        <f t="shared" si="38"/>
        <v>-0.47000000020489097</v>
      </c>
    </row>
    <row r="29" spans="1:69" s="148" customFormat="1" ht="15" thickBot="1" x14ac:dyDescent="0.25">
      <c r="A29" s="1">
        <v>6</v>
      </c>
      <c r="B29" s="1"/>
      <c r="C29" s="8" t="s">
        <v>75</v>
      </c>
      <c r="D29" s="7">
        <v>1588</v>
      </c>
      <c r="E29" s="179"/>
      <c r="F29" s="150"/>
      <c r="G29" s="150"/>
      <c r="H29" s="150"/>
      <c r="I29" s="151">
        <f t="shared" si="19"/>
        <v>0</v>
      </c>
      <c r="J29" s="150"/>
      <c r="K29" s="150"/>
      <c r="L29" s="150"/>
      <c r="M29" s="150"/>
      <c r="N29" s="152">
        <f t="shared" si="20"/>
        <v>0</v>
      </c>
      <c r="O29" s="153">
        <f t="shared" si="21"/>
        <v>0</v>
      </c>
      <c r="P29" s="150"/>
      <c r="Q29" s="150"/>
      <c r="R29" s="150"/>
      <c r="S29" s="151">
        <f t="shared" si="22"/>
        <v>0</v>
      </c>
      <c r="T29" s="154">
        <f t="shared" si="23"/>
        <v>0</v>
      </c>
      <c r="U29" s="150"/>
      <c r="V29" s="150"/>
      <c r="W29" s="150"/>
      <c r="X29" s="152">
        <f t="shared" si="24"/>
        <v>0</v>
      </c>
      <c r="Y29" s="153">
        <f t="shared" si="25"/>
        <v>0</v>
      </c>
      <c r="Z29" s="150"/>
      <c r="AA29" s="150"/>
      <c r="AB29" s="150"/>
      <c r="AC29" s="151">
        <f t="shared" si="0"/>
        <v>0</v>
      </c>
      <c r="AD29" s="154">
        <f t="shared" si="1"/>
        <v>0</v>
      </c>
      <c r="AE29" s="150"/>
      <c r="AF29" s="150"/>
      <c r="AG29" s="150"/>
      <c r="AH29" s="152">
        <f t="shared" si="26"/>
        <v>0</v>
      </c>
      <c r="AI29" s="153">
        <f t="shared" si="27"/>
        <v>0</v>
      </c>
      <c r="AJ29" s="150"/>
      <c r="AK29" s="150"/>
      <c r="AL29" s="150"/>
      <c r="AM29" s="150"/>
      <c r="AN29" s="150"/>
      <c r="AO29" s="150">
        <v>-4719277.5299999993</v>
      </c>
      <c r="AP29" s="151">
        <f t="shared" si="28"/>
        <v>-4719277.5299999993</v>
      </c>
      <c r="AQ29" s="154">
        <f t="shared" si="29"/>
        <v>0</v>
      </c>
      <c r="AR29" s="150"/>
      <c r="AS29" s="150"/>
      <c r="AT29" s="150">
        <v>-104523.97</v>
      </c>
      <c r="AU29" s="152">
        <f t="shared" si="30"/>
        <v>-104523.97</v>
      </c>
      <c r="AV29" s="153">
        <f t="shared" si="31"/>
        <v>-4719277.5299999993</v>
      </c>
      <c r="AW29" s="150">
        <f>-3215711.61+1665548.28</f>
        <v>-1550163.3299999998</v>
      </c>
      <c r="AX29" s="150"/>
      <c r="AY29" s="150"/>
      <c r="AZ29" s="150"/>
      <c r="BA29" s="150"/>
      <c r="BB29" s="150"/>
      <c r="BC29" s="151">
        <f t="shared" si="32"/>
        <v>-6269440.8599999994</v>
      </c>
      <c r="BD29" s="154">
        <f t="shared" si="33"/>
        <v>-104523.97</v>
      </c>
      <c r="BE29" s="150">
        <v>-100262.72</v>
      </c>
      <c r="BF29" s="150"/>
      <c r="BG29" s="150"/>
      <c r="BH29" s="152">
        <f t="shared" si="34"/>
        <v>-204786.69</v>
      </c>
      <c r="BI29" s="149">
        <f>-5933539.6+1214261.61</f>
        <v>-4719277.9899999993</v>
      </c>
      <c r="BJ29" s="150">
        <v>-197021.81</v>
      </c>
      <c r="BK29" s="154">
        <f t="shared" si="35"/>
        <v>-1550162.87</v>
      </c>
      <c r="BL29" s="155">
        <f t="shared" si="36"/>
        <v>-7764.8800000000047</v>
      </c>
      <c r="BM29" s="156">
        <f t="shared" si="16"/>
        <v>-22787.394189000002</v>
      </c>
      <c r="BN29" s="150">
        <f t="shared" si="17"/>
        <v>-7595.7980630000011</v>
      </c>
      <c r="BO29" s="145">
        <f t="shared" si="37"/>
        <v>-1588310.9422519999</v>
      </c>
      <c r="BP29" s="157">
        <v>-6474228.04</v>
      </c>
      <c r="BQ29" s="145">
        <f t="shared" si="38"/>
        <v>-0.49000000022351742</v>
      </c>
    </row>
    <row r="30" spans="1:69" s="148" customFormat="1" ht="15" thickBot="1" x14ac:dyDescent="0.25">
      <c r="A30" s="1">
        <v>7</v>
      </c>
      <c r="B30" s="1"/>
      <c r="C30" s="8" t="s">
        <v>127</v>
      </c>
      <c r="D30" s="7">
        <v>1589</v>
      </c>
      <c r="E30" s="179"/>
      <c r="F30" s="150"/>
      <c r="G30" s="150"/>
      <c r="H30" s="150"/>
      <c r="I30" s="151">
        <f t="shared" si="19"/>
        <v>0</v>
      </c>
      <c r="J30" s="150"/>
      <c r="K30" s="150"/>
      <c r="L30" s="150"/>
      <c r="M30" s="150"/>
      <c r="N30" s="152">
        <f t="shared" si="20"/>
        <v>0</v>
      </c>
      <c r="O30" s="153">
        <f t="shared" si="21"/>
        <v>0</v>
      </c>
      <c r="P30" s="150"/>
      <c r="Q30" s="150"/>
      <c r="R30" s="150"/>
      <c r="S30" s="151">
        <f t="shared" si="22"/>
        <v>0</v>
      </c>
      <c r="T30" s="154">
        <f t="shared" si="23"/>
        <v>0</v>
      </c>
      <c r="U30" s="150"/>
      <c r="V30" s="150"/>
      <c r="W30" s="150"/>
      <c r="X30" s="152">
        <f t="shared" si="24"/>
        <v>0</v>
      </c>
      <c r="Y30" s="153">
        <f t="shared" si="25"/>
        <v>0</v>
      </c>
      <c r="Z30" s="150"/>
      <c r="AA30" s="150"/>
      <c r="AB30" s="150"/>
      <c r="AC30" s="151">
        <f t="shared" si="0"/>
        <v>0</v>
      </c>
      <c r="AD30" s="154">
        <f t="shared" si="1"/>
        <v>0</v>
      </c>
      <c r="AE30" s="150"/>
      <c r="AF30" s="150"/>
      <c r="AG30" s="150"/>
      <c r="AH30" s="152">
        <f t="shared" si="26"/>
        <v>0</v>
      </c>
      <c r="AI30" s="153">
        <f t="shared" si="27"/>
        <v>0</v>
      </c>
      <c r="AJ30" s="150"/>
      <c r="AK30" s="150"/>
      <c r="AL30" s="150"/>
      <c r="AM30" s="150"/>
      <c r="AN30" s="150"/>
      <c r="AO30" s="150">
        <v>3681340.1799999997</v>
      </c>
      <c r="AP30" s="151">
        <f t="shared" si="28"/>
        <v>3681340.1799999997</v>
      </c>
      <c r="AQ30" s="154">
        <f t="shared" si="29"/>
        <v>0</v>
      </c>
      <c r="AR30" s="150"/>
      <c r="AS30" s="150"/>
      <c r="AT30" s="150">
        <v>42784.259999999995</v>
      </c>
      <c r="AU30" s="152">
        <f t="shared" si="30"/>
        <v>42784.259999999995</v>
      </c>
      <c r="AV30" s="153">
        <f t="shared" si="31"/>
        <v>3681340.1799999997</v>
      </c>
      <c r="AW30" s="150">
        <v>1610240.76</v>
      </c>
      <c r="AX30" s="150"/>
      <c r="AY30" s="150"/>
      <c r="AZ30" s="150"/>
      <c r="BA30" s="150"/>
      <c r="BB30" s="150"/>
      <c r="BC30" s="151">
        <f t="shared" si="32"/>
        <v>5291580.9399999995</v>
      </c>
      <c r="BD30" s="154">
        <f t="shared" si="33"/>
        <v>42784.259999999995</v>
      </c>
      <c r="BE30" s="150">
        <v>12814.17</v>
      </c>
      <c r="BF30" s="150"/>
      <c r="BG30" s="150"/>
      <c r="BH30" s="152">
        <f t="shared" si="34"/>
        <v>55598.429999999993</v>
      </c>
      <c r="BI30" s="149">
        <v>3681340.6</v>
      </c>
      <c r="BJ30" s="150">
        <v>114938.53</v>
      </c>
      <c r="BK30" s="154">
        <f t="shared" si="35"/>
        <v>1610240.3399999994</v>
      </c>
      <c r="BL30" s="155">
        <f t="shared" si="36"/>
        <v>-59340.100000000006</v>
      </c>
      <c r="BM30" s="156">
        <f t="shared" si="16"/>
        <v>23670.532997999991</v>
      </c>
      <c r="BN30" s="150">
        <f t="shared" si="17"/>
        <v>7890.1776659999969</v>
      </c>
      <c r="BO30" s="145">
        <f t="shared" si="37"/>
        <v>1582460.9506639994</v>
      </c>
      <c r="BP30" s="157">
        <v>5347179.5199999996</v>
      </c>
      <c r="BQ30" s="145">
        <f t="shared" si="38"/>
        <v>0.15000000037252903</v>
      </c>
    </row>
    <row r="31" spans="1:69" s="148" customFormat="1" ht="15" thickBot="1" x14ac:dyDescent="0.25">
      <c r="A31" s="1">
        <v>8</v>
      </c>
      <c r="B31" s="1"/>
      <c r="C31" s="9" t="s">
        <v>108</v>
      </c>
      <c r="D31" s="7">
        <v>1595</v>
      </c>
      <c r="E31" s="179"/>
      <c r="F31" s="150"/>
      <c r="G31" s="150"/>
      <c r="H31" s="150"/>
      <c r="I31" s="151">
        <f t="shared" si="19"/>
        <v>0</v>
      </c>
      <c r="J31" s="150"/>
      <c r="K31" s="150"/>
      <c r="L31" s="150"/>
      <c r="M31" s="150"/>
      <c r="N31" s="152">
        <f t="shared" si="20"/>
        <v>0</v>
      </c>
      <c r="O31" s="153">
        <f>I31</f>
        <v>0</v>
      </c>
      <c r="P31" s="150"/>
      <c r="Q31" s="150"/>
      <c r="R31" s="150"/>
      <c r="S31" s="151">
        <f t="shared" si="22"/>
        <v>0</v>
      </c>
      <c r="T31" s="154">
        <f>N31</f>
        <v>0</v>
      </c>
      <c r="U31" s="150"/>
      <c r="V31" s="150"/>
      <c r="W31" s="150"/>
      <c r="X31" s="152">
        <f t="shared" si="24"/>
        <v>0</v>
      </c>
      <c r="Y31" s="153">
        <f>S31</f>
        <v>0</v>
      </c>
      <c r="Z31" s="150"/>
      <c r="AA31" s="150"/>
      <c r="AB31" s="150"/>
      <c r="AC31" s="151">
        <f t="shared" si="0"/>
        <v>0</v>
      </c>
      <c r="AD31" s="154">
        <f t="shared" si="1"/>
        <v>0</v>
      </c>
      <c r="AE31" s="150"/>
      <c r="AF31" s="150"/>
      <c r="AG31" s="150"/>
      <c r="AH31" s="152">
        <f t="shared" si="26"/>
        <v>0</v>
      </c>
      <c r="AI31" s="153">
        <f>AC31</f>
        <v>0</v>
      </c>
      <c r="AJ31" s="150"/>
      <c r="AK31" s="150"/>
      <c r="AL31" s="150"/>
      <c r="AM31" s="150"/>
      <c r="AN31" s="150"/>
      <c r="AO31" s="150"/>
      <c r="AP31" s="151">
        <f t="shared" si="28"/>
        <v>0</v>
      </c>
      <c r="AQ31" s="154">
        <f>AH31</f>
        <v>0</v>
      </c>
      <c r="AR31" s="150"/>
      <c r="AS31" s="150"/>
      <c r="AT31" s="150"/>
      <c r="AU31" s="152">
        <f t="shared" si="30"/>
        <v>0</v>
      </c>
      <c r="AV31" s="153">
        <f>AP31</f>
        <v>0</v>
      </c>
      <c r="AW31" s="150"/>
      <c r="AX31" s="150"/>
      <c r="AY31" s="150"/>
      <c r="AZ31" s="150"/>
      <c r="BA31" s="150"/>
      <c r="BB31" s="150"/>
      <c r="BC31" s="151">
        <f t="shared" si="32"/>
        <v>0</v>
      </c>
      <c r="BD31" s="154">
        <f>AU31</f>
        <v>0</v>
      </c>
      <c r="BE31" s="150"/>
      <c r="BF31" s="150"/>
      <c r="BG31" s="150"/>
      <c r="BH31" s="152">
        <f t="shared" si="34"/>
        <v>0</v>
      </c>
      <c r="BI31" s="149"/>
      <c r="BJ31" s="150"/>
      <c r="BK31" s="154">
        <f t="shared" si="35"/>
        <v>0</v>
      </c>
      <c r="BL31" s="155">
        <f t="shared" si="36"/>
        <v>0</v>
      </c>
      <c r="BM31" s="156"/>
      <c r="BN31" s="150"/>
      <c r="BO31" s="145">
        <f t="shared" si="37"/>
        <v>0</v>
      </c>
      <c r="BP31" s="157"/>
      <c r="BQ31" s="145">
        <f t="shared" si="38"/>
        <v>0</v>
      </c>
    </row>
    <row r="32" spans="1:69" s="148" customFormat="1" ht="15" thickBot="1" x14ac:dyDescent="0.25">
      <c r="A32" s="1">
        <v>9</v>
      </c>
      <c r="B32" s="1"/>
      <c r="C32" s="9" t="s">
        <v>109</v>
      </c>
      <c r="D32" s="7">
        <v>1595</v>
      </c>
      <c r="E32" s="179"/>
      <c r="F32" s="150"/>
      <c r="G32" s="150"/>
      <c r="H32" s="150"/>
      <c r="I32" s="151">
        <f t="shared" si="19"/>
        <v>0</v>
      </c>
      <c r="J32" s="150"/>
      <c r="K32" s="150"/>
      <c r="L32" s="150"/>
      <c r="M32" s="150"/>
      <c r="N32" s="152">
        <f t="shared" si="20"/>
        <v>0</v>
      </c>
      <c r="O32" s="153">
        <f t="shared" si="21"/>
        <v>0</v>
      </c>
      <c r="P32" s="150"/>
      <c r="Q32" s="150"/>
      <c r="R32" s="150"/>
      <c r="S32" s="151">
        <f t="shared" si="22"/>
        <v>0</v>
      </c>
      <c r="T32" s="154">
        <f t="shared" si="23"/>
        <v>0</v>
      </c>
      <c r="U32" s="150"/>
      <c r="V32" s="150"/>
      <c r="W32" s="150"/>
      <c r="X32" s="152">
        <f t="shared" si="24"/>
        <v>0</v>
      </c>
      <c r="Y32" s="153">
        <f>S32</f>
        <v>0</v>
      </c>
      <c r="Z32" s="150"/>
      <c r="AA32" s="150"/>
      <c r="AB32" s="150"/>
      <c r="AC32" s="151">
        <f t="shared" si="0"/>
        <v>0</v>
      </c>
      <c r="AD32" s="154">
        <f t="shared" si="1"/>
        <v>0</v>
      </c>
      <c r="AE32" s="150"/>
      <c r="AF32" s="150"/>
      <c r="AG32" s="150"/>
      <c r="AH32" s="152">
        <f t="shared" si="26"/>
        <v>0</v>
      </c>
      <c r="AI32" s="153">
        <f>AC32</f>
        <v>0</v>
      </c>
      <c r="AJ32" s="150"/>
      <c r="AK32" s="150"/>
      <c r="AL32" s="150"/>
      <c r="AM32" s="150"/>
      <c r="AN32" s="150"/>
      <c r="AO32" s="150"/>
      <c r="AP32" s="151">
        <f t="shared" si="28"/>
        <v>0</v>
      </c>
      <c r="AQ32" s="154">
        <f>AH32</f>
        <v>0</v>
      </c>
      <c r="AR32" s="150"/>
      <c r="AS32" s="150"/>
      <c r="AT32" s="150"/>
      <c r="AU32" s="152">
        <f t="shared" si="30"/>
        <v>0</v>
      </c>
      <c r="AV32" s="153">
        <f>AP32</f>
        <v>0</v>
      </c>
      <c r="AW32" s="150"/>
      <c r="AX32" s="150"/>
      <c r="AY32" s="150"/>
      <c r="AZ32" s="150"/>
      <c r="BA32" s="150"/>
      <c r="BB32" s="150"/>
      <c r="BC32" s="151">
        <f t="shared" si="32"/>
        <v>0</v>
      </c>
      <c r="BD32" s="154">
        <f>AU32</f>
        <v>0</v>
      </c>
      <c r="BE32" s="150"/>
      <c r="BF32" s="150"/>
      <c r="BG32" s="150"/>
      <c r="BH32" s="152">
        <f t="shared" si="34"/>
        <v>0</v>
      </c>
      <c r="BI32" s="149"/>
      <c r="BJ32" s="150"/>
      <c r="BK32" s="154">
        <f t="shared" si="35"/>
        <v>0</v>
      </c>
      <c r="BL32" s="155">
        <f t="shared" si="36"/>
        <v>0</v>
      </c>
      <c r="BM32" s="156"/>
      <c r="BN32" s="150"/>
      <c r="BO32" s="145">
        <f t="shared" si="37"/>
        <v>0</v>
      </c>
      <c r="BP32" s="157"/>
      <c r="BQ32" s="145">
        <f t="shared" si="38"/>
        <v>0</v>
      </c>
    </row>
    <row r="33" spans="1:69" s="148" customFormat="1" ht="15" thickBot="1" x14ac:dyDescent="0.25">
      <c r="A33" s="1">
        <v>10</v>
      </c>
      <c r="B33" s="1"/>
      <c r="C33" s="9" t="s">
        <v>110</v>
      </c>
      <c r="D33" s="7">
        <v>1595</v>
      </c>
      <c r="E33" s="179"/>
      <c r="F33" s="150"/>
      <c r="G33" s="150"/>
      <c r="H33" s="150"/>
      <c r="I33" s="151">
        <f>E33+F33-G33+H33</f>
        <v>0</v>
      </c>
      <c r="J33" s="150"/>
      <c r="K33" s="150"/>
      <c r="L33" s="150"/>
      <c r="M33" s="150"/>
      <c r="N33" s="152">
        <f>J33+K33-L33+M33</f>
        <v>0</v>
      </c>
      <c r="O33" s="153">
        <f>I33</f>
        <v>0</v>
      </c>
      <c r="P33" s="150"/>
      <c r="Q33" s="150"/>
      <c r="R33" s="150"/>
      <c r="S33" s="151">
        <f t="shared" si="22"/>
        <v>0</v>
      </c>
      <c r="T33" s="154">
        <f>N33</f>
        <v>0</v>
      </c>
      <c r="U33" s="150"/>
      <c r="V33" s="150"/>
      <c r="W33" s="150"/>
      <c r="X33" s="152">
        <f>T33+U33-V33+W33</f>
        <v>0</v>
      </c>
      <c r="Y33" s="153">
        <f>S33</f>
        <v>0</v>
      </c>
      <c r="Z33" s="150"/>
      <c r="AA33" s="150"/>
      <c r="AB33" s="150"/>
      <c r="AC33" s="151">
        <f t="shared" si="0"/>
        <v>0</v>
      </c>
      <c r="AD33" s="154">
        <f t="shared" si="1"/>
        <v>0</v>
      </c>
      <c r="AE33" s="150"/>
      <c r="AF33" s="150"/>
      <c r="AG33" s="150"/>
      <c r="AH33" s="152">
        <f>AD33+AE33-AF33+AG33</f>
        <v>0</v>
      </c>
      <c r="AI33" s="153">
        <f>AC33</f>
        <v>0</v>
      </c>
      <c r="AJ33" s="150"/>
      <c r="AK33" s="150"/>
      <c r="AL33" s="150"/>
      <c r="AM33" s="150"/>
      <c r="AN33" s="150"/>
      <c r="AO33" s="150">
        <v>-1776570.1300000001</v>
      </c>
      <c r="AP33" s="151">
        <f>AI33+AJ33-AK33+SUM(AL33:AO33)</f>
        <v>-1776570.1300000001</v>
      </c>
      <c r="AQ33" s="154">
        <f>AH33</f>
        <v>0</v>
      </c>
      <c r="AR33" s="150"/>
      <c r="AS33" s="150"/>
      <c r="AT33" s="150">
        <v>1695251.4300000002</v>
      </c>
      <c r="AU33" s="152">
        <f>AQ33+AR33-AS33+AT33</f>
        <v>1695251.4300000002</v>
      </c>
      <c r="AV33" s="153">
        <f>AP33</f>
        <v>-1776570.1300000001</v>
      </c>
      <c r="AW33" s="150">
        <f>4636.41-194.49</f>
        <v>4441.92</v>
      </c>
      <c r="AX33" s="150"/>
      <c r="AY33" s="150"/>
      <c r="AZ33" s="150"/>
      <c r="BA33" s="150"/>
      <c r="BB33" s="150"/>
      <c r="BC33" s="151">
        <f>AV33+AW33-AX33+SUM(AY33:BB33)</f>
        <v>-1772128.2100000002</v>
      </c>
      <c r="BD33" s="154">
        <f>AU33</f>
        <v>1695251.4300000002</v>
      </c>
      <c r="BE33" s="150">
        <f>-45656.9+5959.72</f>
        <v>-39697.18</v>
      </c>
      <c r="BF33" s="150"/>
      <c r="BG33" s="150"/>
      <c r="BH33" s="152">
        <f>BD33+BE33-BF33+BG33</f>
        <v>1655554.2500000002</v>
      </c>
      <c r="BI33" s="149">
        <f>-11292515.27+9276892.83+1640764.6-1401712.29+4441.92</f>
        <v>-1772128.2099999995</v>
      </c>
      <c r="BJ33" s="150">
        <f>1889663.65-216175.2-17934.2</f>
        <v>1655554.25</v>
      </c>
      <c r="BK33" s="154">
        <f t="shared" si="35"/>
        <v>0</v>
      </c>
      <c r="BL33" s="155">
        <f t="shared" si="36"/>
        <v>0</v>
      </c>
      <c r="BM33" s="156"/>
      <c r="BN33" s="150"/>
      <c r="BO33" s="145">
        <f t="shared" si="37"/>
        <v>0</v>
      </c>
      <c r="BP33" s="157">
        <v>-116573.96</v>
      </c>
      <c r="BQ33" s="145">
        <f t="shared" si="38"/>
        <v>0</v>
      </c>
    </row>
    <row r="34" spans="1:69" s="148" customFormat="1" ht="15" thickBot="1" x14ac:dyDescent="0.25">
      <c r="A34" s="1">
        <v>11</v>
      </c>
      <c r="B34" s="1"/>
      <c r="C34" s="9" t="s">
        <v>227</v>
      </c>
      <c r="D34" s="7">
        <v>1595</v>
      </c>
      <c r="E34" s="179"/>
      <c r="F34" s="150"/>
      <c r="G34" s="150"/>
      <c r="H34" s="150"/>
      <c r="I34" s="151">
        <f>E34+F34-G34+H34</f>
        <v>0</v>
      </c>
      <c r="J34" s="150"/>
      <c r="K34" s="150"/>
      <c r="L34" s="150"/>
      <c r="M34" s="150"/>
      <c r="N34" s="152">
        <f>J34+K34-L34+M34</f>
        <v>0</v>
      </c>
      <c r="O34" s="153">
        <f>I34</f>
        <v>0</v>
      </c>
      <c r="P34" s="150"/>
      <c r="Q34" s="150"/>
      <c r="R34" s="150"/>
      <c r="S34" s="151">
        <f t="shared" ref="S34" si="39">O34+P34-Q34+SUM(R34:R34)</f>
        <v>0</v>
      </c>
      <c r="T34" s="154">
        <f>N34</f>
        <v>0</v>
      </c>
      <c r="U34" s="150"/>
      <c r="V34" s="150"/>
      <c r="W34" s="150"/>
      <c r="X34" s="152">
        <f>T34+U34-V34+W34</f>
        <v>0</v>
      </c>
      <c r="Y34" s="153">
        <f>S34</f>
        <v>0</v>
      </c>
      <c r="Z34" s="150"/>
      <c r="AA34" s="150"/>
      <c r="AB34" s="150"/>
      <c r="AC34" s="151">
        <f t="shared" ref="AC34:AC35" si="40">Y34+Z34-AA34+SUM(AB34:AB34)</f>
        <v>0</v>
      </c>
      <c r="AD34" s="154">
        <f t="shared" ref="AD34:AD35" si="41">X34</f>
        <v>0</v>
      </c>
      <c r="AE34" s="150"/>
      <c r="AF34" s="150"/>
      <c r="AG34" s="150"/>
      <c r="AH34" s="152">
        <f t="shared" ref="AH34:AH35" si="42">AD34+AE34-AF34+AG34</f>
        <v>0</v>
      </c>
      <c r="AI34" s="153">
        <f t="shared" ref="AI34:AI35" si="43">AC34</f>
        <v>0</v>
      </c>
      <c r="AJ34" s="150"/>
      <c r="AK34" s="150"/>
      <c r="AL34" s="150"/>
      <c r="AM34" s="150"/>
      <c r="AN34" s="150"/>
      <c r="AO34" s="150">
        <v>-43770.419999999984</v>
      </c>
      <c r="AP34" s="151">
        <f>AI34+AJ34-AK34+SUM(AL34:AO34)</f>
        <v>-43770.419999999984</v>
      </c>
      <c r="AQ34" s="154">
        <f>AH34</f>
        <v>0</v>
      </c>
      <c r="AR34" s="150"/>
      <c r="AS34" s="150"/>
      <c r="AT34" s="150">
        <v>-64405.03</v>
      </c>
      <c r="AU34" s="152">
        <f>AQ34+AR34-AS34+AT34</f>
        <v>-64405.03</v>
      </c>
      <c r="AV34" s="153">
        <f>AP34</f>
        <v>-43770.419999999984</v>
      </c>
      <c r="AW34" s="150">
        <v>-2160.73</v>
      </c>
      <c r="AX34" s="150"/>
      <c r="AY34" s="150"/>
      <c r="AZ34" s="150"/>
      <c r="BA34" s="150"/>
      <c r="BB34" s="150"/>
      <c r="BC34" s="151">
        <f>AV34+AW34-AX34+SUM(AY34:BB34)</f>
        <v>-45931.149999999987</v>
      </c>
      <c r="BD34" s="154">
        <f>AU34</f>
        <v>-64405.03</v>
      </c>
      <c r="BE34" s="150">
        <f>-2585.9+3408.27</f>
        <v>822.36999999999989</v>
      </c>
      <c r="BF34" s="150"/>
      <c r="BG34" s="150"/>
      <c r="BH34" s="152">
        <f>BD34+BE34-BF34+BG34</f>
        <v>-63582.659999999996</v>
      </c>
      <c r="BI34" s="149">
        <f>-1167600.38+1084837.88+1135691.71-1096699.45-2083.16-1957.08+1879</f>
        <v>-45931.479999999996</v>
      </c>
      <c r="BJ34" s="150">
        <f>-95553.07+30611.85+1136.42+222</f>
        <v>-63582.80000000001</v>
      </c>
      <c r="BK34" s="154">
        <f t="shared" si="35"/>
        <v>0.33000000000902219</v>
      </c>
      <c r="BL34" s="155">
        <f t="shared" si="36"/>
        <v>0.14000000001396984</v>
      </c>
      <c r="BM34" s="156"/>
      <c r="BN34" s="150"/>
      <c r="BO34" s="145">
        <f t="shared" si="37"/>
        <v>0.47000000002299203</v>
      </c>
      <c r="BP34" s="157">
        <v>-109514.03</v>
      </c>
      <c r="BQ34" s="145">
        <f t="shared" si="38"/>
        <v>-0.22000000001571607</v>
      </c>
    </row>
    <row r="35" spans="1:69" s="148" customFormat="1" ht="15" thickBot="1" x14ac:dyDescent="0.25">
      <c r="A35" s="1">
        <v>12</v>
      </c>
      <c r="B35" s="1"/>
      <c r="C35" s="9" t="s">
        <v>274</v>
      </c>
      <c r="D35" s="7">
        <v>1595</v>
      </c>
      <c r="E35" s="179"/>
      <c r="F35" s="150"/>
      <c r="G35" s="150"/>
      <c r="H35" s="150"/>
      <c r="I35" s="151">
        <f>E35+F35-G35+H35</f>
        <v>0</v>
      </c>
      <c r="J35" s="150"/>
      <c r="K35" s="150"/>
      <c r="L35" s="150"/>
      <c r="M35" s="150"/>
      <c r="N35" s="152">
        <f>J35+K35-L35+M35</f>
        <v>0</v>
      </c>
      <c r="O35" s="153">
        <f>I35</f>
        <v>0</v>
      </c>
      <c r="P35" s="150"/>
      <c r="Q35" s="150"/>
      <c r="R35" s="150"/>
      <c r="S35" s="151">
        <f t="shared" ref="S35" si="44">O35+P35-Q35+SUM(R35:R35)</f>
        <v>0</v>
      </c>
      <c r="T35" s="154">
        <f>N35</f>
        <v>0</v>
      </c>
      <c r="U35" s="150"/>
      <c r="V35" s="150"/>
      <c r="W35" s="150"/>
      <c r="X35" s="152">
        <f>T35+U35-V35+W35</f>
        <v>0</v>
      </c>
      <c r="Y35" s="153">
        <f>S35</f>
        <v>0</v>
      </c>
      <c r="Z35" s="150"/>
      <c r="AA35" s="150"/>
      <c r="AB35" s="150"/>
      <c r="AC35" s="151">
        <f t="shared" si="40"/>
        <v>0</v>
      </c>
      <c r="AD35" s="154">
        <f t="shared" si="41"/>
        <v>0</v>
      </c>
      <c r="AE35" s="150"/>
      <c r="AF35" s="150"/>
      <c r="AG35" s="150"/>
      <c r="AH35" s="152">
        <f t="shared" si="42"/>
        <v>0</v>
      </c>
      <c r="AI35" s="153">
        <f t="shared" si="43"/>
        <v>0</v>
      </c>
      <c r="AJ35" s="150"/>
      <c r="AK35" s="150"/>
      <c r="AL35" s="150"/>
      <c r="AM35" s="150"/>
      <c r="AN35" s="150"/>
      <c r="AO35" s="150"/>
      <c r="AP35" s="151">
        <f>AI35+AJ35-AK35+SUM(AL35:AO35)</f>
        <v>0</v>
      </c>
      <c r="AQ35" s="154">
        <f>AH35</f>
        <v>0</v>
      </c>
      <c r="AR35" s="150"/>
      <c r="AS35" s="150"/>
      <c r="AT35" s="150"/>
      <c r="AU35" s="152">
        <f>AQ35+AR35-AS35+AT35</f>
        <v>0</v>
      </c>
      <c r="AV35" s="153">
        <f>AP35</f>
        <v>0</v>
      </c>
      <c r="AW35" s="150"/>
      <c r="AX35" s="150"/>
      <c r="AY35" s="150"/>
      <c r="AZ35" s="150"/>
      <c r="BA35" s="150"/>
      <c r="BB35" s="150"/>
      <c r="BC35" s="151">
        <f>AV35+AW35-AX35+SUM(AY35:BB35)</f>
        <v>0</v>
      </c>
      <c r="BD35" s="154">
        <f>AU35</f>
        <v>0</v>
      </c>
      <c r="BE35" s="150"/>
      <c r="BF35" s="150"/>
      <c r="BG35" s="150"/>
      <c r="BH35" s="152">
        <f>BD35+BE35-BF35+BG35</f>
        <v>0</v>
      </c>
      <c r="BI35" s="149"/>
      <c r="BJ35" s="150"/>
      <c r="BK35" s="154">
        <f t="shared" si="35"/>
        <v>0</v>
      </c>
      <c r="BL35" s="155">
        <f t="shared" si="36"/>
        <v>0</v>
      </c>
      <c r="BM35" s="156"/>
      <c r="BN35" s="150"/>
      <c r="BO35" s="145">
        <f t="shared" si="37"/>
        <v>0</v>
      </c>
      <c r="BP35" s="157"/>
      <c r="BQ35" s="145">
        <f t="shared" si="38"/>
        <v>0</v>
      </c>
    </row>
    <row r="36" spans="1:69" s="148" customFormat="1" ht="15" customHeight="1" x14ac:dyDescent="0.2">
      <c r="A36" s="1"/>
      <c r="B36" s="1"/>
      <c r="C36" s="4"/>
      <c r="D36" s="4"/>
      <c r="E36" s="180"/>
      <c r="F36" s="151"/>
      <c r="G36" s="151"/>
      <c r="H36" s="151"/>
      <c r="I36" s="151"/>
      <c r="J36" s="151"/>
      <c r="K36" s="151"/>
      <c r="L36" s="151"/>
      <c r="M36" s="151"/>
      <c r="N36" s="152"/>
      <c r="O36" s="158"/>
      <c r="P36" s="151"/>
      <c r="Q36" s="151"/>
      <c r="R36" s="151"/>
      <c r="S36" s="151"/>
      <c r="T36" s="151"/>
      <c r="U36" s="151"/>
      <c r="V36" s="151"/>
      <c r="W36" s="151"/>
      <c r="X36" s="152"/>
      <c r="Y36" s="158"/>
      <c r="Z36" s="151"/>
      <c r="AA36" s="151"/>
      <c r="AB36" s="151"/>
      <c r="AC36" s="151"/>
      <c r="AD36" s="151"/>
      <c r="AE36" s="151"/>
      <c r="AF36" s="151"/>
      <c r="AG36" s="151"/>
      <c r="AH36" s="152"/>
      <c r="AI36" s="158"/>
      <c r="AJ36" s="151"/>
      <c r="AK36" s="151"/>
      <c r="AL36" s="151"/>
      <c r="AM36" s="151"/>
      <c r="AN36" s="151"/>
      <c r="AO36" s="151"/>
      <c r="AP36" s="151"/>
      <c r="AQ36" s="151"/>
      <c r="AR36" s="151"/>
      <c r="AS36" s="151"/>
      <c r="AT36" s="151"/>
      <c r="AU36" s="152"/>
      <c r="AV36" s="158"/>
      <c r="AW36" s="151"/>
      <c r="AX36" s="151"/>
      <c r="AY36" s="151"/>
      <c r="AZ36" s="151"/>
      <c r="BA36" s="151"/>
      <c r="BB36" s="151"/>
      <c r="BC36" s="151"/>
      <c r="BD36" s="151"/>
      <c r="BE36" s="151"/>
      <c r="BF36" s="151"/>
      <c r="BG36" s="151"/>
      <c r="BH36" s="152"/>
      <c r="BI36" s="158"/>
      <c r="BJ36" s="151"/>
      <c r="BK36" s="151"/>
      <c r="BL36" s="152"/>
      <c r="BM36" s="144"/>
      <c r="BN36" s="144"/>
      <c r="BO36" s="145"/>
      <c r="BP36" s="146"/>
      <c r="BQ36" s="145"/>
    </row>
    <row r="37" spans="1:69" s="148" customFormat="1" ht="15" x14ac:dyDescent="0.25">
      <c r="A37" s="1"/>
      <c r="B37" s="1"/>
      <c r="C37" s="10" t="s">
        <v>128</v>
      </c>
      <c r="D37" s="10"/>
      <c r="E37" s="180">
        <f t="shared" ref="E37:AJ37" si="45">SUM(E24:E35)</f>
        <v>0</v>
      </c>
      <c r="F37" s="151">
        <f t="shared" si="45"/>
        <v>0</v>
      </c>
      <c r="G37" s="151">
        <f t="shared" si="45"/>
        <v>0</v>
      </c>
      <c r="H37" s="151">
        <f t="shared" si="45"/>
        <v>0</v>
      </c>
      <c r="I37" s="151">
        <f t="shared" si="45"/>
        <v>0</v>
      </c>
      <c r="J37" s="151">
        <f t="shared" si="45"/>
        <v>0</v>
      </c>
      <c r="K37" s="151">
        <f t="shared" si="45"/>
        <v>0</v>
      </c>
      <c r="L37" s="151">
        <f t="shared" si="45"/>
        <v>0</v>
      </c>
      <c r="M37" s="151">
        <f t="shared" si="45"/>
        <v>0</v>
      </c>
      <c r="N37" s="151">
        <f t="shared" si="45"/>
        <v>0</v>
      </c>
      <c r="O37" s="158">
        <f t="shared" si="45"/>
        <v>0</v>
      </c>
      <c r="P37" s="151">
        <f t="shared" si="45"/>
        <v>0</v>
      </c>
      <c r="Q37" s="151">
        <f t="shared" si="45"/>
        <v>0</v>
      </c>
      <c r="R37" s="151">
        <f t="shared" si="45"/>
        <v>0</v>
      </c>
      <c r="S37" s="151">
        <f t="shared" si="45"/>
        <v>0</v>
      </c>
      <c r="T37" s="151">
        <f t="shared" si="45"/>
        <v>0</v>
      </c>
      <c r="U37" s="151">
        <f t="shared" si="45"/>
        <v>0</v>
      </c>
      <c r="V37" s="151">
        <f t="shared" si="45"/>
        <v>0</v>
      </c>
      <c r="W37" s="151">
        <f t="shared" si="45"/>
        <v>0</v>
      </c>
      <c r="X37" s="151">
        <f t="shared" si="45"/>
        <v>0</v>
      </c>
      <c r="Y37" s="158">
        <f t="shared" si="45"/>
        <v>0</v>
      </c>
      <c r="Z37" s="151">
        <f t="shared" si="45"/>
        <v>0</v>
      </c>
      <c r="AA37" s="151">
        <f t="shared" si="45"/>
        <v>0</v>
      </c>
      <c r="AB37" s="151">
        <f t="shared" si="45"/>
        <v>0</v>
      </c>
      <c r="AC37" s="151">
        <f t="shared" si="45"/>
        <v>0</v>
      </c>
      <c r="AD37" s="151">
        <f t="shared" si="45"/>
        <v>0</v>
      </c>
      <c r="AE37" s="151">
        <f t="shared" si="45"/>
        <v>0</v>
      </c>
      <c r="AF37" s="151">
        <f t="shared" si="45"/>
        <v>0</v>
      </c>
      <c r="AG37" s="151">
        <f t="shared" si="45"/>
        <v>0</v>
      </c>
      <c r="AH37" s="151">
        <f t="shared" si="45"/>
        <v>0</v>
      </c>
      <c r="AI37" s="158">
        <f t="shared" si="45"/>
        <v>0</v>
      </c>
      <c r="AJ37" s="151">
        <f t="shared" si="45"/>
        <v>0</v>
      </c>
      <c r="AK37" s="151">
        <f t="shared" ref="AK37:BP37" si="46">SUM(AK24:AK35)</f>
        <v>0</v>
      </c>
      <c r="AL37" s="151">
        <f t="shared" si="46"/>
        <v>0</v>
      </c>
      <c r="AM37" s="151">
        <f t="shared" si="46"/>
        <v>0</v>
      </c>
      <c r="AN37" s="151">
        <f t="shared" si="46"/>
        <v>0</v>
      </c>
      <c r="AO37" s="151">
        <f t="shared" si="46"/>
        <v>-4619846.4999999991</v>
      </c>
      <c r="AP37" s="151">
        <f t="shared" si="46"/>
        <v>-4619846.4999999991</v>
      </c>
      <c r="AQ37" s="151">
        <f t="shared" si="46"/>
        <v>0</v>
      </c>
      <c r="AR37" s="151">
        <f t="shared" si="46"/>
        <v>0</v>
      </c>
      <c r="AS37" s="151">
        <f t="shared" si="46"/>
        <v>0</v>
      </c>
      <c r="AT37" s="151">
        <f t="shared" si="46"/>
        <v>1550434.4500000002</v>
      </c>
      <c r="AU37" s="151">
        <f t="shared" si="46"/>
        <v>1550434.4500000002</v>
      </c>
      <c r="AV37" s="158">
        <f t="shared" si="46"/>
        <v>-4619846.4999999991</v>
      </c>
      <c r="AW37" s="151">
        <f t="shared" si="46"/>
        <v>250630.75000000029</v>
      </c>
      <c r="AX37" s="151">
        <f t="shared" si="46"/>
        <v>0</v>
      </c>
      <c r="AY37" s="151">
        <f t="shared" si="46"/>
        <v>0</v>
      </c>
      <c r="AZ37" s="151">
        <f t="shared" si="46"/>
        <v>0</v>
      </c>
      <c r="BA37" s="151">
        <f t="shared" si="46"/>
        <v>0</v>
      </c>
      <c r="BB37" s="151">
        <f t="shared" si="46"/>
        <v>0</v>
      </c>
      <c r="BC37" s="151">
        <f t="shared" si="46"/>
        <v>-4369215.75</v>
      </c>
      <c r="BD37" s="151">
        <f t="shared" si="46"/>
        <v>1550434.4500000002</v>
      </c>
      <c r="BE37" s="151">
        <f t="shared" si="46"/>
        <v>-145826.42000000001</v>
      </c>
      <c r="BF37" s="151">
        <f t="shared" si="46"/>
        <v>0</v>
      </c>
      <c r="BG37" s="151">
        <f t="shared" si="46"/>
        <v>0</v>
      </c>
      <c r="BH37" s="151">
        <f t="shared" si="46"/>
        <v>1404608.0300000003</v>
      </c>
      <c r="BI37" s="158">
        <f t="shared" si="46"/>
        <v>-4617566.0999999996</v>
      </c>
      <c r="BJ37" s="151">
        <f t="shared" si="46"/>
        <v>1456689.19</v>
      </c>
      <c r="BK37" s="151">
        <f t="shared" si="46"/>
        <v>248350.34999999934</v>
      </c>
      <c r="BL37" s="151">
        <f t="shared" si="46"/>
        <v>-52081.16</v>
      </c>
      <c r="BM37" s="158">
        <f t="shared" si="46"/>
        <v>3650.7452939999894</v>
      </c>
      <c r="BN37" s="151">
        <f t="shared" si="46"/>
        <v>1216.9150979999968</v>
      </c>
      <c r="BO37" s="145">
        <f t="shared" si="46"/>
        <v>201136.85039199964</v>
      </c>
      <c r="BP37" s="158">
        <f t="shared" si="46"/>
        <v>-2964608.0700000008</v>
      </c>
      <c r="BQ37" s="145">
        <f t="shared" si="38"/>
        <v>-0.35000000102445483</v>
      </c>
    </row>
    <row r="38" spans="1:69" s="148" customFormat="1" ht="15" x14ac:dyDescent="0.25">
      <c r="A38" s="1"/>
      <c r="B38" s="1"/>
      <c r="C38" s="10" t="s">
        <v>129</v>
      </c>
      <c r="D38" s="10"/>
      <c r="E38" s="180">
        <f t="shared" ref="E38:BN38" si="47">E37-E39</f>
        <v>0</v>
      </c>
      <c r="F38" s="151">
        <f t="shared" si="47"/>
        <v>0</v>
      </c>
      <c r="G38" s="151">
        <f t="shared" si="47"/>
        <v>0</v>
      </c>
      <c r="H38" s="151">
        <f t="shared" si="47"/>
        <v>0</v>
      </c>
      <c r="I38" s="151">
        <f t="shared" si="47"/>
        <v>0</v>
      </c>
      <c r="J38" s="151">
        <f t="shared" si="47"/>
        <v>0</v>
      </c>
      <c r="K38" s="151">
        <f t="shared" si="47"/>
        <v>0</v>
      </c>
      <c r="L38" s="151">
        <f>L37-L39</f>
        <v>0</v>
      </c>
      <c r="M38" s="151">
        <f>M37-M39</f>
        <v>0</v>
      </c>
      <c r="N38" s="152">
        <f>N37-N39</f>
        <v>0</v>
      </c>
      <c r="O38" s="158">
        <f t="shared" si="47"/>
        <v>0</v>
      </c>
      <c r="P38" s="151">
        <f t="shared" si="47"/>
        <v>0</v>
      </c>
      <c r="Q38" s="151">
        <f t="shared" si="47"/>
        <v>0</v>
      </c>
      <c r="R38" s="151">
        <f t="shared" si="47"/>
        <v>0</v>
      </c>
      <c r="S38" s="151">
        <f t="shared" si="47"/>
        <v>0</v>
      </c>
      <c r="T38" s="151">
        <f t="shared" si="47"/>
        <v>0</v>
      </c>
      <c r="U38" s="151">
        <f t="shared" si="47"/>
        <v>0</v>
      </c>
      <c r="V38" s="151">
        <f t="shared" ref="V38:BL38" si="48">V37-V39</f>
        <v>0</v>
      </c>
      <c r="W38" s="151">
        <f t="shared" si="48"/>
        <v>0</v>
      </c>
      <c r="X38" s="152">
        <f t="shared" si="48"/>
        <v>0</v>
      </c>
      <c r="Y38" s="158">
        <f t="shared" si="48"/>
        <v>0</v>
      </c>
      <c r="Z38" s="151">
        <f t="shared" si="48"/>
        <v>0</v>
      </c>
      <c r="AA38" s="151">
        <f t="shared" si="48"/>
        <v>0</v>
      </c>
      <c r="AB38" s="151">
        <f t="shared" si="48"/>
        <v>0</v>
      </c>
      <c r="AC38" s="151">
        <f t="shared" si="48"/>
        <v>0</v>
      </c>
      <c r="AD38" s="151">
        <f t="shared" si="48"/>
        <v>0</v>
      </c>
      <c r="AE38" s="151">
        <f t="shared" si="48"/>
        <v>0</v>
      </c>
      <c r="AF38" s="151">
        <f t="shared" si="48"/>
        <v>0</v>
      </c>
      <c r="AG38" s="151">
        <f t="shared" si="48"/>
        <v>0</v>
      </c>
      <c r="AH38" s="152">
        <f t="shared" si="48"/>
        <v>0</v>
      </c>
      <c r="AI38" s="158">
        <f t="shared" ref="AI38:AU38" si="49">AI37-AI39</f>
        <v>0</v>
      </c>
      <c r="AJ38" s="151">
        <f t="shared" si="49"/>
        <v>0</v>
      </c>
      <c r="AK38" s="151">
        <f t="shared" si="49"/>
        <v>0</v>
      </c>
      <c r="AL38" s="151">
        <f t="shared" si="49"/>
        <v>0</v>
      </c>
      <c r="AM38" s="151">
        <f t="shared" si="49"/>
        <v>0</v>
      </c>
      <c r="AN38" s="151">
        <f t="shared" si="49"/>
        <v>0</v>
      </c>
      <c r="AO38" s="151">
        <f t="shared" si="49"/>
        <v>-8301186.6799999988</v>
      </c>
      <c r="AP38" s="151">
        <f t="shared" si="49"/>
        <v>-8301186.6799999988</v>
      </c>
      <c r="AQ38" s="151">
        <f t="shared" si="49"/>
        <v>0</v>
      </c>
      <c r="AR38" s="151">
        <f t="shared" si="49"/>
        <v>0</v>
      </c>
      <c r="AS38" s="151">
        <f t="shared" si="49"/>
        <v>0</v>
      </c>
      <c r="AT38" s="151">
        <f t="shared" si="49"/>
        <v>1507650.1900000002</v>
      </c>
      <c r="AU38" s="152">
        <f t="shared" si="49"/>
        <v>1507650.1900000002</v>
      </c>
      <c r="AV38" s="158">
        <f t="shared" ref="AV38:BH38" si="50">AV37-AV39</f>
        <v>-8301186.6799999988</v>
      </c>
      <c r="AW38" s="151">
        <f t="shared" si="50"/>
        <v>-1359610.0099999998</v>
      </c>
      <c r="AX38" s="151">
        <f t="shared" si="50"/>
        <v>0</v>
      </c>
      <c r="AY38" s="151">
        <f t="shared" si="50"/>
        <v>0</v>
      </c>
      <c r="AZ38" s="151">
        <f t="shared" si="50"/>
        <v>0</v>
      </c>
      <c r="BA38" s="151">
        <f t="shared" si="50"/>
        <v>0</v>
      </c>
      <c r="BB38" s="151">
        <f t="shared" si="50"/>
        <v>0</v>
      </c>
      <c r="BC38" s="151">
        <f t="shared" si="50"/>
        <v>-9660796.6899999995</v>
      </c>
      <c r="BD38" s="151">
        <f t="shared" si="50"/>
        <v>1507650.1900000002</v>
      </c>
      <c r="BE38" s="151">
        <f t="shared" si="50"/>
        <v>-158640.59000000003</v>
      </c>
      <c r="BF38" s="151">
        <f t="shared" si="50"/>
        <v>0</v>
      </c>
      <c r="BG38" s="151">
        <f t="shared" si="50"/>
        <v>0</v>
      </c>
      <c r="BH38" s="152">
        <f t="shared" si="50"/>
        <v>1349009.6000000003</v>
      </c>
      <c r="BI38" s="158">
        <f t="shared" si="48"/>
        <v>-8298906.6999999993</v>
      </c>
      <c r="BJ38" s="151">
        <f t="shared" si="48"/>
        <v>1341750.6599999999</v>
      </c>
      <c r="BK38" s="151">
        <f t="shared" si="48"/>
        <v>-1361889.99</v>
      </c>
      <c r="BL38" s="152">
        <f t="shared" si="48"/>
        <v>7258.9400000000023</v>
      </c>
      <c r="BM38" s="151">
        <f t="shared" si="47"/>
        <v>-20019.787704000002</v>
      </c>
      <c r="BN38" s="151">
        <f t="shared" si="47"/>
        <v>-6673.2625680000001</v>
      </c>
      <c r="BO38" s="145">
        <f t="shared" si="37"/>
        <v>-1381324.1002720001</v>
      </c>
      <c r="BP38" s="159">
        <f>BP37-BP39</f>
        <v>-8311787.5899999999</v>
      </c>
      <c r="BQ38" s="145">
        <f t="shared" si="38"/>
        <v>-0.50000000093132257</v>
      </c>
    </row>
    <row r="39" spans="1:69" s="148" customFormat="1" ht="15" x14ac:dyDescent="0.25">
      <c r="A39" s="1"/>
      <c r="B39" s="1"/>
      <c r="C39" s="11" t="str">
        <f>C30</f>
        <v>RSVA - Global Adjustment</v>
      </c>
      <c r="D39" s="12">
        <v>1589</v>
      </c>
      <c r="E39" s="180">
        <f t="shared" ref="E39:AJ39" si="51">E30</f>
        <v>0</v>
      </c>
      <c r="F39" s="151">
        <f t="shared" si="51"/>
        <v>0</v>
      </c>
      <c r="G39" s="151">
        <f t="shared" si="51"/>
        <v>0</v>
      </c>
      <c r="H39" s="151">
        <f t="shared" si="51"/>
        <v>0</v>
      </c>
      <c r="I39" s="151">
        <f t="shared" si="51"/>
        <v>0</v>
      </c>
      <c r="J39" s="151">
        <f t="shared" si="51"/>
        <v>0</v>
      </c>
      <c r="K39" s="151">
        <f t="shared" si="51"/>
        <v>0</v>
      </c>
      <c r="L39" s="151">
        <f t="shared" si="51"/>
        <v>0</v>
      </c>
      <c r="M39" s="151">
        <f t="shared" si="51"/>
        <v>0</v>
      </c>
      <c r="N39" s="152">
        <f t="shared" si="51"/>
        <v>0</v>
      </c>
      <c r="O39" s="158">
        <f t="shared" si="51"/>
        <v>0</v>
      </c>
      <c r="P39" s="151">
        <f t="shared" si="51"/>
        <v>0</v>
      </c>
      <c r="Q39" s="151">
        <f t="shared" si="51"/>
        <v>0</v>
      </c>
      <c r="R39" s="151">
        <f t="shared" si="51"/>
        <v>0</v>
      </c>
      <c r="S39" s="151">
        <f t="shared" si="51"/>
        <v>0</v>
      </c>
      <c r="T39" s="151">
        <f t="shared" si="51"/>
        <v>0</v>
      </c>
      <c r="U39" s="151">
        <f t="shared" si="51"/>
        <v>0</v>
      </c>
      <c r="V39" s="151">
        <f t="shared" si="51"/>
        <v>0</v>
      </c>
      <c r="W39" s="151">
        <f t="shared" si="51"/>
        <v>0</v>
      </c>
      <c r="X39" s="152">
        <f t="shared" si="51"/>
        <v>0</v>
      </c>
      <c r="Y39" s="158">
        <f t="shared" si="51"/>
        <v>0</v>
      </c>
      <c r="Z39" s="151">
        <f t="shared" si="51"/>
        <v>0</v>
      </c>
      <c r="AA39" s="151">
        <f t="shared" si="51"/>
        <v>0</v>
      </c>
      <c r="AB39" s="151">
        <f t="shared" si="51"/>
        <v>0</v>
      </c>
      <c r="AC39" s="151">
        <f t="shared" si="51"/>
        <v>0</v>
      </c>
      <c r="AD39" s="151">
        <f t="shared" si="51"/>
        <v>0</v>
      </c>
      <c r="AE39" s="151">
        <f t="shared" si="51"/>
        <v>0</v>
      </c>
      <c r="AF39" s="151">
        <f t="shared" si="51"/>
        <v>0</v>
      </c>
      <c r="AG39" s="151">
        <f t="shared" si="51"/>
        <v>0</v>
      </c>
      <c r="AH39" s="152">
        <f t="shared" si="51"/>
        <v>0</v>
      </c>
      <c r="AI39" s="158">
        <f t="shared" si="51"/>
        <v>0</v>
      </c>
      <c r="AJ39" s="151">
        <f t="shared" si="51"/>
        <v>0</v>
      </c>
      <c r="AK39" s="151">
        <f t="shared" ref="AK39:BN39" si="52">AK30</f>
        <v>0</v>
      </c>
      <c r="AL39" s="151">
        <f t="shared" si="52"/>
        <v>0</v>
      </c>
      <c r="AM39" s="151">
        <f t="shared" si="52"/>
        <v>0</v>
      </c>
      <c r="AN39" s="151">
        <f t="shared" si="52"/>
        <v>0</v>
      </c>
      <c r="AO39" s="151">
        <f t="shared" si="52"/>
        <v>3681340.1799999997</v>
      </c>
      <c r="AP39" s="151">
        <f t="shared" si="52"/>
        <v>3681340.1799999997</v>
      </c>
      <c r="AQ39" s="151">
        <f t="shared" si="52"/>
        <v>0</v>
      </c>
      <c r="AR39" s="151">
        <f t="shared" si="52"/>
        <v>0</v>
      </c>
      <c r="AS39" s="151">
        <f t="shared" si="52"/>
        <v>0</v>
      </c>
      <c r="AT39" s="151">
        <f t="shared" si="52"/>
        <v>42784.259999999995</v>
      </c>
      <c r="AU39" s="152">
        <f t="shared" si="52"/>
        <v>42784.259999999995</v>
      </c>
      <c r="AV39" s="158">
        <f t="shared" si="52"/>
        <v>3681340.1799999997</v>
      </c>
      <c r="AW39" s="151">
        <f t="shared" si="52"/>
        <v>1610240.76</v>
      </c>
      <c r="AX39" s="151">
        <f t="shared" si="52"/>
        <v>0</v>
      </c>
      <c r="AY39" s="151">
        <f t="shared" si="52"/>
        <v>0</v>
      </c>
      <c r="AZ39" s="151">
        <f t="shared" si="52"/>
        <v>0</v>
      </c>
      <c r="BA39" s="151">
        <f t="shared" si="52"/>
        <v>0</v>
      </c>
      <c r="BB39" s="151">
        <f t="shared" si="52"/>
        <v>0</v>
      </c>
      <c r="BC39" s="151">
        <f t="shared" si="52"/>
        <v>5291580.9399999995</v>
      </c>
      <c r="BD39" s="151">
        <f t="shared" si="52"/>
        <v>42784.259999999995</v>
      </c>
      <c r="BE39" s="151">
        <f t="shared" si="52"/>
        <v>12814.17</v>
      </c>
      <c r="BF39" s="151">
        <f t="shared" si="52"/>
        <v>0</v>
      </c>
      <c r="BG39" s="151">
        <f t="shared" si="52"/>
        <v>0</v>
      </c>
      <c r="BH39" s="152">
        <f t="shared" si="52"/>
        <v>55598.429999999993</v>
      </c>
      <c r="BI39" s="158">
        <f t="shared" si="52"/>
        <v>3681340.6</v>
      </c>
      <c r="BJ39" s="151">
        <f t="shared" si="52"/>
        <v>114938.53</v>
      </c>
      <c r="BK39" s="151">
        <f t="shared" si="52"/>
        <v>1610240.3399999994</v>
      </c>
      <c r="BL39" s="152">
        <f t="shared" si="52"/>
        <v>-59340.100000000006</v>
      </c>
      <c r="BM39" s="151">
        <f t="shared" si="52"/>
        <v>23670.532997999991</v>
      </c>
      <c r="BN39" s="151">
        <f t="shared" si="52"/>
        <v>7890.1776659999969</v>
      </c>
      <c r="BO39" s="145">
        <f t="shared" si="37"/>
        <v>1582460.9506639994</v>
      </c>
      <c r="BP39" s="159">
        <f>BP30</f>
        <v>5347179.5199999996</v>
      </c>
      <c r="BQ39" s="145">
        <f t="shared" si="38"/>
        <v>0.15000000037252903</v>
      </c>
    </row>
    <row r="40" spans="1:69" s="148" customFormat="1" ht="15" x14ac:dyDescent="0.25">
      <c r="A40" s="1"/>
      <c r="B40" s="1"/>
      <c r="C40" s="11"/>
      <c r="D40" s="11"/>
      <c r="E40" s="180"/>
      <c r="F40" s="151"/>
      <c r="G40" s="151"/>
      <c r="H40" s="151"/>
      <c r="I40" s="151"/>
      <c r="J40" s="151"/>
      <c r="K40" s="151"/>
      <c r="L40" s="151"/>
      <c r="M40" s="151"/>
      <c r="N40" s="152"/>
      <c r="O40" s="158"/>
      <c r="P40" s="151"/>
      <c r="Q40" s="151"/>
      <c r="R40" s="151"/>
      <c r="S40" s="151"/>
      <c r="T40" s="151"/>
      <c r="U40" s="151"/>
      <c r="V40" s="151"/>
      <c r="W40" s="151"/>
      <c r="X40" s="152"/>
      <c r="Y40" s="158"/>
      <c r="Z40" s="151"/>
      <c r="AA40" s="151"/>
      <c r="AB40" s="151"/>
      <c r="AC40" s="151"/>
      <c r="AD40" s="151"/>
      <c r="AE40" s="151"/>
      <c r="AF40" s="151"/>
      <c r="AG40" s="151"/>
      <c r="AH40" s="152"/>
      <c r="AI40" s="158"/>
      <c r="AJ40" s="151"/>
      <c r="AK40" s="151"/>
      <c r="AL40" s="151"/>
      <c r="AM40" s="151"/>
      <c r="AN40" s="151"/>
      <c r="AO40" s="151"/>
      <c r="AP40" s="151"/>
      <c r="AQ40" s="151"/>
      <c r="AR40" s="151"/>
      <c r="AS40" s="151"/>
      <c r="AT40" s="151"/>
      <c r="AU40" s="152"/>
      <c r="AV40" s="158"/>
      <c r="AW40" s="151"/>
      <c r="AX40" s="151"/>
      <c r="AY40" s="151"/>
      <c r="AZ40" s="151"/>
      <c r="BA40" s="151"/>
      <c r="BB40" s="151"/>
      <c r="BC40" s="151"/>
      <c r="BD40" s="151"/>
      <c r="BE40" s="151"/>
      <c r="BF40" s="151"/>
      <c r="BG40" s="151"/>
      <c r="BH40" s="152"/>
      <c r="BI40" s="158"/>
      <c r="BJ40" s="151"/>
      <c r="BK40" s="151"/>
      <c r="BL40" s="152"/>
      <c r="BM40" s="144"/>
      <c r="BN40" s="144"/>
      <c r="BO40" s="145"/>
      <c r="BP40" s="146"/>
      <c r="BQ40" s="145"/>
    </row>
    <row r="41" spans="1:69" s="148" customFormat="1" ht="35.450000000000003" customHeight="1" thickBot="1" x14ac:dyDescent="0.3">
      <c r="A41" s="1"/>
      <c r="B41" s="1"/>
      <c r="C41" s="55" t="s">
        <v>38</v>
      </c>
      <c r="D41" s="11"/>
      <c r="E41" s="180"/>
      <c r="F41" s="151"/>
      <c r="G41" s="151"/>
      <c r="H41" s="151"/>
      <c r="I41" s="151"/>
      <c r="J41" s="151"/>
      <c r="K41" s="151"/>
      <c r="L41" s="151"/>
      <c r="M41" s="151"/>
      <c r="N41" s="152"/>
      <c r="O41" s="158"/>
      <c r="P41" s="151"/>
      <c r="Q41" s="151"/>
      <c r="R41" s="151"/>
      <c r="S41" s="151"/>
      <c r="T41" s="151"/>
      <c r="U41" s="151"/>
      <c r="V41" s="151"/>
      <c r="W41" s="151"/>
      <c r="X41" s="152"/>
      <c r="Y41" s="158"/>
      <c r="Z41" s="151"/>
      <c r="AA41" s="151"/>
      <c r="AB41" s="151"/>
      <c r="AC41" s="151"/>
      <c r="AD41" s="151"/>
      <c r="AE41" s="151"/>
      <c r="AF41" s="151"/>
      <c r="AG41" s="151"/>
      <c r="AH41" s="152"/>
      <c r="AI41" s="158"/>
      <c r="AJ41" s="151"/>
      <c r="AK41" s="151"/>
      <c r="AL41" s="151"/>
      <c r="AM41" s="151"/>
      <c r="AN41" s="151"/>
      <c r="AO41" s="151"/>
      <c r="AP41" s="151"/>
      <c r="AQ41" s="151"/>
      <c r="AR41" s="151"/>
      <c r="AS41" s="151"/>
      <c r="AT41" s="151"/>
      <c r="AU41" s="152"/>
      <c r="AV41" s="158"/>
      <c r="AW41" s="151"/>
      <c r="AX41" s="151"/>
      <c r="AY41" s="151"/>
      <c r="AZ41" s="151"/>
      <c r="BA41" s="151"/>
      <c r="BB41" s="151"/>
      <c r="BC41" s="151"/>
      <c r="BD41" s="151"/>
      <c r="BE41" s="151"/>
      <c r="BF41" s="151"/>
      <c r="BG41" s="151"/>
      <c r="BH41" s="152"/>
      <c r="BI41" s="158"/>
      <c r="BJ41" s="151"/>
      <c r="BK41" s="151"/>
      <c r="BL41" s="152"/>
      <c r="BM41" s="144"/>
      <c r="BN41" s="144"/>
      <c r="BO41" s="145"/>
      <c r="BP41" s="146"/>
      <c r="BQ41" s="145"/>
    </row>
    <row r="42" spans="1:69" s="148" customFormat="1" ht="15" thickBot="1" x14ac:dyDescent="0.25">
      <c r="A42" s="1">
        <v>13</v>
      </c>
      <c r="B42" s="1"/>
      <c r="C42" s="4" t="s">
        <v>44</v>
      </c>
      <c r="D42" s="7">
        <v>1508</v>
      </c>
      <c r="E42" s="179"/>
      <c r="F42" s="150"/>
      <c r="G42" s="150"/>
      <c r="H42" s="150">
        <v>299</v>
      </c>
      <c r="I42" s="151">
        <f t="shared" ref="I42:I60" si="53">E42+F42-G42+H42</f>
        <v>299</v>
      </c>
      <c r="J42" s="150"/>
      <c r="K42" s="150">
        <v>0.27</v>
      </c>
      <c r="L42" s="150"/>
      <c r="M42" s="150"/>
      <c r="N42" s="152">
        <f t="shared" ref="N42:N60" si="54">J42+K42-L42+M42</f>
        <v>0.27</v>
      </c>
      <c r="O42" s="153">
        <f t="shared" ref="O42:O55" si="55">I42</f>
        <v>299</v>
      </c>
      <c r="P42" s="150"/>
      <c r="Q42" s="150"/>
      <c r="R42" s="150"/>
      <c r="S42" s="151">
        <f t="shared" ref="S42:S60" si="56">O42+P42-Q42+SUM(R42:R42)</f>
        <v>299</v>
      </c>
      <c r="T42" s="154">
        <f t="shared" ref="T42:T60" si="57">N42</f>
        <v>0.27</v>
      </c>
      <c r="U42" s="150">
        <v>2.4</v>
      </c>
      <c r="V42" s="150"/>
      <c r="W42" s="150"/>
      <c r="X42" s="152">
        <f t="shared" ref="X42:X60" si="58">T42+U42-V42+W42</f>
        <v>2.67</v>
      </c>
      <c r="Y42" s="153">
        <f t="shared" ref="Y42:Y45" si="59">S42</f>
        <v>299</v>
      </c>
      <c r="Z42" s="150">
        <v>10598</v>
      </c>
      <c r="AA42" s="150"/>
      <c r="AB42" s="150"/>
      <c r="AC42" s="151">
        <f t="shared" ref="AC42:AC60" si="60">Y42+Z42-AA42+SUM(AB42:AB42)</f>
        <v>10897</v>
      </c>
      <c r="AD42" s="154">
        <f t="shared" ref="AD42:AD60" si="61">X42</f>
        <v>2.67</v>
      </c>
      <c r="AE42" s="150">
        <v>21.29</v>
      </c>
      <c r="AF42" s="150"/>
      <c r="AG42" s="150"/>
      <c r="AH42" s="152">
        <f t="shared" ref="AH42:AH45" si="62">AD42+AE42-AF42+AG42</f>
        <v>23.96</v>
      </c>
      <c r="AI42" s="153">
        <f t="shared" ref="AI42:AI56" si="63">AC42</f>
        <v>10897</v>
      </c>
      <c r="AJ42" s="150">
        <v>5290</v>
      </c>
      <c r="AK42" s="150"/>
      <c r="AL42" s="150"/>
      <c r="AM42" s="150"/>
      <c r="AN42" s="150"/>
      <c r="AO42" s="150"/>
      <c r="AP42" s="151">
        <f t="shared" ref="AP42:AP43" si="64">AI42+AJ42-AK42+SUM(AL42:AO42)</f>
        <v>16187</v>
      </c>
      <c r="AQ42" s="154">
        <f t="shared" ref="AQ42:AQ43" si="65">AH42</f>
        <v>23.96</v>
      </c>
      <c r="AR42" s="150">
        <v>225.38</v>
      </c>
      <c r="AS42" s="150"/>
      <c r="AT42" s="150"/>
      <c r="AU42" s="152">
        <f t="shared" ref="AU42:AU55" si="66">AQ42+AR42-AS42+AT42</f>
        <v>249.34</v>
      </c>
      <c r="AV42" s="153">
        <f t="shared" ref="AV42:AV56" si="67">AP42</f>
        <v>16187</v>
      </c>
      <c r="AW42" s="150"/>
      <c r="AX42" s="150"/>
      <c r="AY42" s="150"/>
      <c r="AZ42" s="150"/>
      <c r="BA42" s="150"/>
      <c r="BB42" s="150"/>
      <c r="BC42" s="151">
        <f t="shared" ref="BC42:BC43" si="68">AV42+AW42-AX42+SUM(AY42:BB42)</f>
        <v>16187</v>
      </c>
      <c r="BD42" s="154">
        <f t="shared" ref="BD42:BD43" si="69">AU42</f>
        <v>249.34</v>
      </c>
      <c r="BE42" s="150">
        <v>237.95</v>
      </c>
      <c r="BF42" s="150"/>
      <c r="BG42" s="150"/>
      <c r="BH42" s="152">
        <f t="shared" ref="BH42:BH55" si="70">BD42+BE42-BF42+BG42</f>
        <v>487.28999999999996</v>
      </c>
      <c r="BI42" s="149"/>
      <c r="BJ42" s="150"/>
      <c r="BK42" s="154">
        <f t="shared" ref="BK42:BK60" si="71">BC42-BI42</f>
        <v>16187</v>
      </c>
      <c r="BL42" s="155">
        <f t="shared" ref="BL42:BL60" si="72">BH42-BJ42</f>
        <v>487.28999999999996</v>
      </c>
      <c r="BM42" s="156">
        <f>BK42*0.0147</f>
        <v>237.94889999999998</v>
      </c>
      <c r="BN42" s="150">
        <f>BK42*0.0147*4/12</f>
        <v>79.316299999999998</v>
      </c>
      <c r="BO42" s="145">
        <f t="shared" si="37"/>
        <v>16991.555199999999</v>
      </c>
      <c r="BP42" s="157">
        <f>16187+487.3</f>
        <v>16674.3</v>
      </c>
      <c r="BQ42" s="145">
        <f t="shared" ref="BQ42:BQ68" si="73">BP42-SUM(BC42,BH42)</f>
        <v>9.9999999983992893E-3</v>
      </c>
    </row>
    <row r="43" spans="1:69" s="148" customFormat="1" ht="15" thickBot="1" x14ac:dyDescent="0.25">
      <c r="A43" s="1">
        <v>14</v>
      </c>
      <c r="B43" s="1"/>
      <c r="C43" s="4" t="s">
        <v>45</v>
      </c>
      <c r="D43" s="7">
        <v>1508</v>
      </c>
      <c r="E43" s="179"/>
      <c r="F43" s="150"/>
      <c r="G43" s="150"/>
      <c r="H43" s="150">
        <v>4141.3599999999997</v>
      </c>
      <c r="I43" s="151">
        <f>E43+F43-G43+H43</f>
        <v>4141.3599999999997</v>
      </c>
      <c r="J43" s="150"/>
      <c r="K43" s="150">
        <v>7.08</v>
      </c>
      <c r="L43" s="150"/>
      <c r="M43" s="150"/>
      <c r="N43" s="152">
        <f>J43+K43-L43+M43</f>
        <v>7.08</v>
      </c>
      <c r="O43" s="153">
        <f>I43</f>
        <v>4141.3599999999997</v>
      </c>
      <c r="P43" s="150">
        <v>3099.03</v>
      </c>
      <c r="Q43" s="150"/>
      <c r="R43" s="150"/>
      <c r="S43" s="151">
        <f t="shared" si="56"/>
        <v>7240.3899999999994</v>
      </c>
      <c r="T43" s="154">
        <f t="shared" si="57"/>
        <v>7.08</v>
      </c>
      <c r="U43" s="150">
        <v>54</v>
      </c>
      <c r="V43" s="150"/>
      <c r="W43" s="150"/>
      <c r="X43" s="152">
        <f>T43+U43-V43+W43</f>
        <v>61.08</v>
      </c>
      <c r="Y43" s="153">
        <f t="shared" si="59"/>
        <v>7240.3899999999994</v>
      </c>
      <c r="Z43" s="150"/>
      <c r="AA43" s="150">
        <v>4141.3599999999997</v>
      </c>
      <c r="AB43" s="150"/>
      <c r="AC43" s="151">
        <f t="shared" si="60"/>
        <v>3099.0299999999997</v>
      </c>
      <c r="AD43" s="154">
        <f t="shared" si="61"/>
        <v>61.08</v>
      </c>
      <c r="AE43" s="150">
        <f>19.07+AF43</f>
        <v>75.740000000000009</v>
      </c>
      <c r="AF43" s="150">
        <v>56.67</v>
      </c>
      <c r="AG43" s="150"/>
      <c r="AH43" s="152">
        <f t="shared" si="62"/>
        <v>80.149999999999991</v>
      </c>
      <c r="AI43" s="153">
        <f t="shared" si="63"/>
        <v>3099.0299999999997</v>
      </c>
      <c r="AJ43" s="150"/>
      <c r="AK43" s="150"/>
      <c r="AL43" s="150"/>
      <c r="AM43" s="150"/>
      <c r="AN43" s="150"/>
      <c r="AO43" s="150"/>
      <c r="AP43" s="151">
        <f t="shared" si="64"/>
        <v>3099.0299999999997</v>
      </c>
      <c r="AQ43" s="154">
        <f t="shared" si="65"/>
        <v>80.149999999999991</v>
      </c>
      <c r="AR43" s="150">
        <v>45.56</v>
      </c>
      <c r="AS43" s="150"/>
      <c r="AT43" s="150"/>
      <c r="AU43" s="152">
        <f t="shared" si="66"/>
        <v>125.71</v>
      </c>
      <c r="AV43" s="153">
        <f t="shared" si="67"/>
        <v>3099.0299999999997</v>
      </c>
      <c r="AW43" s="150">
        <v>3452.54</v>
      </c>
      <c r="AX43" s="150"/>
      <c r="AY43" s="150"/>
      <c r="AZ43" s="150"/>
      <c r="BA43" s="150"/>
      <c r="BB43" s="150"/>
      <c r="BC43" s="151">
        <f t="shared" si="68"/>
        <v>6551.57</v>
      </c>
      <c r="BD43" s="154">
        <f t="shared" si="69"/>
        <v>125.71</v>
      </c>
      <c r="BE43" s="150">
        <v>63.3</v>
      </c>
      <c r="BF43" s="150"/>
      <c r="BG43" s="150"/>
      <c r="BH43" s="152">
        <f t="shared" si="70"/>
        <v>189.01</v>
      </c>
      <c r="BI43" s="149"/>
      <c r="BJ43" s="150"/>
      <c r="BK43" s="154">
        <f t="shared" si="71"/>
        <v>6551.57</v>
      </c>
      <c r="BL43" s="155">
        <f t="shared" si="72"/>
        <v>189.01</v>
      </c>
      <c r="BM43" s="156">
        <f>BK43*0.0147</f>
        <v>96.308078999999992</v>
      </c>
      <c r="BN43" s="150">
        <f>BK43*0.0147*4/12</f>
        <v>32.102692999999995</v>
      </c>
      <c r="BO43" s="145">
        <f t="shared" si="37"/>
        <v>6868.9907720000001</v>
      </c>
      <c r="BP43" s="157">
        <f>6551.57+189</f>
        <v>6740.57</v>
      </c>
      <c r="BQ43" s="145">
        <f t="shared" si="73"/>
        <v>-1.0000000000218279E-2</v>
      </c>
    </row>
    <row r="44" spans="1:69" s="148" customFormat="1" ht="31.5" thickBot="1" x14ac:dyDescent="0.25">
      <c r="A44" s="1">
        <v>15</v>
      </c>
      <c r="B44" s="1"/>
      <c r="C44" s="31" t="s">
        <v>69</v>
      </c>
      <c r="D44" s="7">
        <v>1508</v>
      </c>
      <c r="E44" s="180"/>
      <c r="F44" s="160"/>
      <c r="G44" s="160"/>
      <c r="H44" s="160"/>
      <c r="I44" s="151"/>
      <c r="J44" s="154"/>
      <c r="K44" s="160"/>
      <c r="L44" s="160"/>
      <c r="M44" s="160"/>
      <c r="N44" s="152"/>
      <c r="O44" s="153"/>
      <c r="P44" s="160"/>
      <c r="Q44" s="160"/>
      <c r="R44" s="160"/>
      <c r="S44" s="151"/>
      <c r="T44" s="154"/>
      <c r="U44" s="160"/>
      <c r="V44" s="160"/>
      <c r="W44" s="160"/>
      <c r="X44" s="152"/>
      <c r="Y44" s="153">
        <f t="shared" si="59"/>
        <v>0</v>
      </c>
      <c r="Z44" s="150"/>
      <c r="AA44" s="150"/>
      <c r="AB44" s="150"/>
      <c r="AC44" s="151">
        <f t="shared" si="60"/>
        <v>0</v>
      </c>
      <c r="AD44" s="154">
        <f t="shared" si="61"/>
        <v>0</v>
      </c>
      <c r="AE44" s="150"/>
      <c r="AF44" s="150"/>
      <c r="AG44" s="150"/>
      <c r="AH44" s="152">
        <f t="shared" si="62"/>
        <v>0</v>
      </c>
      <c r="AI44" s="153">
        <f t="shared" si="63"/>
        <v>0</v>
      </c>
      <c r="AJ44" s="150"/>
      <c r="AK44" s="150"/>
      <c r="AL44" s="150"/>
      <c r="AM44" s="150"/>
      <c r="AN44" s="150"/>
      <c r="AO44" s="150"/>
      <c r="AP44" s="151">
        <f>AI44+AJ44-AK44+SUM(AL44:AO44)</f>
        <v>0</v>
      </c>
      <c r="AQ44" s="154">
        <f>AH44</f>
        <v>0</v>
      </c>
      <c r="AR44" s="150"/>
      <c r="AS44" s="150"/>
      <c r="AT44" s="150"/>
      <c r="AU44" s="152">
        <f t="shared" si="66"/>
        <v>0</v>
      </c>
      <c r="AV44" s="153">
        <f t="shared" si="67"/>
        <v>0</v>
      </c>
      <c r="AW44" s="150"/>
      <c r="AX44" s="150"/>
      <c r="AY44" s="150"/>
      <c r="AZ44" s="150"/>
      <c r="BA44" s="150"/>
      <c r="BB44" s="150"/>
      <c r="BC44" s="151">
        <f>AV44+AW44-AX44+SUM(AY44:BB44)</f>
        <v>0</v>
      </c>
      <c r="BD44" s="154">
        <f>AU44</f>
        <v>0</v>
      </c>
      <c r="BE44" s="150"/>
      <c r="BF44" s="150"/>
      <c r="BG44" s="150"/>
      <c r="BH44" s="152">
        <f t="shared" si="70"/>
        <v>0</v>
      </c>
      <c r="BI44" s="149"/>
      <c r="BJ44" s="150"/>
      <c r="BK44" s="154">
        <f t="shared" si="71"/>
        <v>0</v>
      </c>
      <c r="BL44" s="155">
        <f t="shared" si="72"/>
        <v>0</v>
      </c>
      <c r="BM44" s="156"/>
      <c r="BN44" s="150"/>
      <c r="BO44" s="145">
        <f t="shared" si="37"/>
        <v>0</v>
      </c>
      <c r="BP44" s="157"/>
      <c r="BQ44" s="145">
        <f t="shared" si="73"/>
        <v>0</v>
      </c>
    </row>
    <row r="45" spans="1:69" s="148" customFormat="1" ht="29.25" thickBot="1" x14ac:dyDescent="0.25">
      <c r="A45" s="1">
        <v>16</v>
      </c>
      <c r="B45" s="1"/>
      <c r="C45" s="31" t="s">
        <v>58</v>
      </c>
      <c r="D45" s="7">
        <v>1508</v>
      </c>
      <c r="E45" s="180"/>
      <c r="F45" s="160"/>
      <c r="G45" s="160"/>
      <c r="H45" s="160"/>
      <c r="I45" s="151"/>
      <c r="J45" s="154"/>
      <c r="K45" s="160"/>
      <c r="L45" s="160"/>
      <c r="M45" s="160"/>
      <c r="N45" s="152"/>
      <c r="O45" s="153"/>
      <c r="P45" s="160"/>
      <c r="Q45" s="160"/>
      <c r="R45" s="160"/>
      <c r="S45" s="151"/>
      <c r="T45" s="154"/>
      <c r="U45" s="160"/>
      <c r="V45" s="160"/>
      <c r="W45" s="160"/>
      <c r="X45" s="152"/>
      <c r="Y45" s="153">
        <f t="shared" si="59"/>
        <v>0</v>
      </c>
      <c r="Z45" s="150"/>
      <c r="AA45" s="150"/>
      <c r="AB45" s="150"/>
      <c r="AC45" s="151">
        <f t="shared" si="60"/>
        <v>0</v>
      </c>
      <c r="AD45" s="154">
        <f t="shared" si="61"/>
        <v>0</v>
      </c>
      <c r="AE45" s="150"/>
      <c r="AF45" s="150"/>
      <c r="AG45" s="150"/>
      <c r="AH45" s="152">
        <f t="shared" si="62"/>
        <v>0</v>
      </c>
      <c r="AI45" s="153">
        <f t="shared" si="63"/>
        <v>0</v>
      </c>
      <c r="AJ45" s="150"/>
      <c r="AK45" s="150"/>
      <c r="AL45" s="150"/>
      <c r="AM45" s="150"/>
      <c r="AN45" s="150"/>
      <c r="AO45" s="150"/>
      <c r="AP45" s="151">
        <f>AI45+AJ45-AK45+SUM(AL45:AO45)</f>
        <v>0</v>
      </c>
      <c r="AQ45" s="154">
        <f>AH45</f>
        <v>0</v>
      </c>
      <c r="AR45" s="150"/>
      <c r="AS45" s="150"/>
      <c r="AT45" s="150"/>
      <c r="AU45" s="152">
        <f t="shared" si="66"/>
        <v>0</v>
      </c>
      <c r="AV45" s="153">
        <f t="shared" si="67"/>
        <v>0</v>
      </c>
      <c r="AW45" s="150"/>
      <c r="AX45" s="150"/>
      <c r="AY45" s="150"/>
      <c r="AZ45" s="150"/>
      <c r="BA45" s="150"/>
      <c r="BB45" s="150"/>
      <c r="BC45" s="151">
        <f>AV45+AW45-AX45+SUM(AY45:BB45)</f>
        <v>0</v>
      </c>
      <c r="BD45" s="154">
        <f>AU45</f>
        <v>0</v>
      </c>
      <c r="BE45" s="150"/>
      <c r="BF45" s="150"/>
      <c r="BG45" s="150"/>
      <c r="BH45" s="152">
        <f t="shared" si="70"/>
        <v>0</v>
      </c>
      <c r="BI45" s="149"/>
      <c r="BJ45" s="150"/>
      <c r="BK45" s="154">
        <f t="shared" si="71"/>
        <v>0</v>
      </c>
      <c r="BL45" s="155">
        <f t="shared" si="72"/>
        <v>0</v>
      </c>
      <c r="BM45" s="156"/>
      <c r="BN45" s="150"/>
      <c r="BO45" s="145">
        <f t="shared" si="37"/>
        <v>0</v>
      </c>
      <c r="BP45" s="157"/>
      <c r="BQ45" s="145">
        <f t="shared" si="73"/>
        <v>0</v>
      </c>
    </row>
    <row r="46" spans="1:69" s="148" customFormat="1" ht="17.25" thickBot="1" x14ac:dyDescent="0.25">
      <c r="A46" s="1">
        <v>17</v>
      </c>
      <c r="B46" s="1"/>
      <c r="C46" s="4" t="s">
        <v>68</v>
      </c>
      <c r="D46" s="7">
        <v>1508</v>
      </c>
      <c r="E46" s="179"/>
      <c r="F46" s="150"/>
      <c r="G46" s="150"/>
      <c r="H46" s="150"/>
      <c r="I46" s="151">
        <f t="shared" si="53"/>
        <v>0</v>
      </c>
      <c r="J46" s="150"/>
      <c r="K46" s="150"/>
      <c r="L46" s="150"/>
      <c r="M46" s="150"/>
      <c r="N46" s="152">
        <f t="shared" si="54"/>
        <v>0</v>
      </c>
      <c r="O46" s="153">
        <f t="shared" si="55"/>
        <v>0</v>
      </c>
      <c r="P46" s="150"/>
      <c r="Q46" s="150"/>
      <c r="R46" s="150"/>
      <c r="S46" s="151">
        <f t="shared" si="56"/>
        <v>0</v>
      </c>
      <c r="T46" s="154">
        <f t="shared" si="57"/>
        <v>0</v>
      </c>
      <c r="U46" s="150"/>
      <c r="V46" s="150"/>
      <c r="W46" s="150"/>
      <c r="X46" s="152">
        <f t="shared" si="58"/>
        <v>0</v>
      </c>
      <c r="Y46" s="153">
        <f t="shared" ref="Y46:Y56" si="74">S46</f>
        <v>0</v>
      </c>
      <c r="Z46" s="150"/>
      <c r="AA46" s="150"/>
      <c r="AB46" s="150"/>
      <c r="AC46" s="151">
        <f t="shared" si="60"/>
        <v>0</v>
      </c>
      <c r="AD46" s="154">
        <f t="shared" si="61"/>
        <v>0</v>
      </c>
      <c r="AE46" s="150"/>
      <c r="AF46" s="150"/>
      <c r="AG46" s="150"/>
      <c r="AH46" s="152">
        <f t="shared" ref="AH46:AH55" si="75">AD46+AE46-AF46+AG46</f>
        <v>0</v>
      </c>
      <c r="AI46" s="153">
        <f t="shared" si="63"/>
        <v>0</v>
      </c>
      <c r="AJ46" s="150"/>
      <c r="AK46" s="150"/>
      <c r="AL46" s="150"/>
      <c r="AM46" s="150"/>
      <c r="AN46" s="150"/>
      <c r="AO46" s="150"/>
      <c r="AP46" s="151">
        <f t="shared" ref="AP46:AP55" si="76">AI46+AJ46-AK46+SUM(AL46:AO46)</f>
        <v>0</v>
      </c>
      <c r="AQ46" s="154">
        <f t="shared" ref="AQ46:AQ55" si="77">AH46</f>
        <v>0</v>
      </c>
      <c r="AR46" s="150"/>
      <c r="AS46" s="150"/>
      <c r="AT46" s="150"/>
      <c r="AU46" s="152">
        <f t="shared" si="66"/>
        <v>0</v>
      </c>
      <c r="AV46" s="153">
        <f t="shared" si="67"/>
        <v>0</v>
      </c>
      <c r="AW46" s="150"/>
      <c r="AX46" s="150"/>
      <c r="AY46" s="150"/>
      <c r="AZ46" s="150"/>
      <c r="BA46" s="150"/>
      <c r="BB46" s="150"/>
      <c r="BC46" s="151">
        <f t="shared" ref="BC46:BC55" si="78">AV46+AW46-AX46+SUM(AY46:BB46)</f>
        <v>0</v>
      </c>
      <c r="BD46" s="154">
        <f t="shared" ref="BD46:BD55" si="79">AU46</f>
        <v>0</v>
      </c>
      <c r="BE46" s="150"/>
      <c r="BF46" s="150"/>
      <c r="BG46" s="150"/>
      <c r="BH46" s="152">
        <f t="shared" si="70"/>
        <v>0</v>
      </c>
      <c r="BI46" s="149"/>
      <c r="BJ46" s="150"/>
      <c r="BK46" s="154">
        <f t="shared" si="71"/>
        <v>0</v>
      </c>
      <c r="BL46" s="155">
        <f t="shared" si="72"/>
        <v>0</v>
      </c>
      <c r="BM46" s="156"/>
      <c r="BN46" s="150"/>
      <c r="BO46" s="145">
        <f t="shared" si="37"/>
        <v>0</v>
      </c>
      <c r="BP46" s="157"/>
      <c r="BQ46" s="145">
        <f t="shared" si="73"/>
        <v>0</v>
      </c>
    </row>
    <row r="47" spans="1:69" s="148" customFormat="1" ht="15" thickBot="1" x14ac:dyDescent="0.25">
      <c r="A47" s="1">
        <v>18</v>
      </c>
      <c r="B47" s="1"/>
      <c r="C47" s="4" t="s">
        <v>4</v>
      </c>
      <c r="D47" s="7">
        <v>1518</v>
      </c>
      <c r="E47" s="179"/>
      <c r="F47" s="150"/>
      <c r="G47" s="150"/>
      <c r="H47" s="150">
        <v>463917.08999999985</v>
      </c>
      <c r="I47" s="151">
        <f t="shared" si="53"/>
        <v>463917.08999999985</v>
      </c>
      <c r="J47" s="150"/>
      <c r="K47" s="150"/>
      <c r="L47" s="150"/>
      <c r="M47" s="150"/>
      <c r="N47" s="152">
        <f t="shared" si="54"/>
        <v>0</v>
      </c>
      <c r="O47" s="153">
        <f t="shared" si="55"/>
        <v>463917.08999999985</v>
      </c>
      <c r="P47" s="150">
        <v>45422.14</v>
      </c>
      <c r="Q47" s="150"/>
      <c r="R47" s="150"/>
      <c r="S47" s="151">
        <f t="shared" si="56"/>
        <v>509339.22999999986</v>
      </c>
      <c r="T47" s="154">
        <f t="shared" si="57"/>
        <v>0</v>
      </c>
      <c r="U47" s="150"/>
      <c r="V47" s="150"/>
      <c r="W47" s="150"/>
      <c r="X47" s="152">
        <f t="shared" si="58"/>
        <v>0</v>
      </c>
      <c r="Y47" s="153">
        <f t="shared" si="74"/>
        <v>509339.22999999986</v>
      </c>
      <c r="Z47" s="150">
        <f>-434425.96+360.28+AA47</f>
        <v>29851.409999999974</v>
      </c>
      <c r="AA47" s="150">
        <f>464277.37-360.28</f>
        <v>463917.08999999997</v>
      </c>
      <c r="AB47" s="150"/>
      <c r="AC47" s="151">
        <f t="shared" si="60"/>
        <v>75273.54999999993</v>
      </c>
      <c r="AD47" s="154">
        <f t="shared" si="61"/>
        <v>0</v>
      </c>
      <c r="AE47" s="150"/>
      <c r="AF47" s="150"/>
      <c r="AG47" s="150"/>
      <c r="AH47" s="152">
        <f t="shared" si="75"/>
        <v>0</v>
      </c>
      <c r="AI47" s="153">
        <f t="shared" si="63"/>
        <v>75273.54999999993</v>
      </c>
      <c r="AJ47" s="150">
        <v>33782.519999999997</v>
      </c>
      <c r="AK47" s="150"/>
      <c r="AL47" s="150"/>
      <c r="AM47" s="150"/>
      <c r="AN47" s="150"/>
      <c r="AO47" s="150"/>
      <c r="AP47" s="151">
        <f t="shared" si="76"/>
        <v>109056.06999999992</v>
      </c>
      <c r="AQ47" s="154">
        <f t="shared" si="77"/>
        <v>0</v>
      </c>
      <c r="AR47" s="150"/>
      <c r="AS47" s="150"/>
      <c r="AT47" s="150"/>
      <c r="AU47" s="152">
        <f t="shared" si="66"/>
        <v>0</v>
      </c>
      <c r="AV47" s="153">
        <f t="shared" si="67"/>
        <v>109056.06999999992</v>
      </c>
      <c r="AW47" s="150">
        <v>29697.16</v>
      </c>
      <c r="AX47" s="150"/>
      <c r="AY47" s="150"/>
      <c r="AZ47" s="150"/>
      <c r="BA47" s="150"/>
      <c r="BB47" s="150"/>
      <c r="BC47" s="151">
        <f t="shared" si="78"/>
        <v>138753.22999999992</v>
      </c>
      <c r="BD47" s="154">
        <f t="shared" si="79"/>
        <v>0</v>
      </c>
      <c r="BE47" s="150"/>
      <c r="BF47" s="150"/>
      <c r="BG47" s="150"/>
      <c r="BH47" s="152">
        <f t="shared" si="70"/>
        <v>0</v>
      </c>
      <c r="BI47" s="149"/>
      <c r="BJ47" s="150"/>
      <c r="BK47" s="154">
        <f t="shared" si="71"/>
        <v>138753.22999999992</v>
      </c>
      <c r="BL47" s="155">
        <f t="shared" si="72"/>
        <v>0</v>
      </c>
      <c r="BM47" s="156"/>
      <c r="BN47" s="150"/>
      <c r="BO47" s="145">
        <f t="shared" si="37"/>
        <v>138753.22999999992</v>
      </c>
      <c r="BP47" s="157">
        <v>138753.23000000001</v>
      </c>
      <c r="BQ47" s="145">
        <f t="shared" si="73"/>
        <v>0</v>
      </c>
    </row>
    <row r="48" spans="1:69" s="148" customFormat="1" ht="15" thickBot="1" x14ac:dyDescent="0.25">
      <c r="A48" s="1">
        <v>19</v>
      </c>
      <c r="B48" s="1"/>
      <c r="C48" s="4" t="s">
        <v>9</v>
      </c>
      <c r="D48" s="7">
        <v>1525</v>
      </c>
      <c r="E48" s="181"/>
      <c r="F48" s="162"/>
      <c r="G48" s="162"/>
      <c r="H48" s="162"/>
      <c r="I48" s="151">
        <f t="shared" si="53"/>
        <v>0</v>
      </c>
      <c r="J48" s="162"/>
      <c r="K48" s="162"/>
      <c r="L48" s="162"/>
      <c r="M48" s="162"/>
      <c r="N48" s="152">
        <f t="shared" si="54"/>
        <v>0</v>
      </c>
      <c r="O48" s="153">
        <f t="shared" si="55"/>
        <v>0</v>
      </c>
      <c r="P48" s="150"/>
      <c r="Q48" s="150"/>
      <c r="R48" s="150"/>
      <c r="S48" s="151">
        <f t="shared" si="56"/>
        <v>0</v>
      </c>
      <c r="T48" s="154">
        <f t="shared" si="57"/>
        <v>0</v>
      </c>
      <c r="U48" s="150"/>
      <c r="V48" s="162"/>
      <c r="W48" s="162"/>
      <c r="X48" s="152">
        <f t="shared" si="58"/>
        <v>0</v>
      </c>
      <c r="Y48" s="153">
        <f t="shared" si="74"/>
        <v>0</v>
      </c>
      <c r="Z48" s="150"/>
      <c r="AA48" s="150"/>
      <c r="AB48" s="150"/>
      <c r="AC48" s="151">
        <f t="shared" si="60"/>
        <v>0</v>
      </c>
      <c r="AD48" s="154">
        <f t="shared" si="61"/>
        <v>0</v>
      </c>
      <c r="AE48" s="150"/>
      <c r="AF48" s="162"/>
      <c r="AG48" s="162"/>
      <c r="AH48" s="152">
        <f t="shared" si="75"/>
        <v>0</v>
      </c>
      <c r="AI48" s="153">
        <f t="shared" si="63"/>
        <v>0</v>
      </c>
      <c r="AJ48" s="150"/>
      <c r="AK48" s="150"/>
      <c r="AL48" s="150"/>
      <c r="AM48" s="150"/>
      <c r="AN48" s="150"/>
      <c r="AO48" s="150"/>
      <c r="AP48" s="151">
        <f t="shared" si="76"/>
        <v>0</v>
      </c>
      <c r="AQ48" s="154">
        <f t="shared" si="77"/>
        <v>0</v>
      </c>
      <c r="AR48" s="150"/>
      <c r="AS48" s="162"/>
      <c r="AT48" s="162"/>
      <c r="AU48" s="152">
        <f t="shared" si="66"/>
        <v>0</v>
      </c>
      <c r="AV48" s="153">
        <f t="shared" si="67"/>
        <v>0</v>
      </c>
      <c r="AW48" s="150"/>
      <c r="AX48" s="150"/>
      <c r="AY48" s="150"/>
      <c r="AZ48" s="150"/>
      <c r="BA48" s="150"/>
      <c r="BB48" s="150"/>
      <c r="BC48" s="151">
        <f t="shared" si="78"/>
        <v>0</v>
      </c>
      <c r="BD48" s="154">
        <f t="shared" si="79"/>
        <v>0</v>
      </c>
      <c r="BE48" s="150"/>
      <c r="BF48" s="162"/>
      <c r="BG48" s="162"/>
      <c r="BH48" s="152">
        <f t="shared" si="70"/>
        <v>0</v>
      </c>
      <c r="BI48" s="149"/>
      <c r="BJ48" s="150"/>
      <c r="BK48" s="154">
        <f t="shared" si="71"/>
        <v>0</v>
      </c>
      <c r="BL48" s="155">
        <f t="shared" si="72"/>
        <v>0</v>
      </c>
      <c r="BM48" s="156"/>
      <c r="BN48" s="150"/>
      <c r="BO48" s="145">
        <f t="shared" si="37"/>
        <v>0</v>
      </c>
      <c r="BP48" s="157"/>
      <c r="BQ48" s="145">
        <f t="shared" si="73"/>
        <v>0</v>
      </c>
    </row>
    <row r="49" spans="1:69" s="148" customFormat="1" ht="15" thickBot="1" x14ac:dyDescent="0.25">
      <c r="A49" s="1">
        <v>20</v>
      </c>
      <c r="B49" s="1"/>
      <c r="C49" s="4" t="s">
        <v>41</v>
      </c>
      <c r="D49" s="7">
        <v>1531</v>
      </c>
      <c r="E49" s="182"/>
      <c r="F49" s="162"/>
      <c r="G49" s="162"/>
      <c r="H49" s="162"/>
      <c r="I49" s="151">
        <f t="shared" si="53"/>
        <v>0</v>
      </c>
      <c r="J49" s="162"/>
      <c r="K49" s="162"/>
      <c r="L49" s="162"/>
      <c r="M49" s="162"/>
      <c r="N49" s="152">
        <f t="shared" si="54"/>
        <v>0</v>
      </c>
      <c r="O49" s="153">
        <f t="shared" si="55"/>
        <v>0</v>
      </c>
      <c r="P49" s="150"/>
      <c r="Q49" s="150"/>
      <c r="R49" s="150"/>
      <c r="S49" s="151">
        <f t="shared" si="56"/>
        <v>0</v>
      </c>
      <c r="T49" s="154">
        <f t="shared" si="57"/>
        <v>0</v>
      </c>
      <c r="U49" s="150"/>
      <c r="V49" s="150"/>
      <c r="W49" s="150"/>
      <c r="X49" s="152">
        <f t="shared" si="58"/>
        <v>0</v>
      </c>
      <c r="Y49" s="153">
        <f t="shared" si="74"/>
        <v>0</v>
      </c>
      <c r="Z49" s="150"/>
      <c r="AA49" s="150"/>
      <c r="AB49" s="150"/>
      <c r="AC49" s="151">
        <f t="shared" si="60"/>
        <v>0</v>
      </c>
      <c r="AD49" s="154">
        <f t="shared" si="61"/>
        <v>0</v>
      </c>
      <c r="AE49" s="150"/>
      <c r="AF49" s="150"/>
      <c r="AG49" s="162"/>
      <c r="AH49" s="152">
        <f t="shared" si="75"/>
        <v>0</v>
      </c>
      <c r="AI49" s="153">
        <f t="shared" si="63"/>
        <v>0</v>
      </c>
      <c r="AJ49" s="150"/>
      <c r="AK49" s="150"/>
      <c r="AL49" s="150"/>
      <c r="AM49" s="150"/>
      <c r="AN49" s="150"/>
      <c r="AO49" s="150"/>
      <c r="AP49" s="151">
        <f t="shared" si="76"/>
        <v>0</v>
      </c>
      <c r="AQ49" s="154">
        <f t="shared" si="77"/>
        <v>0</v>
      </c>
      <c r="AR49" s="150"/>
      <c r="AS49" s="150"/>
      <c r="AT49" s="162"/>
      <c r="AU49" s="152">
        <f t="shared" si="66"/>
        <v>0</v>
      </c>
      <c r="AV49" s="153">
        <f t="shared" si="67"/>
        <v>0</v>
      </c>
      <c r="AW49" s="150"/>
      <c r="AX49" s="150"/>
      <c r="AY49" s="150"/>
      <c r="AZ49" s="150"/>
      <c r="BA49" s="150"/>
      <c r="BB49" s="150"/>
      <c r="BC49" s="151">
        <f t="shared" si="78"/>
        <v>0</v>
      </c>
      <c r="BD49" s="154">
        <f t="shared" si="79"/>
        <v>0</v>
      </c>
      <c r="BE49" s="150"/>
      <c r="BF49" s="150"/>
      <c r="BG49" s="162"/>
      <c r="BH49" s="152">
        <f t="shared" si="70"/>
        <v>0</v>
      </c>
      <c r="BI49" s="150"/>
      <c r="BJ49" s="150"/>
      <c r="BK49" s="154">
        <f t="shared" si="71"/>
        <v>0</v>
      </c>
      <c r="BL49" s="155">
        <f t="shared" si="72"/>
        <v>0</v>
      </c>
      <c r="BM49" s="156"/>
      <c r="BN49" s="150"/>
      <c r="BO49" s="145">
        <f t="shared" si="37"/>
        <v>0</v>
      </c>
      <c r="BP49" s="157"/>
      <c r="BQ49" s="145">
        <f t="shared" si="73"/>
        <v>0</v>
      </c>
    </row>
    <row r="50" spans="1:69" s="148" customFormat="1" ht="15" thickBot="1" x14ac:dyDescent="0.25">
      <c r="A50" s="1">
        <v>21</v>
      </c>
      <c r="B50" s="1"/>
      <c r="C50" s="4" t="s">
        <v>42</v>
      </c>
      <c r="D50" s="7">
        <v>1532</v>
      </c>
      <c r="E50" s="182"/>
      <c r="F50" s="162"/>
      <c r="G50" s="162"/>
      <c r="H50" s="162"/>
      <c r="I50" s="151">
        <f t="shared" si="53"/>
        <v>0</v>
      </c>
      <c r="J50" s="162"/>
      <c r="K50" s="162"/>
      <c r="L50" s="162"/>
      <c r="M50" s="162"/>
      <c r="N50" s="152">
        <f t="shared" si="54"/>
        <v>0</v>
      </c>
      <c r="O50" s="153">
        <f t="shared" si="55"/>
        <v>0</v>
      </c>
      <c r="P50" s="150"/>
      <c r="Q50" s="150"/>
      <c r="R50" s="150"/>
      <c r="S50" s="151">
        <f t="shared" si="56"/>
        <v>0</v>
      </c>
      <c r="T50" s="154">
        <f t="shared" si="57"/>
        <v>0</v>
      </c>
      <c r="U50" s="150"/>
      <c r="V50" s="150"/>
      <c r="W50" s="150"/>
      <c r="X50" s="152">
        <f t="shared" si="58"/>
        <v>0</v>
      </c>
      <c r="Y50" s="153">
        <f t="shared" si="74"/>
        <v>0</v>
      </c>
      <c r="Z50" s="150"/>
      <c r="AA50" s="150"/>
      <c r="AB50" s="150"/>
      <c r="AC50" s="151">
        <f t="shared" si="60"/>
        <v>0</v>
      </c>
      <c r="AD50" s="154">
        <f t="shared" si="61"/>
        <v>0</v>
      </c>
      <c r="AE50" s="150"/>
      <c r="AF50" s="150"/>
      <c r="AG50" s="162"/>
      <c r="AH50" s="152">
        <f t="shared" si="75"/>
        <v>0</v>
      </c>
      <c r="AI50" s="153">
        <f t="shared" si="63"/>
        <v>0</v>
      </c>
      <c r="AJ50" s="150"/>
      <c r="AK50" s="150"/>
      <c r="AL50" s="150"/>
      <c r="AM50" s="150"/>
      <c r="AN50" s="150"/>
      <c r="AO50" s="150"/>
      <c r="AP50" s="151">
        <f t="shared" si="76"/>
        <v>0</v>
      </c>
      <c r="AQ50" s="154">
        <f t="shared" si="77"/>
        <v>0</v>
      </c>
      <c r="AR50" s="150"/>
      <c r="AS50" s="150"/>
      <c r="AT50" s="162"/>
      <c r="AU50" s="152">
        <f t="shared" si="66"/>
        <v>0</v>
      </c>
      <c r="AV50" s="153">
        <f t="shared" si="67"/>
        <v>0</v>
      </c>
      <c r="AW50" s="150"/>
      <c r="AX50" s="150"/>
      <c r="AY50" s="150"/>
      <c r="AZ50" s="150"/>
      <c r="BA50" s="150"/>
      <c r="BB50" s="150"/>
      <c r="BC50" s="151">
        <f t="shared" si="78"/>
        <v>0</v>
      </c>
      <c r="BD50" s="154">
        <f t="shared" si="79"/>
        <v>0</v>
      </c>
      <c r="BE50" s="150"/>
      <c r="BF50" s="150"/>
      <c r="BG50" s="162"/>
      <c r="BH50" s="152">
        <f t="shared" si="70"/>
        <v>0</v>
      </c>
      <c r="BI50" s="150"/>
      <c r="BJ50" s="150"/>
      <c r="BK50" s="154">
        <f t="shared" si="71"/>
        <v>0</v>
      </c>
      <c r="BL50" s="155">
        <f t="shared" si="72"/>
        <v>0</v>
      </c>
      <c r="BM50" s="156"/>
      <c r="BN50" s="150"/>
      <c r="BO50" s="145">
        <f t="shared" si="37"/>
        <v>0</v>
      </c>
      <c r="BP50" s="157"/>
      <c r="BQ50" s="145">
        <f t="shared" si="73"/>
        <v>0</v>
      </c>
    </row>
    <row r="51" spans="1:69" s="148" customFormat="1" ht="15" thickBot="1" x14ac:dyDescent="0.25">
      <c r="A51" s="1">
        <v>22</v>
      </c>
      <c r="B51" s="1"/>
      <c r="C51" s="8" t="s">
        <v>25</v>
      </c>
      <c r="D51" s="7">
        <v>1533</v>
      </c>
      <c r="E51" s="182"/>
      <c r="F51" s="162"/>
      <c r="G51" s="162"/>
      <c r="H51" s="162"/>
      <c r="I51" s="151">
        <f t="shared" si="53"/>
        <v>0</v>
      </c>
      <c r="J51" s="162"/>
      <c r="K51" s="162"/>
      <c r="L51" s="162"/>
      <c r="M51" s="162"/>
      <c r="N51" s="152">
        <f t="shared" si="54"/>
        <v>0</v>
      </c>
      <c r="O51" s="153">
        <f t="shared" si="55"/>
        <v>0</v>
      </c>
      <c r="P51" s="150"/>
      <c r="Q51" s="150"/>
      <c r="R51" s="150"/>
      <c r="S51" s="151">
        <f t="shared" si="56"/>
        <v>0</v>
      </c>
      <c r="T51" s="154">
        <f t="shared" si="57"/>
        <v>0</v>
      </c>
      <c r="U51" s="150"/>
      <c r="V51" s="150"/>
      <c r="W51" s="150"/>
      <c r="X51" s="152">
        <f t="shared" si="58"/>
        <v>0</v>
      </c>
      <c r="Y51" s="153">
        <f t="shared" si="74"/>
        <v>0</v>
      </c>
      <c r="Z51" s="150"/>
      <c r="AA51" s="150"/>
      <c r="AB51" s="150"/>
      <c r="AC51" s="151">
        <f t="shared" si="60"/>
        <v>0</v>
      </c>
      <c r="AD51" s="154">
        <f t="shared" si="61"/>
        <v>0</v>
      </c>
      <c r="AE51" s="150"/>
      <c r="AF51" s="150"/>
      <c r="AG51" s="162"/>
      <c r="AH51" s="152">
        <f t="shared" si="75"/>
        <v>0</v>
      </c>
      <c r="AI51" s="153">
        <f t="shared" si="63"/>
        <v>0</v>
      </c>
      <c r="AJ51" s="150"/>
      <c r="AK51" s="150"/>
      <c r="AL51" s="150"/>
      <c r="AM51" s="150"/>
      <c r="AN51" s="150"/>
      <c r="AO51" s="150"/>
      <c r="AP51" s="151">
        <f t="shared" si="76"/>
        <v>0</v>
      </c>
      <c r="AQ51" s="154">
        <f t="shared" si="77"/>
        <v>0</v>
      </c>
      <c r="AR51" s="150"/>
      <c r="AS51" s="150"/>
      <c r="AT51" s="162"/>
      <c r="AU51" s="152">
        <f t="shared" si="66"/>
        <v>0</v>
      </c>
      <c r="AV51" s="153">
        <f t="shared" si="67"/>
        <v>0</v>
      </c>
      <c r="AW51" s="150"/>
      <c r="AX51" s="150"/>
      <c r="AY51" s="150"/>
      <c r="AZ51" s="150"/>
      <c r="BA51" s="150"/>
      <c r="BB51" s="150"/>
      <c r="BC51" s="151">
        <f t="shared" si="78"/>
        <v>0</v>
      </c>
      <c r="BD51" s="154">
        <f t="shared" si="79"/>
        <v>0</v>
      </c>
      <c r="BE51" s="150"/>
      <c r="BF51" s="150"/>
      <c r="BG51" s="162"/>
      <c r="BH51" s="152">
        <f t="shared" si="70"/>
        <v>0</v>
      </c>
      <c r="BI51" s="150"/>
      <c r="BJ51" s="150"/>
      <c r="BK51" s="154">
        <f t="shared" si="71"/>
        <v>0</v>
      </c>
      <c r="BL51" s="155">
        <f t="shared" si="72"/>
        <v>0</v>
      </c>
      <c r="BM51" s="156"/>
      <c r="BN51" s="150"/>
      <c r="BO51" s="145">
        <f t="shared" si="37"/>
        <v>0</v>
      </c>
      <c r="BP51" s="157"/>
      <c r="BQ51" s="145">
        <f t="shared" si="73"/>
        <v>0</v>
      </c>
    </row>
    <row r="52" spans="1:69" s="148" customFormat="1" ht="15" thickBot="1" x14ac:dyDescent="0.25">
      <c r="A52" s="1">
        <v>23</v>
      </c>
      <c r="B52" s="1"/>
      <c r="C52" s="4" t="s">
        <v>17</v>
      </c>
      <c r="D52" s="7">
        <v>1534</v>
      </c>
      <c r="E52" s="182"/>
      <c r="F52" s="162"/>
      <c r="G52" s="162"/>
      <c r="H52" s="162"/>
      <c r="I52" s="151">
        <f t="shared" si="53"/>
        <v>0</v>
      </c>
      <c r="J52" s="162"/>
      <c r="K52" s="162"/>
      <c r="L52" s="162"/>
      <c r="M52" s="162"/>
      <c r="N52" s="152">
        <f t="shared" si="54"/>
        <v>0</v>
      </c>
      <c r="O52" s="153">
        <f t="shared" si="55"/>
        <v>0</v>
      </c>
      <c r="P52" s="150"/>
      <c r="Q52" s="150"/>
      <c r="R52" s="150"/>
      <c r="S52" s="151">
        <f t="shared" si="56"/>
        <v>0</v>
      </c>
      <c r="T52" s="154">
        <f t="shared" si="57"/>
        <v>0</v>
      </c>
      <c r="U52" s="150"/>
      <c r="V52" s="150"/>
      <c r="W52" s="150"/>
      <c r="X52" s="152">
        <f t="shared" si="58"/>
        <v>0</v>
      </c>
      <c r="Y52" s="153">
        <f t="shared" si="74"/>
        <v>0</v>
      </c>
      <c r="Z52" s="150"/>
      <c r="AA52" s="150"/>
      <c r="AB52" s="150"/>
      <c r="AC52" s="151">
        <f t="shared" si="60"/>
        <v>0</v>
      </c>
      <c r="AD52" s="154">
        <f t="shared" si="61"/>
        <v>0</v>
      </c>
      <c r="AE52" s="150"/>
      <c r="AF52" s="150"/>
      <c r="AG52" s="162"/>
      <c r="AH52" s="152">
        <f t="shared" si="75"/>
        <v>0</v>
      </c>
      <c r="AI52" s="153">
        <f t="shared" si="63"/>
        <v>0</v>
      </c>
      <c r="AJ52" s="150"/>
      <c r="AK52" s="150"/>
      <c r="AL52" s="150"/>
      <c r="AM52" s="150"/>
      <c r="AN52" s="150"/>
      <c r="AO52" s="150"/>
      <c r="AP52" s="151">
        <f t="shared" si="76"/>
        <v>0</v>
      </c>
      <c r="AQ52" s="154">
        <f t="shared" si="77"/>
        <v>0</v>
      </c>
      <c r="AR52" s="150"/>
      <c r="AS52" s="150"/>
      <c r="AT52" s="162"/>
      <c r="AU52" s="152">
        <f t="shared" si="66"/>
        <v>0</v>
      </c>
      <c r="AV52" s="153">
        <f t="shared" si="67"/>
        <v>0</v>
      </c>
      <c r="AW52" s="150"/>
      <c r="AX52" s="150"/>
      <c r="AY52" s="150"/>
      <c r="AZ52" s="150"/>
      <c r="BA52" s="150"/>
      <c r="BB52" s="150"/>
      <c r="BC52" s="151">
        <f t="shared" si="78"/>
        <v>0</v>
      </c>
      <c r="BD52" s="154">
        <f t="shared" si="79"/>
        <v>0</v>
      </c>
      <c r="BE52" s="150"/>
      <c r="BF52" s="150"/>
      <c r="BG52" s="162"/>
      <c r="BH52" s="152">
        <f t="shared" si="70"/>
        <v>0</v>
      </c>
      <c r="BI52" s="150"/>
      <c r="BJ52" s="150"/>
      <c r="BK52" s="154">
        <f t="shared" si="71"/>
        <v>0</v>
      </c>
      <c r="BL52" s="155">
        <f t="shared" si="72"/>
        <v>0</v>
      </c>
      <c r="BM52" s="156"/>
      <c r="BN52" s="150"/>
      <c r="BO52" s="145">
        <f t="shared" si="37"/>
        <v>0</v>
      </c>
      <c r="BP52" s="157"/>
      <c r="BQ52" s="145">
        <f t="shared" si="73"/>
        <v>0</v>
      </c>
    </row>
    <row r="53" spans="1:69" s="148" customFormat="1" ht="15" thickBot="1" x14ac:dyDescent="0.25">
      <c r="A53" s="1">
        <v>24</v>
      </c>
      <c r="B53" s="1"/>
      <c r="C53" s="4" t="s">
        <v>18</v>
      </c>
      <c r="D53" s="7">
        <v>1535</v>
      </c>
      <c r="E53" s="182"/>
      <c r="F53" s="162"/>
      <c r="G53" s="162"/>
      <c r="H53" s="162"/>
      <c r="I53" s="151">
        <f t="shared" si="53"/>
        <v>0</v>
      </c>
      <c r="J53" s="162"/>
      <c r="K53" s="162"/>
      <c r="L53" s="162"/>
      <c r="M53" s="162"/>
      <c r="N53" s="152">
        <f t="shared" si="54"/>
        <v>0</v>
      </c>
      <c r="O53" s="153">
        <f t="shared" si="55"/>
        <v>0</v>
      </c>
      <c r="P53" s="150">
        <v>12398.62</v>
      </c>
      <c r="Q53" s="150"/>
      <c r="R53" s="150"/>
      <c r="S53" s="151">
        <f t="shared" si="56"/>
        <v>12398.62</v>
      </c>
      <c r="T53" s="154">
        <f t="shared" si="57"/>
        <v>0</v>
      </c>
      <c r="U53" s="150"/>
      <c r="V53" s="150"/>
      <c r="W53" s="150"/>
      <c r="X53" s="152">
        <f t="shared" si="58"/>
        <v>0</v>
      </c>
      <c r="Y53" s="153">
        <f t="shared" si="74"/>
        <v>12398.62</v>
      </c>
      <c r="Z53" s="150">
        <v>6322.34</v>
      </c>
      <c r="AA53" s="150"/>
      <c r="AB53" s="150"/>
      <c r="AC53" s="151">
        <f t="shared" si="60"/>
        <v>18720.96</v>
      </c>
      <c r="AD53" s="154">
        <f t="shared" si="61"/>
        <v>0</v>
      </c>
      <c r="AE53" s="150"/>
      <c r="AF53" s="150"/>
      <c r="AG53" s="162"/>
      <c r="AH53" s="152">
        <f t="shared" si="75"/>
        <v>0</v>
      </c>
      <c r="AI53" s="153">
        <f t="shared" si="63"/>
        <v>18720.96</v>
      </c>
      <c r="AJ53" s="150"/>
      <c r="AK53" s="150"/>
      <c r="AL53" s="150"/>
      <c r="AM53" s="150"/>
      <c r="AN53" s="150"/>
      <c r="AO53" s="150"/>
      <c r="AP53" s="151">
        <f t="shared" si="76"/>
        <v>18720.96</v>
      </c>
      <c r="AQ53" s="154">
        <f t="shared" si="77"/>
        <v>0</v>
      </c>
      <c r="AR53" s="150"/>
      <c r="AS53" s="150"/>
      <c r="AT53" s="162"/>
      <c r="AU53" s="152">
        <f t="shared" si="66"/>
        <v>0</v>
      </c>
      <c r="AV53" s="153">
        <f t="shared" si="67"/>
        <v>18720.96</v>
      </c>
      <c r="AW53" s="150"/>
      <c r="AX53" s="150"/>
      <c r="AY53" s="150"/>
      <c r="AZ53" s="150"/>
      <c r="BA53" s="150"/>
      <c r="BB53" s="150"/>
      <c r="BC53" s="151">
        <f t="shared" si="78"/>
        <v>18720.96</v>
      </c>
      <c r="BD53" s="154">
        <f t="shared" si="79"/>
        <v>0</v>
      </c>
      <c r="BE53" s="150"/>
      <c r="BF53" s="150"/>
      <c r="BG53" s="162"/>
      <c r="BH53" s="152">
        <f t="shared" si="70"/>
        <v>0</v>
      </c>
      <c r="BI53" s="150"/>
      <c r="BJ53" s="150"/>
      <c r="BK53" s="154">
        <f t="shared" si="71"/>
        <v>18720.96</v>
      </c>
      <c r="BL53" s="155">
        <f t="shared" si="72"/>
        <v>0</v>
      </c>
      <c r="BM53" s="156">
        <f>BK53*0.0147</f>
        <v>275.19811199999998</v>
      </c>
      <c r="BN53" s="150">
        <f>BK53*0.0147*4/12</f>
        <v>91.732703999999998</v>
      </c>
      <c r="BO53" s="145">
        <f t="shared" si="37"/>
        <v>19087.890815999996</v>
      </c>
      <c r="BP53" s="157">
        <v>18720.96</v>
      </c>
      <c r="BQ53" s="145">
        <f t="shared" si="73"/>
        <v>0</v>
      </c>
    </row>
    <row r="54" spans="1:69" s="148" customFormat="1" ht="15" thickBot="1" x14ac:dyDescent="0.25">
      <c r="A54" s="1">
        <v>25</v>
      </c>
      <c r="B54" s="1"/>
      <c r="C54" s="4" t="s">
        <v>23</v>
      </c>
      <c r="D54" s="7">
        <v>1536</v>
      </c>
      <c r="E54" s="182"/>
      <c r="F54" s="162"/>
      <c r="G54" s="162"/>
      <c r="H54" s="162"/>
      <c r="I54" s="151">
        <f t="shared" si="53"/>
        <v>0</v>
      </c>
      <c r="J54" s="162"/>
      <c r="K54" s="162"/>
      <c r="L54" s="162"/>
      <c r="M54" s="162"/>
      <c r="N54" s="152">
        <f t="shared" si="54"/>
        <v>0</v>
      </c>
      <c r="O54" s="153">
        <f t="shared" si="55"/>
        <v>0</v>
      </c>
      <c r="P54" s="150"/>
      <c r="Q54" s="150"/>
      <c r="R54" s="150"/>
      <c r="S54" s="151">
        <f t="shared" si="56"/>
        <v>0</v>
      </c>
      <c r="T54" s="154">
        <f t="shared" si="57"/>
        <v>0</v>
      </c>
      <c r="U54" s="150"/>
      <c r="V54" s="150"/>
      <c r="W54" s="150"/>
      <c r="X54" s="152">
        <f t="shared" si="58"/>
        <v>0</v>
      </c>
      <c r="Y54" s="153">
        <f t="shared" si="74"/>
        <v>0</v>
      </c>
      <c r="Z54" s="150"/>
      <c r="AA54" s="150"/>
      <c r="AB54" s="150"/>
      <c r="AC54" s="151">
        <f t="shared" si="60"/>
        <v>0</v>
      </c>
      <c r="AD54" s="154">
        <f t="shared" si="61"/>
        <v>0</v>
      </c>
      <c r="AE54" s="150"/>
      <c r="AF54" s="150"/>
      <c r="AG54" s="162"/>
      <c r="AH54" s="152">
        <f t="shared" si="75"/>
        <v>0</v>
      </c>
      <c r="AI54" s="153">
        <f t="shared" si="63"/>
        <v>0</v>
      </c>
      <c r="AJ54" s="150"/>
      <c r="AK54" s="150"/>
      <c r="AL54" s="150"/>
      <c r="AM54" s="150"/>
      <c r="AN54" s="150"/>
      <c r="AO54" s="150"/>
      <c r="AP54" s="151">
        <f t="shared" si="76"/>
        <v>0</v>
      </c>
      <c r="AQ54" s="154">
        <f t="shared" si="77"/>
        <v>0</v>
      </c>
      <c r="AR54" s="150"/>
      <c r="AS54" s="150"/>
      <c r="AT54" s="162"/>
      <c r="AU54" s="152">
        <f t="shared" si="66"/>
        <v>0</v>
      </c>
      <c r="AV54" s="153">
        <f t="shared" si="67"/>
        <v>0</v>
      </c>
      <c r="AW54" s="150"/>
      <c r="AX54" s="150"/>
      <c r="AY54" s="150"/>
      <c r="AZ54" s="150"/>
      <c r="BA54" s="150"/>
      <c r="BB54" s="150"/>
      <c r="BC54" s="151">
        <f t="shared" si="78"/>
        <v>0</v>
      </c>
      <c r="BD54" s="154">
        <f t="shared" si="79"/>
        <v>0</v>
      </c>
      <c r="BE54" s="150"/>
      <c r="BF54" s="150"/>
      <c r="BG54" s="162"/>
      <c r="BH54" s="152">
        <f t="shared" si="70"/>
        <v>0</v>
      </c>
      <c r="BI54" s="150"/>
      <c r="BJ54" s="150"/>
      <c r="BK54" s="154">
        <f t="shared" si="71"/>
        <v>0</v>
      </c>
      <c r="BL54" s="155">
        <f t="shared" si="72"/>
        <v>0</v>
      </c>
      <c r="BM54" s="156"/>
      <c r="BN54" s="150"/>
      <c r="BO54" s="145">
        <f t="shared" si="37"/>
        <v>0</v>
      </c>
      <c r="BP54" s="157"/>
      <c r="BQ54" s="145">
        <f t="shared" si="73"/>
        <v>0</v>
      </c>
    </row>
    <row r="55" spans="1:69" s="148" customFormat="1" ht="15" thickBot="1" x14ac:dyDescent="0.25">
      <c r="A55" s="1">
        <v>26</v>
      </c>
      <c r="B55" s="1"/>
      <c r="C55" s="4" t="s">
        <v>5</v>
      </c>
      <c r="D55" s="7">
        <v>1548</v>
      </c>
      <c r="E55" s="181"/>
      <c r="F55" s="162"/>
      <c r="G55" s="162"/>
      <c r="H55" s="162">
        <v>343178.04000000004</v>
      </c>
      <c r="I55" s="151">
        <f t="shared" si="53"/>
        <v>343178.04000000004</v>
      </c>
      <c r="J55" s="150"/>
      <c r="K55" s="150"/>
      <c r="L55" s="150"/>
      <c r="M55" s="150"/>
      <c r="N55" s="152">
        <f t="shared" si="54"/>
        <v>0</v>
      </c>
      <c r="O55" s="153">
        <f t="shared" si="55"/>
        <v>343178.04000000004</v>
      </c>
      <c r="P55" s="150">
        <v>56863.92</v>
      </c>
      <c r="Q55" s="150"/>
      <c r="R55" s="150"/>
      <c r="S55" s="151">
        <f t="shared" si="56"/>
        <v>400041.96</v>
      </c>
      <c r="T55" s="154">
        <f t="shared" si="57"/>
        <v>0</v>
      </c>
      <c r="U55" s="150"/>
      <c r="V55" s="163"/>
      <c r="W55" s="163"/>
      <c r="X55" s="152">
        <f t="shared" si="58"/>
        <v>0</v>
      </c>
      <c r="Y55" s="153">
        <f t="shared" si="74"/>
        <v>400041.96</v>
      </c>
      <c r="Z55" s="150">
        <f>-274718.86-27298.1+AA55</f>
        <v>41161.080000000016</v>
      </c>
      <c r="AA55" s="150">
        <f>315879.94+27298.1</f>
        <v>343178.04</v>
      </c>
      <c r="AB55" s="150"/>
      <c r="AC55" s="151">
        <f t="shared" si="60"/>
        <v>98025.000000000058</v>
      </c>
      <c r="AD55" s="154">
        <f t="shared" si="61"/>
        <v>0</v>
      </c>
      <c r="AE55" s="150"/>
      <c r="AF55" s="163"/>
      <c r="AG55" s="162"/>
      <c r="AH55" s="152">
        <f t="shared" si="75"/>
        <v>0</v>
      </c>
      <c r="AI55" s="153">
        <f t="shared" si="63"/>
        <v>98025.000000000058</v>
      </c>
      <c r="AJ55" s="150">
        <v>40352.5</v>
      </c>
      <c r="AK55" s="150"/>
      <c r="AL55" s="150"/>
      <c r="AM55" s="150"/>
      <c r="AN55" s="150"/>
      <c r="AO55" s="150"/>
      <c r="AP55" s="151">
        <f t="shared" si="76"/>
        <v>138377.50000000006</v>
      </c>
      <c r="AQ55" s="154">
        <f t="shared" si="77"/>
        <v>0</v>
      </c>
      <c r="AR55" s="150"/>
      <c r="AS55" s="163"/>
      <c r="AT55" s="162"/>
      <c r="AU55" s="152">
        <f t="shared" si="66"/>
        <v>0</v>
      </c>
      <c r="AV55" s="153">
        <f t="shared" si="67"/>
        <v>138377.50000000006</v>
      </c>
      <c r="AW55" s="150">
        <v>40589.85</v>
      </c>
      <c r="AX55" s="150"/>
      <c r="AY55" s="150"/>
      <c r="AZ55" s="150"/>
      <c r="BA55" s="150"/>
      <c r="BB55" s="150"/>
      <c r="BC55" s="151">
        <f t="shared" si="78"/>
        <v>178967.35000000006</v>
      </c>
      <c r="BD55" s="154">
        <f t="shared" si="79"/>
        <v>0</v>
      </c>
      <c r="BE55" s="150"/>
      <c r="BF55" s="163"/>
      <c r="BG55" s="162"/>
      <c r="BH55" s="152">
        <f t="shared" si="70"/>
        <v>0</v>
      </c>
      <c r="BI55" s="149"/>
      <c r="BJ55" s="150"/>
      <c r="BK55" s="154">
        <f t="shared" si="71"/>
        <v>178967.35000000006</v>
      </c>
      <c r="BL55" s="155">
        <f t="shared" si="72"/>
        <v>0</v>
      </c>
      <c r="BM55" s="156"/>
      <c r="BN55" s="150"/>
      <c r="BO55" s="145">
        <f t="shared" si="37"/>
        <v>178967.35000000006</v>
      </c>
      <c r="BP55" s="157">
        <v>178967.35</v>
      </c>
      <c r="BQ55" s="145">
        <f t="shared" si="73"/>
        <v>0</v>
      </c>
    </row>
    <row r="56" spans="1:69" s="148" customFormat="1" ht="15" thickBot="1" x14ac:dyDescent="0.25">
      <c r="A56" s="1">
        <v>27</v>
      </c>
      <c r="B56" s="1"/>
      <c r="C56" s="4" t="s">
        <v>43</v>
      </c>
      <c r="D56" s="7">
        <v>1567</v>
      </c>
      <c r="E56" s="183"/>
      <c r="F56" s="165"/>
      <c r="G56" s="165"/>
      <c r="H56" s="165"/>
      <c r="I56" s="151"/>
      <c r="J56" s="154"/>
      <c r="K56" s="165"/>
      <c r="L56" s="165"/>
      <c r="M56" s="165"/>
      <c r="N56" s="152">
        <f t="shared" si="54"/>
        <v>0</v>
      </c>
      <c r="O56" s="149"/>
      <c r="P56" s="150"/>
      <c r="Q56" s="150"/>
      <c r="R56" s="150"/>
      <c r="S56" s="151">
        <f t="shared" si="56"/>
        <v>0</v>
      </c>
      <c r="T56" s="154">
        <f t="shared" si="57"/>
        <v>0</v>
      </c>
      <c r="U56" s="150"/>
      <c r="V56" s="150"/>
      <c r="W56" s="150"/>
      <c r="X56" s="152">
        <f>T56+U56-V56+W56</f>
        <v>0</v>
      </c>
      <c r="Y56" s="153">
        <f t="shared" si="74"/>
        <v>0</v>
      </c>
      <c r="Z56" s="150"/>
      <c r="AA56" s="150"/>
      <c r="AB56" s="150"/>
      <c r="AC56" s="151">
        <f t="shared" si="60"/>
        <v>0</v>
      </c>
      <c r="AD56" s="154">
        <f t="shared" si="61"/>
        <v>0</v>
      </c>
      <c r="AE56" s="150"/>
      <c r="AF56" s="150"/>
      <c r="AG56" s="150"/>
      <c r="AH56" s="152">
        <f>AD56+AE56-AF56+AG56</f>
        <v>0</v>
      </c>
      <c r="AI56" s="153">
        <f t="shared" si="63"/>
        <v>0</v>
      </c>
      <c r="AJ56" s="150"/>
      <c r="AK56" s="150"/>
      <c r="AL56" s="150"/>
      <c r="AM56" s="150"/>
      <c r="AN56" s="150"/>
      <c r="AO56" s="150"/>
      <c r="AP56" s="151">
        <f>AI56+AJ56-AK56+SUM(AL56:AO56)</f>
        <v>0</v>
      </c>
      <c r="AQ56" s="154">
        <f>AH56</f>
        <v>0</v>
      </c>
      <c r="AR56" s="150"/>
      <c r="AS56" s="150"/>
      <c r="AT56" s="150"/>
      <c r="AU56" s="152">
        <f>AQ56+AR56-AS56+AT56</f>
        <v>0</v>
      </c>
      <c r="AV56" s="153">
        <f t="shared" si="67"/>
        <v>0</v>
      </c>
      <c r="AW56" s="150"/>
      <c r="AX56" s="150"/>
      <c r="AY56" s="150"/>
      <c r="AZ56" s="150"/>
      <c r="BA56" s="150"/>
      <c r="BB56" s="150"/>
      <c r="BC56" s="151">
        <f>AV56+AW56-AX56+SUM(AY56:BB56)</f>
        <v>0</v>
      </c>
      <c r="BD56" s="154">
        <f>AU56</f>
        <v>0</v>
      </c>
      <c r="BE56" s="150"/>
      <c r="BF56" s="150"/>
      <c r="BG56" s="150"/>
      <c r="BH56" s="152">
        <f>BD56+BE56-BF56+BG56</f>
        <v>0</v>
      </c>
      <c r="BI56" s="149"/>
      <c r="BJ56" s="150"/>
      <c r="BK56" s="154">
        <f t="shared" si="71"/>
        <v>0</v>
      </c>
      <c r="BL56" s="155">
        <f t="shared" si="72"/>
        <v>0</v>
      </c>
      <c r="BM56" s="156"/>
      <c r="BN56" s="150"/>
      <c r="BO56" s="145">
        <f t="shared" si="37"/>
        <v>0</v>
      </c>
      <c r="BP56" s="157"/>
      <c r="BQ56" s="145">
        <f t="shared" si="73"/>
        <v>0</v>
      </c>
    </row>
    <row r="57" spans="1:69" s="148" customFormat="1" ht="15" thickBot="1" x14ac:dyDescent="0.25">
      <c r="A57" s="1">
        <v>28</v>
      </c>
      <c r="B57" s="1"/>
      <c r="C57" s="4" t="s">
        <v>10</v>
      </c>
      <c r="D57" s="7">
        <v>1572</v>
      </c>
      <c r="E57" s="179"/>
      <c r="F57" s="150"/>
      <c r="G57" s="150"/>
      <c r="H57" s="150"/>
      <c r="I57" s="151">
        <f t="shared" si="53"/>
        <v>0</v>
      </c>
      <c r="J57" s="162"/>
      <c r="K57" s="150"/>
      <c r="L57" s="150"/>
      <c r="M57" s="150"/>
      <c r="N57" s="152">
        <f t="shared" si="54"/>
        <v>0</v>
      </c>
      <c r="O57" s="153">
        <f>I57</f>
        <v>0</v>
      </c>
      <c r="P57" s="150"/>
      <c r="Q57" s="150"/>
      <c r="R57" s="150"/>
      <c r="S57" s="151">
        <f t="shared" si="56"/>
        <v>0</v>
      </c>
      <c r="T57" s="154">
        <f t="shared" si="57"/>
        <v>0</v>
      </c>
      <c r="U57" s="150"/>
      <c r="V57" s="150"/>
      <c r="W57" s="150"/>
      <c r="X57" s="152">
        <f t="shared" si="58"/>
        <v>0</v>
      </c>
      <c r="Y57" s="153">
        <f>S57</f>
        <v>0</v>
      </c>
      <c r="Z57" s="150"/>
      <c r="AA57" s="150"/>
      <c r="AB57" s="150"/>
      <c r="AC57" s="151">
        <f t="shared" si="60"/>
        <v>0</v>
      </c>
      <c r="AD57" s="154">
        <f t="shared" si="61"/>
        <v>0</v>
      </c>
      <c r="AE57" s="150"/>
      <c r="AF57" s="150"/>
      <c r="AG57" s="150"/>
      <c r="AH57" s="152">
        <f>AD57+AE57-AF57+AG57</f>
        <v>0</v>
      </c>
      <c r="AI57" s="153">
        <f>AC57</f>
        <v>0</v>
      </c>
      <c r="AJ57" s="150"/>
      <c r="AK57" s="150"/>
      <c r="AL57" s="150"/>
      <c r="AM57" s="150"/>
      <c r="AN57" s="150"/>
      <c r="AO57" s="150"/>
      <c r="AP57" s="151">
        <f t="shared" ref="AP57:AP60" si="80">AI57+AJ57-AK57+SUM(AL57:AO57)</f>
        <v>0</v>
      </c>
      <c r="AQ57" s="154">
        <f t="shared" ref="AQ57:AQ60" si="81">AH57</f>
        <v>0</v>
      </c>
      <c r="AR57" s="150"/>
      <c r="AS57" s="150"/>
      <c r="AT57" s="150"/>
      <c r="AU57" s="152">
        <f>AQ57+AR57-AS57+AT57</f>
        <v>0</v>
      </c>
      <c r="AV57" s="153">
        <f>AP57</f>
        <v>0</v>
      </c>
      <c r="AW57" s="150"/>
      <c r="AX57" s="150"/>
      <c r="AY57" s="150"/>
      <c r="AZ57" s="150"/>
      <c r="BA57" s="150"/>
      <c r="BB57" s="150"/>
      <c r="BC57" s="151">
        <f t="shared" ref="BC57:BC60" si="82">AV57+AW57-AX57+SUM(AY57:BB57)</f>
        <v>0</v>
      </c>
      <c r="BD57" s="154">
        <f t="shared" ref="BD57:BD60" si="83">AU57</f>
        <v>0</v>
      </c>
      <c r="BE57" s="150"/>
      <c r="BF57" s="150"/>
      <c r="BG57" s="150"/>
      <c r="BH57" s="152">
        <f>BD57+BE57-BF57+BG57</f>
        <v>0</v>
      </c>
      <c r="BI57" s="149"/>
      <c r="BJ57" s="150"/>
      <c r="BK57" s="154">
        <f t="shared" si="71"/>
        <v>0</v>
      </c>
      <c r="BL57" s="155">
        <f t="shared" si="72"/>
        <v>0</v>
      </c>
      <c r="BM57" s="156"/>
      <c r="BN57" s="150"/>
      <c r="BO57" s="145">
        <f t="shared" si="37"/>
        <v>0</v>
      </c>
      <c r="BP57" s="157"/>
      <c r="BQ57" s="145">
        <f t="shared" si="73"/>
        <v>0</v>
      </c>
    </row>
    <row r="58" spans="1:69" s="148" customFormat="1" ht="15" thickBot="1" x14ac:dyDescent="0.25">
      <c r="A58" s="1">
        <v>29</v>
      </c>
      <c r="B58" s="1"/>
      <c r="C58" s="4" t="s">
        <v>6</v>
      </c>
      <c r="D58" s="7">
        <v>1574</v>
      </c>
      <c r="E58" s="179"/>
      <c r="F58" s="150"/>
      <c r="G58" s="150"/>
      <c r="H58" s="150"/>
      <c r="I58" s="151">
        <f t="shared" si="53"/>
        <v>0</v>
      </c>
      <c r="J58" s="162"/>
      <c r="K58" s="150"/>
      <c r="L58" s="150"/>
      <c r="M58" s="150"/>
      <c r="N58" s="152">
        <f t="shared" si="54"/>
        <v>0</v>
      </c>
      <c r="O58" s="153">
        <f>I58</f>
        <v>0</v>
      </c>
      <c r="P58" s="150"/>
      <c r="Q58" s="150"/>
      <c r="R58" s="150"/>
      <c r="S58" s="151">
        <f t="shared" si="56"/>
        <v>0</v>
      </c>
      <c r="T58" s="154">
        <f t="shared" si="57"/>
        <v>0</v>
      </c>
      <c r="U58" s="150"/>
      <c r="V58" s="150"/>
      <c r="W58" s="150"/>
      <c r="X58" s="152">
        <f t="shared" si="58"/>
        <v>0</v>
      </c>
      <c r="Y58" s="153">
        <f>S58</f>
        <v>0</v>
      </c>
      <c r="Z58" s="150"/>
      <c r="AA58" s="150"/>
      <c r="AB58" s="150"/>
      <c r="AC58" s="151">
        <f t="shared" si="60"/>
        <v>0</v>
      </c>
      <c r="AD58" s="154">
        <f t="shared" si="61"/>
        <v>0</v>
      </c>
      <c r="AE58" s="150"/>
      <c r="AF58" s="150"/>
      <c r="AG58" s="150"/>
      <c r="AH58" s="152">
        <f>AD58+AE58-AF58+AG58</f>
        <v>0</v>
      </c>
      <c r="AI58" s="153">
        <f>AC58</f>
        <v>0</v>
      </c>
      <c r="AJ58" s="150"/>
      <c r="AK58" s="150"/>
      <c r="AL58" s="150"/>
      <c r="AM58" s="150"/>
      <c r="AN58" s="150"/>
      <c r="AO58" s="150"/>
      <c r="AP58" s="151">
        <f t="shared" si="80"/>
        <v>0</v>
      </c>
      <c r="AQ58" s="154">
        <f t="shared" si="81"/>
        <v>0</v>
      </c>
      <c r="AR58" s="150"/>
      <c r="AS58" s="150"/>
      <c r="AT58" s="150"/>
      <c r="AU58" s="152">
        <f>AQ58+AR58-AS58+AT58</f>
        <v>0</v>
      </c>
      <c r="AV58" s="153">
        <f>AP58</f>
        <v>0</v>
      </c>
      <c r="AW58" s="150"/>
      <c r="AX58" s="150"/>
      <c r="AY58" s="150"/>
      <c r="AZ58" s="150"/>
      <c r="BA58" s="150"/>
      <c r="BB58" s="150"/>
      <c r="BC58" s="151">
        <f t="shared" si="82"/>
        <v>0</v>
      </c>
      <c r="BD58" s="154">
        <f t="shared" si="83"/>
        <v>0</v>
      </c>
      <c r="BE58" s="150"/>
      <c r="BF58" s="150"/>
      <c r="BG58" s="150"/>
      <c r="BH58" s="152">
        <f>BD58+BE58-BF58+BG58</f>
        <v>0</v>
      </c>
      <c r="BI58" s="149"/>
      <c r="BJ58" s="150"/>
      <c r="BK58" s="154">
        <f t="shared" si="71"/>
        <v>0</v>
      </c>
      <c r="BL58" s="155">
        <f t="shared" si="72"/>
        <v>0</v>
      </c>
      <c r="BM58" s="156"/>
      <c r="BN58" s="150"/>
      <c r="BO58" s="145">
        <f t="shared" si="37"/>
        <v>0</v>
      </c>
      <c r="BP58" s="157"/>
      <c r="BQ58" s="145">
        <f t="shared" si="73"/>
        <v>0</v>
      </c>
    </row>
    <row r="59" spans="1:69" s="148" customFormat="1" ht="15" thickBot="1" x14ac:dyDescent="0.25">
      <c r="A59" s="1">
        <v>30</v>
      </c>
      <c r="B59" s="1"/>
      <c r="C59" s="8" t="s">
        <v>40</v>
      </c>
      <c r="D59" s="7">
        <v>1582</v>
      </c>
      <c r="E59" s="179"/>
      <c r="F59" s="150"/>
      <c r="G59" s="150"/>
      <c r="H59" s="150">
        <v>5904.9400000000023</v>
      </c>
      <c r="I59" s="151">
        <f t="shared" si="53"/>
        <v>5904.9400000000023</v>
      </c>
      <c r="J59" s="162"/>
      <c r="K59" s="150">
        <v>1354.5999999999988</v>
      </c>
      <c r="L59" s="150"/>
      <c r="M59" s="150"/>
      <c r="N59" s="152">
        <f t="shared" si="54"/>
        <v>1354.5999999999988</v>
      </c>
      <c r="O59" s="153">
        <f>I59</f>
        <v>5904.9400000000023</v>
      </c>
      <c r="P59" s="150"/>
      <c r="Q59" s="150"/>
      <c r="R59" s="150"/>
      <c r="S59" s="151">
        <f t="shared" si="56"/>
        <v>5904.9400000000023</v>
      </c>
      <c r="T59" s="154">
        <f t="shared" si="57"/>
        <v>1354.5999999999988</v>
      </c>
      <c r="U59" s="150">
        <v>47.12</v>
      </c>
      <c r="V59" s="150"/>
      <c r="W59" s="150"/>
      <c r="X59" s="152">
        <f t="shared" si="58"/>
        <v>1401.7199999999987</v>
      </c>
      <c r="Y59" s="153">
        <f>S59</f>
        <v>5904.9400000000023</v>
      </c>
      <c r="Z59" s="150"/>
      <c r="AA59" s="150">
        <v>5904.94</v>
      </c>
      <c r="AB59" s="150"/>
      <c r="AC59" s="151">
        <f t="shared" si="60"/>
        <v>2.7284841053187847E-12</v>
      </c>
      <c r="AD59" s="154">
        <f t="shared" si="61"/>
        <v>1401.7199999999987</v>
      </c>
      <c r="AE59" s="150">
        <f>-1401.72+AF59</f>
        <v>23.589999999999918</v>
      </c>
      <c r="AF59" s="150">
        <v>1425.31</v>
      </c>
      <c r="AG59" s="150"/>
      <c r="AH59" s="152">
        <f>AD59+AE59-AF59+AG59</f>
        <v>-1.3642420526593924E-12</v>
      </c>
      <c r="AI59" s="153">
        <f>AC59</f>
        <v>2.7284841053187847E-12</v>
      </c>
      <c r="AJ59" s="150"/>
      <c r="AK59" s="150"/>
      <c r="AL59" s="150"/>
      <c r="AM59" s="150"/>
      <c r="AN59" s="150"/>
      <c r="AO59" s="150"/>
      <c r="AP59" s="151">
        <f t="shared" si="80"/>
        <v>2.7284841053187847E-12</v>
      </c>
      <c r="AQ59" s="154">
        <f t="shared" si="81"/>
        <v>-1.3642420526593924E-12</v>
      </c>
      <c r="AR59" s="150"/>
      <c r="AS59" s="150"/>
      <c r="AT59" s="150"/>
      <c r="AU59" s="152">
        <f>AQ59+AR59-AS59+AT59</f>
        <v>-1.3642420526593924E-12</v>
      </c>
      <c r="AV59" s="153">
        <f>AP59</f>
        <v>2.7284841053187847E-12</v>
      </c>
      <c r="AW59" s="150"/>
      <c r="AX59" s="150"/>
      <c r="AY59" s="150"/>
      <c r="AZ59" s="150"/>
      <c r="BA59" s="150"/>
      <c r="BB59" s="150"/>
      <c r="BC59" s="151">
        <f t="shared" si="82"/>
        <v>2.7284841053187847E-12</v>
      </c>
      <c r="BD59" s="154">
        <f t="shared" si="83"/>
        <v>-1.3642420526593924E-12</v>
      </c>
      <c r="BE59" s="150"/>
      <c r="BF59" s="150"/>
      <c r="BG59" s="150"/>
      <c r="BH59" s="152">
        <f>BD59+BE59-BF59+BG59</f>
        <v>-1.3642420526593924E-12</v>
      </c>
      <c r="BI59" s="149"/>
      <c r="BJ59" s="150"/>
      <c r="BK59" s="154">
        <f t="shared" si="71"/>
        <v>2.7284841053187847E-12</v>
      </c>
      <c r="BL59" s="155">
        <f t="shared" si="72"/>
        <v>-1.3642420526593924E-12</v>
      </c>
      <c r="BM59" s="156"/>
      <c r="BN59" s="150"/>
      <c r="BO59" s="145">
        <f t="shared" si="37"/>
        <v>1.3642420526593924E-12</v>
      </c>
      <c r="BP59" s="157"/>
      <c r="BQ59" s="145">
        <f t="shared" si="73"/>
        <v>-1.3642420526593924E-12</v>
      </c>
    </row>
    <row r="60" spans="1:69" s="148" customFormat="1" ht="15" thickBot="1" x14ac:dyDescent="0.25">
      <c r="A60" s="1">
        <v>31</v>
      </c>
      <c r="B60" s="1"/>
      <c r="C60" s="5" t="s">
        <v>7</v>
      </c>
      <c r="D60" s="13">
        <v>2425</v>
      </c>
      <c r="E60" s="179"/>
      <c r="F60" s="150"/>
      <c r="G60" s="150"/>
      <c r="H60" s="150"/>
      <c r="I60" s="151">
        <f t="shared" si="53"/>
        <v>0</v>
      </c>
      <c r="J60" s="162"/>
      <c r="K60" s="150"/>
      <c r="L60" s="150"/>
      <c r="M60" s="150"/>
      <c r="N60" s="152">
        <f t="shared" si="54"/>
        <v>0</v>
      </c>
      <c r="O60" s="153">
        <f>I60</f>
        <v>0</v>
      </c>
      <c r="P60" s="150"/>
      <c r="Q60" s="150"/>
      <c r="R60" s="150"/>
      <c r="S60" s="151">
        <f t="shared" si="56"/>
        <v>0</v>
      </c>
      <c r="T60" s="154">
        <f t="shared" si="57"/>
        <v>0</v>
      </c>
      <c r="U60" s="150"/>
      <c r="V60" s="150"/>
      <c r="W60" s="150"/>
      <c r="X60" s="152">
        <f t="shared" si="58"/>
        <v>0</v>
      </c>
      <c r="Y60" s="153">
        <f>S60</f>
        <v>0</v>
      </c>
      <c r="Z60" s="150"/>
      <c r="AA60" s="150"/>
      <c r="AB60" s="150"/>
      <c r="AC60" s="151">
        <f t="shared" si="60"/>
        <v>0</v>
      </c>
      <c r="AD60" s="154">
        <f t="shared" si="61"/>
        <v>0</v>
      </c>
      <c r="AE60" s="150"/>
      <c r="AF60" s="150"/>
      <c r="AG60" s="150"/>
      <c r="AH60" s="152">
        <f>AD60+AE60-AF60+AG60</f>
        <v>0</v>
      </c>
      <c r="AI60" s="153">
        <f>AC60</f>
        <v>0</v>
      </c>
      <c r="AJ60" s="150"/>
      <c r="AK60" s="150"/>
      <c r="AL60" s="150"/>
      <c r="AM60" s="150"/>
      <c r="AN60" s="150"/>
      <c r="AO60" s="150"/>
      <c r="AP60" s="151">
        <f t="shared" si="80"/>
        <v>0</v>
      </c>
      <c r="AQ60" s="154">
        <f t="shared" si="81"/>
        <v>0</v>
      </c>
      <c r="AR60" s="150"/>
      <c r="AS60" s="150"/>
      <c r="AT60" s="150"/>
      <c r="AU60" s="152">
        <f>AQ60+AR60-AS60+AT60</f>
        <v>0</v>
      </c>
      <c r="AV60" s="153">
        <f>AP60</f>
        <v>0</v>
      </c>
      <c r="AW60" s="150"/>
      <c r="AX60" s="150"/>
      <c r="AY60" s="150"/>
      <c r="AZ60" s="150"/>
      <c r="BA60" s="150"/>
      <c r="BB60" s="150"/>
      <c r="BC60" s="151">
        <f t="shared" si="82"/>
        <v>0</v>
      </c>
      <c r="BD60" s="154">
        <f t="shared" si="83"/>
        <v>0</v>
      </c>
      <c r="BE60" s="150"/>
      <c r="BF60" s="150"/>
      <c r="BG60" s="150"/>
      <c r="BH60" s="152">
        <f>BD60+BE60-BF60+BG60</f>
        <v>0</v>
      </c>
      <c r="BI60" s="149"/>
      <c r="BJ60" s="150"/>
      <c r="BK60" s="154">
        <f t="shared" si="71"/>
        <v>0</v>
      </c>
      <c r="BL60" s="155">
        <f t="shared" si="72"/>
        <v>0</v>
      </c>
      <c r="BM60" s="156"/>
      <c r="BN60" s="150"/>
      <c r="BO60" s="145">
        <f t="shared" si="37"/>
        <v>0</v>
      </c>
      <c r="BP60" s="157"/>
      <c r="BQ60" s="145">
        <f t="shared" si="73"/>
        <v>0</v>
      </c>
    </row>
    <row r="61" spans="1:69" s="148" customFormat="1" ht="14.25" x14ac:dyDescent="0.2">
      <c r="A61" s="1"/>
      <c r="B61" s="1"/>
      <c r="C61" s="5"/>
      <c r="D61" s="5"/>
      <c r="E61" s="180"/>
      <c r="F61" s="151"/>
      <c r="G61" s="151"/>
      <c r="H61" s="151"/>
      <c r="I61" s="151"/>
      <c r="J61" s="151"/>
      <c r="K61" s="151"/>
      <c r="L61" s="151"/>
      <c r="M61" s="151"/>
      <c r="N61" s="152"/>
      <c r="O61" s="158"/>
      <c r="P61" s="151"/>
      <c r="Q61" s="151"/>
      <c r="R61" s="151"/>
      <c r="S61" s="151"/>
      <c r="T61" s="151"/>
      <c r="U61" s="151"/>
      <c r="V61" s="151"/>
      <c r="W61" s="151"/>
      <c r="X61" s="152"/>
      <c r="Y61" s="158"/>
      <c r="Z61" s="151"/>
      <c r="AA61" s="151"/>
      <c r="AB61" s="151"/>
      <c r="AC61" s="151"/>
      <c r="AD61" s="151"/>
      <c r="AE61" s="151"/>
      <c r="AF61" s="151"/>
      <c r="AG61" s="151"/>
      <c r="AH61" s="152"/>
      <c r="AI61" s="158"/>
      <c r="AJ61" s="151"/>
      <c r="AK61" s="151"/>
      <c r="AL61" s="151"/>
      <c r="AM61" s="151"/>
      <c r="AN61" s="151"/>
      <c r="AO61" s="151"/>
      <c r="AP61" s="151"/>
      <c r="AQ61" s="151"/>
      <c r="AR61" s="151"/>
      <c r="AS61" s="151"/>
      <c r="AT61" s="151"/>
      <c r="AU61" s="152"/>
      <c r="AV61" s="158"/>
      <c r="AW61" s="151"/>
      <c r="AX61" s="151"/>
      <c r="AY61" s="151"/>
      <c r="AZ61" s="151"/>
      <c r="BA61" s="151"/>
      <c r="BB61" s="151"/>
      <c r="BC61" s="151"/>
      <c r="BD61" s="151"/>
      <c r="BE61" s="151"/>
      <c r="BF61" s="151"/>
      <c r="BG61" s="151"/>
      <c r="BH61" s="152"/>
      <c r="BI61" s="158"/>
      <c r="BJ61" s="151"/>
      <c r="BK61" s="151"/>
      <c r="BL61" s="152"/>
      <c r="BM61" s="144"/>
      <c r="BN61" s="144"/>
      <c r="BO61" s="145"/>
      <c r="BP61" s="146"/>
      <c r="BQ61" s="145"/>
    </row>
    <row r="62" spans="1:69" s="148" customFormat="1" ht="15" x14ac:dyDescent="0.25">
      <c r="A62" s="1"/>
      <c r="B62" s="1"/>
      <c r="C62" s="14" t="s">
        <v>19</v>
      </c>
      <c r="D62" s="5"/>
      <c r="E62" s="180">
        <f t="shared" ref="E62:AJ62" si="84">SUM(E42:E60)</f>
        <v>0</v>
      </c>
      <c r="F62" s="151">
        <f t="shared" si="84"/>
        <v>0</v>
      </c>
      <c r="G62" s="151">
        <f t="shared" si="84"/>
        <v>0</v>
      </c>
      <c r="H62" s="151">
        <f t="shared" si="84"/>
        <v>817440.42999999993</v>
      </c>
      <c r="I62" s="151">
        <f t="shared" si="84"/>
        <v>817440.42999999993</v>
      </c>
      <c r="J62" s="151">
        <f t="shared" si="84"/>
        <v>0</v>
      </c>
      <c r="K62" s="151">
        <f t="shared" si="84"/>
        <v>1361.9499999999987</v>
      </c>
      <c r="L62" s="151">
        <f t="shared" si="84"/>
        <v>0</v>
      </c>
      <c r="M62" s="151">
        <f t="shared" si="84"/>
        <v>0</v>
      </c>
      <c r="N62" s="152">
        <f t="shared" si="84"/>
        <v>1361.9499999999987</v>
      </c>
      <c r="O62" s="158">
        <f t="shared" si="84"/>
        <v>817440.42999999993</v>
      </c>
      <c r="P62" s="151">
        <f t="shared" si="84"/>
        <v>117783.70999999999</v>
      </c>
      <c r="Q62" s="151">
        <f t="shared" si="84"/>
        <v>0</v>
      </c>
      <c r="R62" s="151">
        <f t="shared" si="84"/>
        <v>0</v>
      </c>
      <c r="S62" s="151">
        <f t="shared" si="84"/>
        <v>935224.1399999999</v>
      </c>
      <c r="T62" s="151">
        <f t="shared" si="84"/>
        <v>1361.9499999999987</v>
      </c>
      <c r="U62" s="151">
        <f t="shared" si="84"/>
        <v>103.52</v>
      </c>
      <c r="V62" s="151">
        <f t="shared" si="84"/>
        <v>0</v>
      </c>
      <c r="W62" s="151">
        <f t="shared" si="84"/>
        <v>0</v>
      </c>
      <c r="X62" s="152">
        <f t="shared" si="84"/>
        <v>1465.4699999999987</v>
      </c>
      <c r="Y62" s="158">
        <f t="shared" si="84"/>
        <v>935224.1399999999</v>
      </c>
      <c r="Z62" s="151">
        <f t="shared" si="84"/>
        <v>87932.829999999987</v>
      </c>
      <c r="AA62" s="151">
        <f t="shared" si="84"/>
        <v>817141.42999999993</v>
      </c>
      <c r="AB62" s="151">
        <f t="shared" si="84"/>
        <v>0</v>
      </c>
      <c r="AC62" s="151">
        <f t="shared" si="84"/>
        <v>206015.53999999998</v>
      </c>
      <c r="AD62" s="151">
        <f t="shared" si="84"/>
        <v>1465.4699999999987</v>
      </c>
      <c r="AE62" s="151">
        <f t="shared" si="84"/>
        <v>120.61999999999992</v>
      </c>
      <c r="AF62" s="151">
        <f t="shared" si="84"/>
        <v>1481.98</v>
      </c>
      <c r="AG62" s="151">
        <f t="shared" si="84"/>
        <v>0</v>
      </c>
      <c r="AH62" s="152">
        <f t="shared" si="84"/>
        <v>104.10999999999862</v>
      </c>
      <c r="AI62" s="158">
        <f t="shared" si="84"/>
        <v>206015.53999999998</v>
      </c>
      <c r="AJ62" s="151">
        <f t="shared" si="84"/>
        <v>79425.01999999999</v>
      </c>
      <c r="AK62" s="151">
        <f t="shared" ref="AK62:BN62" si="85">SUM(AK42:AK60)</f>
        <v>0</v>
      </c>
      <c r="AL62" s="151">
        <f t="shared" si="85"/>
        <v>0</v>
      </c>
      <c r="AM62" s="151">
        <f t="shared" si="85"/>
        <v>0</v>
      </c>
      <c r="AN62" s="151">
        <f t="shared" si="85"/>
        <v>0</v>
      </c>
      <c r="AO62" s="151">
        <f t="shared" si="85"/>
        <v>0</v>
      </c>
      <c r="AP62" s="151">
        <f t="shared" si="85"/>
        <v>285440.55999999994</v>
      </c>
      <c r="AQ62" s="151">
        <f t="shared" si="85"/>
        <v>104.10999999999862</v>
      </c>
      <c r="AR62" s="151">
        <f t="shared" si="85"/>
        <v>270.94</v>
      </c>
      <c r="AS62" s="151">
        <f t="shared" si="85"/>
        <v>0</v>
      </c>
      <c r="AT62" s="151">
        <f t="shared" si="85"/>
        <v>0</v>
      </c>
      <c r="AU62" s="152">
        <f t="shared" si="85"/>
        <v>375.04999999999865</v>
      </c>
      <c r="AV62" s="158">
        <f t="shared" si="85"/>
        <v>285440.55999999994</v>
      </c>
      <c r="AW62" s="151">
        <f t="shared" si="85"/>
        <v>73739.549999999988</v>
      </c>
      <c r="AX62" s="151">
        <f t="shared" si="85"/>
        <v>0</v>
      </c>
      <c r="AY62" s="151">
        <f t="shared" si="85"/>
        <v>0</v>
      </c>
      <c r="AZ62" s="151">
        <f t="shared" si="85"/>
        <v>0</v>
      </c>
      <c r="BA62" s="151">
        <f t="shared" si="85"/>
        <v>0</v>
      </c>
      <c r="BB62" s="151">
        <f t="shared" si="85"/>
        <v>0</v>
      </c>
      <c r="BC62" s="151">
        <f t="shared" si="85"/>
        <v>359180.11</v>
      </c>
      <c r="BD62" s="151">
        <f t="shared" si="85"/>
        <v>375.04999999999865</v>
      </c>
      <c r="BE62" s="151">
        <f t="shared" si="85"/>
        <v>301.25</v>
      </c>
      <c r="BF62" s="151">
        <f t="shared" si="85"/>
        <v>0</v>
      </c>
      <c r="BG62" s="151">
        <f t="shared" si="85"/>
        <v>0</v>
      </c>
      <c r="BH62" s="152">
        <f t="shared" si="85"/>
        <v>676.29999999999859</v>
      </c>
      <c r="BI62" s="158">
        <f t="shared" si="85"/>
        <v>0</v>
      </c>
      <c r="BJ62" s="151">
        <f t="shared" si="85"/>
        <v>0</v>
      </c>
      <c r="BK62" s="151">
        <f t="shared" si="85"/>
        <v>359180.11</v>
      </c>
      <c r="BL62" s="152">
        <f t="shared" si="85"/>
        <v>676.29999999999859</v>
      </c>
      <c r="BM62" s="151">
        <f t="shared" si="85"/>
        <v>609.45509100000004</v>
      </c>
      <c r="BN62" s="151">
        <f t="shared" si="85"/>
        <v>203.15169700000001</v>
      </c>
      <c r="BO62" s="145">
        <f t="shared" si="37"/>
        <v>360669.01678800001</v>
      </c>
      <c r="BP62" s="159">
        <f>SUM(BP42:BP60)</f>
        <v>359856.41000000003</v>
      </c>
      <c r="BQ62" s="145">
        <f t="shared" si="73"/>
        <v>0</v>
      </c>
    </row>
    <row r="63" spans="1:69" s="148" customFormat="1" ht="15" thickBot="1" x14ac:dyDescent="0.25">
      <c r="A63" s="1"/>
      <c r="B63" s="1"/>
      <c r="C63" s="5"/>
      <c r="D63" s="5"/>
      <c r="E63" s="180"/>
      <c r="F63" s="151"/>
      <c r="G63" s="151"/>
      <c r="H63" s="151"/>
      <c r="I63" s="151"/>
      <c r="J63" s="151"/>
      <c r="K63" s="151"/>
      <c r="L63" s="151"/>
      <c r="M63" s="151"/>
      <c r="N63" s="152"/>
      <c r="O63" s="158"/>
      <c r="P63" s="151"/>
      <c r="Q63" s="151"/>
      <c r="R63" s="151"/>
      <c r="S63" s="151"/>
      <c r="T63" s="151"/>
      <c r="U63" s="151"/>
      <c r="V63" s="151"/>
      <c r="W63" s="151"/>
      <c r="X63" s="152"/>
      <c r="Y63" s="158"/>
      <c r="Z63" s="151"/>
      <c r="AA63" s="151"/>
      <c r="AB63" s="151"/>
      <c r="AC63" s="151"/>
      <c r="AD63" s="151"/>
      <c r="AE63" s="151"/>
      <c r="AF63" s="151"/>
      <c r="AG63" s="151"/>
      <c r="AH63" s="152"/>
      <c r="AI63" s="158"/>
      <c r="AJ63" s="151"/>
      <c r="AK63" s="151"/>
      <c r="AL63" s="151"/>
      <c r="AM63" s="151"/>
      <c r="AN63" s="151"/>
      <c r="AO63" s="151"/>
      <c r="AP63" s="151"/>
      <c r="AQ63" s="151"/>
      <c r="AR63" s="151"/>
      <c r="AS63" s="151"/>
      <c r="AT63" s="151"/>
      <c r="AU63" s="152"/>
      <c r="AV63" s="158"/>
      <c r="AW63" s="151"/>
      <c r="AX63" s="151"/>
      <c r="AY63" s="151"/>
      <c r="AZ63" s="151"/>
      <c r="BA63" s="151"/>
      <c r="BB63" s="151"/>
      <c r="BC63" s="151"/>
      <c r="BD63" s="151"/>
      <c r="BE63" s="151"/>
      <c r="BF63" s="151"/>
      <c r="BG63" s="151"/>
      <c r="BH63" s="152"/>
      <c r="BI63" s="158"/>
      <c r="BJ63" s="151"/>
      <c r="BK63" s="151"/>
      <c r="BL63" s="152"/>
      <c r="BM63" s="144"/>
      <c r="BN63" s="144"/>
      <c r="BO63" s="145"/>
      <c r="BP63" s="146"/>
      <c r="BQ63" s="145"/>
    </row>
    <row r="64" spans="1:69" s="148" customFormat="1" ht="15" thickBot="1" x14ac:dyDescent="0.25">
      <c r="A64" s="1">
        <v>32</v>
      </c>
      <c r="B64" s="1"/>
      <c r="C64" s="5" t="s">
        <v>8</v>
      </c>
      <c r="D64" s="7">
        <v>1562</v>
      </c>
      <c r="E64" s="179"/>
      <c r="F64" s="150"/>
      <c r="G64" s="150"/>
      <c r="H64" s="150">
        <f>-4111523.77+122278.98</f>
        <v>-3989244.79</v>
      </c>
      <c r="I64" s="151">
        <f>E64+F64-G64+H64</f>
        <v>-3989244.79</v>
      </c>
      <c r="J64" s="162"/>
      <c r="K64" s="150">
        <f>-778497.16+16435.58+4024</f>
        <v>-758037.58000000007</v>
      </c>
      <c r="L64" s="150"/>
      <c r="M64" s="150"/>
      <c r="N64" s="152">
        <f>J64+K64-L64+M64</f>
        <v>-758037.58000000007</v>
      </c>
      <c r="O64" s="153">
        <f>I64</f>
        <v>-3989244.79</v>
      </c>
      <c r="P64" s="150"/>
      <c r="Q64" s="150"/>
      <c r="R64" s="150"/>
      <c r="S64" s="151">
        <f>O64+P64-Q64+SUM(R64:R64)</f>
        <v>-3989244.79</v>
      </c>
      <c r="T64" s="154">
        <f>N64</f>
        <v>-758037.58000000007</v>
      </c>
      <c r="U64" s="150">
        <v>-32873.03</v>
      </c>
      <c r="V64" s="150"/>
      <c r="W64" s="150"/>
      <c r="X64" s="152">
        <f>T64+U64-V64+W64</f>
        <v>-790910.6100000001</v>
      </c>
      <c r="Y64" s="153">
        <f>S64</f>
        <v>-3989244.79</v>
      </c>
      <c r="Z64" s="150">
        <f>1674589.77+308297.65</f>
        <v>1982887.42</v>
      </c>
      <c r="AA64" s="150"/>
      <c r="AB64" s="150"/>
      <c r="AC64" s="151">
        <f>Y64+Z64-AA64+SUM(AB64:AB64)</f>
        <v>-2006357.37</v>
      </c>
      <c r="AD64" s="154">
        <f>X64</f>
        <v>-790910.6100000001</v>
      </c>
      <c r="AE64" s="150">
        <f>345641.19+95514.82-4024</f>
        <v>437132.01</v>
      </c>
      <c r="AF64" s="150"/>
      <c r="AG64" s="150"/>
      <c r="AH64" s="152">
        <f>AD64+AE64-AF64+AG64</f>
        <v>-353778.60000000009</v>
      </c>
      <c r="AI64" s="153">
        <f>AC64</f>
        <v>-2006357.37</v>
      </c>
      <c r="AJ64" s="150">
        <f>-74881-198294.63</f>
        <v>-273175.63</v>
      </c>
      <c r="AK64" s="150">
        <f>-2511815+232282</f>
        <v>-2279533</v>
      </c>
      <c r="AL64" s="150"/>
      <c r="AM64" s="150"/>
      <c r="AN64" s="150"/>
      <c r="AO64" s="150"/>
      <c r="AP64" s="151">
        <f>AI64+AJ64-AK64+SUM(AL64:AO64)</f>
        <v>0</v>
      </c>
      <c r="AQ64" s="154">
        <f>AH64</f>
        <v>-353778.60000000009</v>
      </c>
      <c r="AR64" s="150">
        <f>-45997.89-64286.54</f>
        <v>-110284.43</v>
      </c>
      <c r="AS64" s="150">
        <f>-511726.89+47663.86</f>
        <v>-464063.03</v>
      </c>
      <c r="AT64" s="150"/>
      <c r="AU64" s="152">
        <f>AQ64+AR64-AS64+AT64</f>
        <v>-5.8207660913467407E-11</v>
      </c>
      <c r="AV64" s="153">
        <f>AP64</f>
        <v>0</v>
      </c>
      <c r="AW64" s="150"/>
      <c r="AX64" s="150"/>
      <c r="AY64" s="150"/>
      <c r="AZ64" s="150"/>
      <c r="BA64" s="150"/>
      <c r="BB64" s="150"/>
      <c r="BC64" s="151">
        <f>AV64+AW64-AX64+SUM(AY64:BB64)</f>
        <v>0</v>
      </c>
      <c r="BD64" s="154">
        <f>AU64</f>
        <v>-5.8207660913467407E-11</v>
      </c>
      <c r="BE64" s="150"/>
      <c r="BF64" s="150"/>
      <c r="BG64" s="150"/>
      <c r="BH64" s="152">
        <f>BD64+BE64-BF64+BG64</f>
        <v>-5.8207660913467407E-11</v>
      </c>
      <c r="BI64" s="149"/>
      <c r="BJ64" s="150"/>
      <c r="BK64" s="154">
        <f t="shared" ref="BK64:BK66" si="86">BC64-BI64</f>
        <v>0</v>
      </c>
      <c r="BL64" s="155">
        <f t="shared" ref="BL64:BL66" si="87">BH64-BJ64</f>
        <v>-5.8207660913467407E-11</v>
      </c>
      <c r="BM64" s="156"/>
      <c r="BN64" s="150"/>
      <c r="BO64" s="145">
        <f t="shared" si="37"/>
        <v>-5.8207660913467407E-11</v>
      </c>
      <c r="BP64" s="157"/>
      <c r="BQ64" s="145">
        <f t="shared" si="73"/>
        <v>5.8207660913467407E-11</v>
      </c>
    </row>
    <row r="65" spans="1:69" s="148" customFormat="1" ht="29.25" thickBot="1" x14ac:dyDescent="0.25">
      <c r="A65" s="1">
        <v>33</v>
      </c>
      <c r="B65" s="1"/>
      <c r="C65" s="28" t="s">
        <v>48</v>
      </c>
      <c r="D65" s="29">
        <v>1592</v>
      </c>
      <c r="E65" s="179"/>
      <c r="F65" s="150"/>
      <c r="G65" s="150"/>
      <c r="H65" s="150"/>
      <c r="I65" s="151">
        <f>E65+F65-G65+H65</f>
        <v>0</v>
      </c>
      <c r="J65" s="162"/>
      <c r="K65" s="150"/>
      <c r="L65" s="150"/>
      <c r="M65" s="150"/>
      <c r="N65" s="152">
        <f>J65+K65-L65+M65</f>
        <v>0</v>
      </c>
      <c r="O65" s="153">
        <f>I65</f>
        <v>0</v>
      </c>
      <c r="P65" s="150"/>
      <c r="Q65" s="150"/>
      <c r="R65" s="150"/>
      <c r="S65" s="151">
        <f>O65+P65-Q65+SUM(R65:R65)</f>
        <v>0</v>
      </c>
      <c r="T65" s="154">
        <f>N65</f>
        <v>0</v>
      </c>
      <c r="U65" s="150"/>
      <c r="V65" s="150"/>
      <c r="W65" s="150"/>
      <c r="X65" s="152">
        <f>T65+U65-V65+W65</f>
        <v>0</v>
      </c>
      <c r="Y65" s="153">
        <f>S65</f>
        <v>0</v>
      </c>
      <c r="Z65" s="150"/>
      <c r="AA65" s="150"/>
      <c r="AB65" s="150"/>
      <c r="AC65" s="151">
        <f>Y65+Z65-AA65+SUM(AB65:AB65)</f>
        <v>0</v>
      </c>
      <c r="AD65" s="154">
        <f>X65</f>
        <v>0</v>
      </c>
      <c r="AE65" s="150"/>
      <c r="AF65" s="150"/>
      <c r="AG65" s="150"/>
      <c r="AH65" s="152">
        <f>AD65+AE65-AF65+AG65</f>
        <v>0</v>
      </c>
      <c r="AI65" s="153">
        <f>AC65</f>
        <v>0</v>
      </c>
      <c r="AJ65" s="150"/>
      <c r="AK65" s="150"/>
      <c r="AL65" s="150"/>
      <c r="AM65" s="150"/>
      <c r="AN65" s="150"/>
      <c r="AO65" s="150"/>
      <c r="AP65" s="151">
        <f>AI65+AJ65-AK65+SUM(AL65:AO65)</f>
        <v>0</v>
      </c>
      <c r="AQ65" s="154">
        <f>AH65</f>
        <v>0</v>
      </c>
      <c r="AR65" s="150"/>
      <c r="AS65" s="150"/>
      <c r="AT65" s="150"/>
      <c r="AU65" s="152">
        <f>AQ65+AR65-AS65+AT65</f>
        <v>0</v>
      </c>
      <c r="AV65" s="153">
        <f>AP65</f>
        <v>0</v>
      </c>
      <c r="AW65" s="150"/>
      <c r="AX65" s="150"/>
      <c r="AY65" s="150"/>
      <c r="AZ65" s="150"/>
      <c r="BA65" s="150"/>
      <c r="BB65" s="150"/>
      <c r="BC65" s="151">
        <f>AV65+AW65-AX65+SUM(AY65:BB65)</f>
        <v>0</v>
      </c>
      <c r="BD65" s="154">
        <f>AU65</f>
        <v>0</v>
      </c>
      <c r="BE65" s="150"/>
      <c r="BF65" s="150"/>
      <c r="BG65" s="150"/>
      <c r="BH65" s="152">
        <f>BD65+BE65-BF65+BG65</f>
        <v>0</v>
      </c>
      <c r="BI65" s="149"/>
      <c r="BJ65" s="150"/>
      <c r="BK65" s="154">
        <f t="shared" si="86"/>
        <v>0</v>
      </c>
      <c r="BL65" s="155">
        <f t="shared" si="87"/>
        <v>0</v>
      </c>
      <c r="BM65" s="156"/>
      <c r="BN65" s="150"/>
      <c r="BO65" s="145">
        <f t="shared" si="37"/>
        <v>0</v>
      </c>
      <c r="BP65" s="157"/>
      <c r="BQ65" s="145">
        <f t="shared" si="73"/>
        <v>0</v>
      </c>
    </row>
    <row r="66" spans="1:69" s="148" customFormat="1" ht="29.25" thickBot="1" x14ac:dyDescent="0.25">
      <c r="A66" s="1">
        <v>34</v>
      </c>
      <c r="B66" s="1"/>
      <c r="C66" s="28" t="s">
        <v>47</v>
      </c>
      <c r="D66" s="29">
        <v>1592</v>
      </c>
      <c r="E66" s="179"/>
      <c r="F66" s="150"/>
      <c r="G66" s="150"/>
      <c r="H66" s="150"/>
      <c r="I66" s="151">
        <f>E66+F66-G66+H66</f>
        <v>0</v>
      </c>
      <c r="J66" s="162"/>
      <c r="K66" s="150"/>
      <c r="L66" s="150"/>
      <c r="M66" s="150"/>
      <c r="N66" s="152">
        <f>J66+K66-L66+M66</f>
        <v>0</v>
      </c>
      <c r="O66" s="153">
        <f>I66</f>
        <v>0</v>
      </c>
      <c r="P66" s="150">
        <f>-69243.18/2</f>
        <v>-34621.589999999997</v>
      </c>
      <c r="Q66" s="150"/>
      <c r="R66" s="150"/>
      <c r="S66" s="151">
        <f>O66+P66-Q66+SUM(R66:R66)</f>
        <v>-34621.589999999997</v>
      </c>
      <c r="T66" s="154">
        <f>N66</f>
        <v>0</v>
      </c>
      <c r="U66" s="150"/>
      <c r="V66" s="150"/>
      <c r="W66" s="150"/>
      <c r="X66" s="152">
        <f>T66+U66-V66+W66</f>
        <v>0</v>
      </c>
      <c r="Y66" s="153">
        <f>S66</f>
        <v>-34621.589999999997</v>
      </c>
      <c r="Z66" s="150">
        <f>-54431.92/2</f>
        <v>-27215.96</v>
      </c>
      <c r="AA66" s="150"/>
      <c r="AB66" s="150"/>
      <c r="AC66" s="151">
        <f>Y66+Z66-AA66+SUM(AB66:AB66)</f>
        <v>-61837.549999999996</v>
      </c>
      <c r="AD66" s="154">
        <f>X66</f>
        <v>0</v>
      </c>
      <c r="AE66" s="150"/>
      <c r="AF66" s="150"/>
      <c r="AG66" s="150"/>
      <c r="AH66" s="152">
        <f>AD66+AE66-AF66+AG66</f>
        <v>0</v>
      </c>
      <c r="AI66" s="153">
        <f>AC66</f>
        <v>-61837.549999999996</v>
      </c>
      <c r="AJ66" s="150"/>
      <c r="AK66" s="150"/>
      <c r="AL66" s="150"/>
      <c r="AM66" s="150"/>
      <c r="AN66" s="150"/>
      <c r="AO66" s="150"/>
      <c r="AP66" s="151">
        <f>AI66+AJ66-AK66+SUM(AL66:AO66)</f>
        <v>-61837.549999999996</v>
      </c>
      <c r="AQ66" s="154">
        <f>AH66</f>
        <v>0</v>
      </c>
      <c r="AR66" s="150"/>
      <c r="AS66" s="150"/>
      <c r="AT66" s="150"/>
      <c r="AU66" s="152">
        <f>AQ66+AR66-AS66+AT66</f>
        <v>0</v>
      </c>
      <c r="AV66" s="153">
        <f>AP66</f>
        <v>-61837.549999999996</v>
      </c>
      <c r="AW66" s="150"/>
      <c r="AX66" s="150"/>
      <c r="AY66" s="150"/>
      <c r="AZ66" s="150"/>
      <c r="BA66" s="150"/>
      <c r="BB66" s="150"/>
      <c r="BC66" s="151">
        <f>AV66+AW66-AX66+SUM(AY66:BB66)</f>
        <v>-61837.549999999996</v>
      </c>
      <c r="BD66" s="154">
        <f>AU66</f>
        <v>0</v>
      </c>
      <c r="BE66" s="150"/>
      <c r="BF66" s="150"/>
      <c r="BG66" s="150"/>
      <c r="BH66" s="152">
        <f>BD66+BE66-BF66+BG66</f>
        <v>0</v>
      </c>
      <c r="BI66" s="149"/>
      <c r="BJ66" s="150"/>
      <c r="BK66" s="154">
        <f t="shared" si="86"/>
        <v>-61837.549999999996</v>
      </c>
      <c r="BL66" s="155">
        <f t="shared" si="87"/>
        <v>0</v>
      </c>
      <c r="BM66" s="156">
        <f>BK66*0.0147</f>
        <v>-909.01198499999987</v>
      </c>
      <c r="BN66" s="150">
        <f>BK66*0.0147*4/12</f>
        <v>-303.00399499999997</v>
      </c>
      <c r="BO66" s="145">
        <f t="shared" si="37"/>
        <v>-63049.565979999992</v>
      </c>
      <c r="BP66" s="157"/>
      <c r="BQ66" s="145">
        <f t="shared" si="73"/>
        <v>61837.549999999996</v>
      </c>
    </row>
    <row r="67" spans="1:69" s="148" customFormat="1" ht="14.25" x14ac:dyDescent="0.2">
      <c r="A67" s="1"/>
      <c r="B67" s="1"/>
      <c r="C67" s="5"/>
      <c r="D67" s="5"/>
      <c r="E67" s="180"/>
      <c r="F67" s="151"/>
      <c r="G67" s="151"/>
      <c r="H67" s="151"/>
      <c r="I67" s="151"/>
      <c r="J67" s="151"/>
      <c r="K67" s="151"/>
      <c r="L67" s="151"/>
      <c r="M67" s="151"/>
      <c r="N67" s="152"/>
      <c r="O67" s="158"/>
      <c r="P67" s="151"/>
      <c r="Q67" s="151"/>
      <c r="R67" s="151"/>
      <c r="S67" s="151"/>
      <c r="T67" s="151"/>
      <c r="U67" s="151"/>
      <c r="V67" s="151"/>
      <c r="W67" s="151"/>
      <c r="X67" s="152"/>
      <c r="Y67" s="158"/>
      <c r="Z67" s="151"/>
      <c r="AA67" s="151"/>
      <c r="AB67" s="151"/>
      <c r="AC67" s="151"/>
      <c r="AD67" s="151"/>
      <c r="AE67" s="151"/>
      <c r="AF67" s="151"/>
      <c r="AG67" s="151"/>
      <c r="AH67" s="152"/>
      <c r="AI67" s="158"/>
      <c r="AJ67" s="151"/>
      <c r="AK67" s="151"/>
      <c r="AL67" s="151"/>
      <c r="AM67" s="151"/>
      <c r="AN67" s="151"/>
      <c r="AO67" s="151"/>
      <c r="AP67" s="151"/>
      <c r="AQ67" s="151"/>
      <c r="AR67" s="151"/>
      <c r="AS67" s="151"/>
      <c r="AT67" s="151"/>
      <c r="AU67" s="152"/>
      <c r="AV67" s="158"/>
      <c r="AW67" s="151"/>
      <c r="AX67" s="151"/>
      <c r="AY67" s="151"/>
      <c r="AZ67" s="151"/>
      <c r="BA67" s="151"/>
      <c r="BB67" s="151"/>
      <c r="BC67" s="151"/>
      <c r="BD67" s="151"/>
      <c r="BE67" s="151"/>
      <c r="BF67" s="151"/>
      <c r="BG67" s="151"/>
      <c r="BH67" s="152"/>
      <c r="BI67" s="158"/>
      <c r="BJ67" s="151"/>
      <c r="BK67" s="151"/>
      <c r="BL67" s="152"/>
      <c r="BM67" s="144"/>
      <c r="BN67" s="144"/>
      <c r="BO67" s="145"/>
      <c r="BP67" s="146"/>
      <c r="BQ67" s="145"/>
    </row>
    <row r="68" spans="1:69" s="148" customFormat="1" ht="15" x14ac:dyDescent="0.25">
      <c r="A68" s="1"/>
      <c r="B68" s="1"/>
      <c r="C68" s="14" t="s">
        <v>36</v>
      </c>
      <c r="D68" s="5"/>
      <c r="E68" s="180">
        <f t="shared" ref="E68:AJ68" si="88">+E62+E37+E64+E65+E66</f>
        <v>0</v>
      </c>
      <c r="F68" s="151">
        <f t="shared" si="88"/>
        <v>0</v>
      </c>
      <c r="G68" s="151">
        <f t="shared" si="88"/>
        <v>0</v>
      </c>
      <c r="H68" s="151">
        <f t="shared" si="88"/>
        <v>-3171804.3600000003</v>
      </c>
      <c r="I68" s="151">
        <f t="shared" si="88"/>
        <v>-3171804.3600000003</v>
      </c>
      <c r="J68" s="151">
        <f t="shared" si="88"/>
        <v>0</v>
      </c>
      <c r="K68" s="151">
        <f t="shared" si="88"/>
        <v>-756675.63000000012</v>
      </c>
      <c r="L68" s="151">
        <f t="shared" si="88"/>
        <v>0</v>
      </c>
      <c r="M68" s="151">
        <f t="shared" si="88"/>
        <v>0</v>
      </c>
      <c r="N68" s="152">
        <f t="shared" si="88"/>
        <v>-756675.63000000012</v>
      </c>
      <c r="O68" s="158">
        <f t="shared" si="88"/>
        <v>-3171804.3600000003</v>
      </c>
      <c r="P68" s="151">
        <f t="shared" si="88"/>
        <v>83162.12</v>
      </c>
      <c r="Q68" s="151">
        <f t="shared" si="88"/>
        <v>0</v>
      </c>
      <c r="R68" s="151">
        <f t="shared" si="88"/>
        <v>0</v>
      </c>
      <c r="S68" s="151">
        <f t="shared" si="88"/>
        <v>-3088642.24</v>
      </c>
      <c r="T68" s="151">
        <f t="shared" si="88"/>
        <v>-756675.63000000012</v>
      </c>
      <c r="U68" s="151">
        <f t="shared" si="88"/>
        <v>-32769.51</v>
      </c>
      <c r="V68" s="151">
        <f t="shared" si="88"/>
        <v>0</v>
      </c>
      <c r="W68" s="151">
        <f t="shared" si="88"/>
        <v>0</v>
      </c>
      <c r="X68" s="152">
        <f t="shared" si="88"/>
        <v>-789445.14000000013</v>
      </c>
      <c r="Y68" s="158">
        <f t="shared" si="88"/>
        <v>-3088642.24</v>
      </c>
      <c r="Z68" s="151">
        <f t="shared" si="88"/>
        <v>2043604.29</v>
      </c>
      <c r="AA68" s="151">
        <f t="shared" si="88"/>
        <v>817141.42999999993</v>
      </c>
      <c r="AB68" s="151">
        <f t="shared" si="88"/>
        <v>0</v>
      </c>
      <c r="AC68" s="151">
        <f t="shared" si="88"/>
        <v>-1862179.3800000001</v>
      </c>
      <c r="AD68" s="151">
        <f t="shared" si="88"/>
        <v>-789445.14000000013</v>
      </c>
      <c r="AE68" s="151">
        <f t="shared" si="88"/>
        <v>437252.63</v>
      </c>
      <c r="AF68" s="151">
        <f t="shared" si="88"/>
        <v>1481.98</v>
      </c>
      <c r="AG68" s="151">
        <f t="shared" si="88"/>
        <v>0</v>
      </c>
      <c r="AH68" s="152">
        <f t="shared" si="88"/>
        <v>-353674.49000000011</v>
      </c>
      <c r="AI68" s="158">
        <f t="shared" si="88"/>
        <v>-1862179.3800000001</v>
      </c>
      <c r="AJ68" s="151">
        <f t="shared" si="88"/>
        <v>-193750.61000000002</v>
      </c>
      <c r="AK68" s="151">
        <f t="shared" ref="AK68:BP68" si="89">+AK62+AK37+AK64+AK65+AK66</f>
        <v>-2279533</v>
      </c>
      <c r="AL68" s="151">
        <f t="shared" si="89"/>
        <v>0</v>
      </c>
      <c r="AM68" s="151">
        <f t="shared" si="89"/>
        <v>0</v>
      </c>
      <c r="AN68" s="151">
        <f t="shared" si="89"/>
        <v>0</v>
      </c>
      <c r="AO68" s="151">
        <f t="shared" si="89"/>
        <v>-4619846.4999999991</v>
      </c>
      <c r="AP68" s="151">
        <f t="shared" si="89"/>
        <v>-4396243.4899999993</v>
      </c>
      <c r="AQ68" s="151">
        <f t="shared" si="89"/>
        <v>-353674.49000000011</v>
      </c>
      <c r="AR68" s="151">
        <f t="shared" si="89"/>
        <v>-110013.48999999999</v>
      </c>
      <c r="AS68" s="151">
        <f t="shared" si="89"/>
        <v>-464063.03</v>
      </c>
      <c r="AT68" s="151">
        <f t="shared" si="89"/>
        <v>1550434.4500000002</v>
      </c>
      <c r="AU68" s="152">
        <f t="shared" si="89"/>
        <v>1550809.5000000002</v>
      </c>
      <c r="AV68" s="158">
        <f t="shared" si="89"/>
        <v>-4396243.4899999993</v>
      </c>
      <c r="AW68" s="151">
        <f t="shared" si="89"/>
        <v>324370.30000000028</v>
      </c>
      <c r="AX68" s="151">
        <f t="shared" si="89"/>
        <v>0</v>
      </c>
      <c r="AY68" s="151">
        <f t="shared" si="89"/>
        <v>0</v>
      </c>
      <c r="AZ68" s="151">
        <f t="shared" si="89"/>
        <v>0</v>
      </c>
      <c r="BA68" s="151">
        <f t="shared" si="89"/>
        <v>0</v>
      </c>
      <c r="BB68" s="151">
        <f t="shared" si="89"/>
        <v>0</v>
      </c>
      <c r="BC68" s="151">
        <f t="shared" si="89"/>
        <v>-4071873.19</v>
      </c>
      <c r="BD68" s="151">
        <f t="shared" si="89"/>
        <v>1550809.5000000002</v>
      </c>
      <c r="BE68" s="151">
        <f t="shared" si="89"/>
        <v>-145525.17000000001</v>
      </c>
      <c r="BF68" s="151">
        <f t="shared" si="89"/>
        <v>0</v>
      </c>
      <c r="BG68" s="151">
        <f t="shared" si="89"/>
        <v>0</v>
      </c>
      <c r="BH68" s="152">
        <f t="shared" si="89"/>
        <v>1405284.3300000003</v>
      </c>
      <c r="BI68" s="158">
        <f t="shared" si="89"/>
        <v>-4617566.0999999996</v>
      </c>
      <c r="BJ68" s="151">
        <f t="shared" si="89"/>
        <v>1456689.19</v>
      </c>
      <c r="BK68" s="151">
        <f t="shared" si="89"/>
        <v>545692.90999999922</v>
      </c>
      <c r="BL68" s="152">
        <f t="shared" si="89"/>
        <v>-51404.860000000066</v>
      </c>
      <c r="BM68" s="151">
        <f t="shared" si="89"/>
        <v>3351.1883999999891</v>
      </c>
      <c r="BN68" s="151">
        <f t="shared" si="89"/>
        <v>1117.0627999999967</v>
      </c>
      <c r="BO68" s="145">
        <f t="shared" si="89"/>
        <v>498756.30119999958</v>
      </c>
      <c r="BP68" s="146">
        <f t="shared" si="89"/>
        <v>-2604751.6600000006</v>
      </c>
      <c r="BQ68" s="145">
        <f t="shared" si="73"/>
        <v>61837.199999998789</v>
      </c>
    </row>
    <row r="69" spans="1:69" s="148" customFormat="1" ht="14.25" x14ac:dyDescent="0.2">
      <c r="A69" s="1"/>
      <c r="B69" s="1"/>
      <c r="C69" s="15"/>
      <c r="D69" s="15"/>
      <c r="E69" s="180"/>
      <c r="F69" s="151"/>
      <c r="G69" s="151"/>
      <c r="H69" s="151"/>
      <c r="I69" s="151"/>
      <c r="J69" s="151"/>
      <c r="K69" s="151"/>
      <c r="L69" s="151"/>
      <c r="M69" s="151"/>
      <c r="N69" s="152"/>
      <c r="O69" s="158"/>
      <c r="P69" s="151"/>
      <c r="Q69" s="151"/>
      <c r="R69" s="151"/>
      <c r="S69" s="151"/>
      <c r="T69" s="151"/>
      <c r="U69" s="151"/>
      <c r="V69" s="151"/>
      <c r="W69" s="151"/>
      <c r="X69" s="152"/>
      <c r="Y69" s="158"/>
      <c r="Z69" s="151"/>
      <c r="AA69" s="151"/>
      <c r="AB69" s="151"/>
      <c r="AC69" s="151"/>
      <c r="AD69" s="151"/>
      <c r="AE69" s="151"/>
      <c r="AF69" s="151"/>
      <c r="AG69" s="151"/>
      <c r="AH69" s="152"/>
      <c r="AI69" s="158"/>
      <c r="AJ69" s="151"/>
      <c r="AK69" s="151"/>
      <c r="AL69" s="151"/>
      <c r="AM69" s="151"/>
      <c r="AN69" s="151"/>
      <c r="AO69" s="151"/>
      <c r="AP69" s="151"/>
      <c r="AQ69" s="151"/>
      <c r="AR69" s="151"/>
      <c r="AS69" s="151"/>
      <c r="AT69" s="151"/>
      <c r="AU69" s="152"/>
      <c r="AV69" s="158"/>
      <c r="AW69" s="151"/>
      <c r="AX69" s="151"/>
      <c r="AY69" s="151"/>
      <c r="AZ69" s="151"/>
      <c r="BA69" s="151"/>
      <c r="BB69" s="151"/>
      <c r="BC69" s="151"/>
      <c r="BD69" s="151"/>
      <c r="BE69" s="151"/>
      <c r="BF69" s="151"/>
      <c r="BG69" s="151"/>
      <c r="BH69" s="152"/>
      <c r="BI69" s="158"/>
      <c r="BJ69" s="151"/>
      <c r="BK69" s="151"/>
      <c r="BL69" s="152"/>
      <c r="BM69" s="144"/>
      <c r="BN69" s="144"/>
      <c r="BO69" s="145"/>
      <c r="BP69" s="146"/>
      <c r="BQ69" s="145"/>
    </row>
    <row r="70" spans="1:69" s="148" customFormat="1" ht="15" thickBot="1" x14ac:dyDescent="0.25">
      <c r="A70" s="1"/>
      <c r="B70" s="1"/>
      <c r="C70" s="15"/>
      <c r="D70" s="15"/>
      <c r="E70" s="180"/>
      <c r="F70" s="151"/>
      <c r="G70" s="151"/>
      <c r="H70" s="151"/>
      <c r="I70" s="151"/>
      <c r="J70" s="151"/>
      <c r="K70" s="151"/>
      <c r="L70" s="151"/>
      <c r="M70" s="151"/>
      <c r="N70" s="152"/>
      <c r="O70" s="158"/>
      <c r="P70" s="151"/>
      <c r="Q70" s="151"/>
      <c r="R70" s="151"/>
      <c r="S70" s="151"/>
      <c r="T70" s="151"/>
      <c r="U70" s="151"/>
      <c r="V70" s="151"/>
      <c r="W70" s="151"/>
      <c r="X70" s="152"/>
      <c r="Y70" s="158"/>
      <c r="Z70" s="151"/>
      <c r="AA70" s="151"/>
      <c r="AB70" s="151"/>
      <c r="AC70" s="151"/>
      <c r="AD70" s="151"/>
      <c r="AE70" s="151"/>
      <c r="AF70" s="151"/>
      <c r="AG70" s="151"/>
      <c r="AH70" s="152"/>
      <c r="AI70" s="158"/>
      <c r="AJ70" s="151"/>
      <c r="AK70" s="151"/>
      <c r="AL70" s="151"/>
      <c r="AM70" s="151"/>
      <c r="AN70" s="151"/>
      <c r="AO70" s="151"/>
      <c r="AP70" s="151"/>
      <c r="AQ70" s="151"/>
      <c r="AR70" s="151"/>
      <c r="AS70" s="151"/>
      <c r="AT70" s="151"/>
      <c r="AU70" s="152"/>
      <c r="AV70" s="158"/>
      <c r="AW70" s="151"/>
      <c r="AX70" s="151"/>
      <c r="AY70" s="151"/>
      <c r="AZ70" s="151"/>
      <c r="BA70" s="151"/>
      <c r="BB70" s="151"/>
      <c r="BC70" s="151"/>
      <c r="BD70" s="151"/>
      <c r="BE70" s="151"/>
      <c r="BF70" s="151"/>
      <c r="BG70" s="151"/>
      <c r="BH70" s="152"/>
      <c r="BI70" s="158"/>
      <c r="BJ70" s="151"/>
      <c r="BK70" s="151"/>
      <c r="BL70" s="152"/>
      <c r="BM70" s="144"/>
      <c r="BN70" s="144"/>
      <c r="BO70" s="145"/>
      <c r="BP70" s="146"/>
      <c r="BQ70" s="145"/>
    </row>
    <row r="71" spans="1:69" s="148" customFormat="1" ht="15.75" thickBot="1" x14ac:dyDescent="0.3">
      <c r="A71" s="1">
        <v>35</v>
      </c>
      <c r="B71" s="1"/>
      <c r="C71" s="58" t="s">
        <v>98</v>
      </c>
      <c r="D71" s="59">
        <v>1568</v>
      </c>
      <c r="E71" s="184"/>
      <c r="F71" s="166"/>
      <c r="G71" s="166"/>
      <c r="H71" s="166"/>
      <c r="I71" s="166"/>
      <c r="J71" s="166"/>
      <c r="K71" s="166"/>
      <c r="L71" s="166"/>
      <c r="M71" s="166"/>
      <c r="N71" s="167"/>
      <c r="O71" s="168"/>
      <c r="P71" s="169"/>
      <c r="Q71" s="169"/>
      <c r="R71" s="169"/>
      <c r="S71" s="151">
        <f>O71+P71-Q71+SUM(R71:R71)</f>
        <v>0</v>
      </c>
      <c r="T71" s="169"/>
      <c r="U71" s="169"/>
      <c r="V71" s="169"/>
      <c r="W71" s="169"/>
      <c r="X71" s="152">
        <f>T71+U71-V71+W71</f>
        <v>0</v>
      </c>
      <c r="Y71" s="153">
        <f>S71</f>
        <v>0</v>
      </c>
      <c r="Z71" s="169"/>
      <c r="AA71" s="169"/>
      <c r="AB71" s="169"/>
      <c r="AC71" s="151">
        <f>Y71+Z71-AA71+SUM(AB71:AB71)</f>
        <v>0</v>
      </c>
      <c r="AD71" s="151">
        <f>X71</f>
        <v>0</v>
      </c>
      <c r="AE71" s="169"/>
      <c r="AF71" s="169"/>
      <c r="AG71" s="150"/>
      <c r="AH71" s="152">
        <f>AD71+AE71-AF71+AG71</f>
        <v>0</v>
      </c>
      <c r="AI71" s="153">
        <f>AC71</f>
        <v>0</v>
      </c>
      <c r="AJ71" s="169"/>
      <c r="AK71" s="169"/>
      <c r="AL71" s="169"/>
      <c r="AM71" s="169"/>
      <c r="AN71" s="169"/>
      <c r="AO71" s="169"/>
      <c r="AP71" s="151">
        <f>AI71+AJ71-AK71+SUM(AL71:AO71)</f>
        <v>0</v>
      </c>
      <c r="AQ71" s="151">
        <f>AH71</f>
        <v>0</v>
      </c>
      <c r="AR71" s="169"/>
      <c r="AS71" s="169"/>
      <c r="AT71" s="150"/>
      <c r="AU71" s="152">
        <f>AQ71+AR71-AS71+AT71</f>
        <v>0</v>
      </c>
      <c r="AV71" s="153">
        <f>AP71</f>
        <v>0</v>
      </c>
      <c r="AW71" s="169"/>
      <c r="AX71" s="169"/>
      <c r="AY71" s="169"/>
      <c r="AZ71" s="169"/>
      <c r="BA71" s="169"/>
      <c r="BB71" s="169"/>
      <c r="BC71" s="151">
        <f>AV71+AW71-AX71+SUM(AY71:BB71)</f>
        <v>0</v>
      </c>
      <c r="BD71" s="151">
        <f>AU71</f>
        <v>0</v>
      </c>
      <c r="BE71" s="169"/>
      <c r="BF71" s="169"/>
      <c r="BG71" s="150"/>
      <c r="BH71" s="152">
        <f>BD71+BE71-BF71+BG71</f>
        <v>0</v>
      </c>
      <c r="BI71" s="169"/>
      <c r="BJ71" s="169"/>
      <c r="BK71" s="154">
        <f t="shared" ref="BK71" si="90">BC71-BI71</f>
        <v>0</v>
      </c>
      <c r="BL71" s="155">
        <f t="shared" ref="BL71" si="91">BH71-BJ71</f>
        <v>0</v>
      </c>
      <c r="BM71" s="170"/>
      <c r="BN71" s="169"/>
      <c r="BO71" s="145">
        <f t="shared" ref="BO71" si="92">SUM(BK71:BN71)</f>
        <v>0</v>
      </c>
      <c r="BP71" s="171"/>
      <c r="BQ71" s="145">
        <f t="shared" ref="BQ71" si="93">BP71-SUM(BC71,BH71)</f>
        <v>0</v>
      </c>
    </row>
    <row r="72" spans="1:69" s="148" customFormat="1" ht="15" x14ac:dyDescent="0.25">
      <c r="A72" s="1"/>
      <c r="B72" s="1"/>
      <c r="C72" s="58"/>
      <c r="D72" s="59"/>
      <c r="E72" s="180"/>
      <c r="F72" s="151"/>
      <c r="G72" s="151"/>
      <c r="H72" s="151"/>
      <c r="I72" s="151"/>
      <c r="J72" s="151"/>
      <c r="K72" s="151"/>
      <c r="L72" s="151"/>
      <c r="M72" s="151"/>
      <c r="N72" s="151"/>
      <c r="O72" s="158"/>
      <c r="P72" s="151"/>
      <c r="Q72" s="151"/>
      <c r="R72" s="151"/>
      <c r="S72" s="151"/>
      <c r="T72" s="151"/>
      <c r="U72" s="151"/>
      <c r="V72" s="151"/>
      <c r="W72" s="151"/>
      <c r="X72" s="151"/>
      <c r="Y72" s="158"/>
      <c r="Z72" s="151"/>
      <c r="AA72" s="151"/>
      <c r="AB72" s="151"/>
      <c r="AC72" s="151"/>
      <c r="AD72" s="151"/>
      <c r="AE72" s="151"/>
      <c r="AF72" s="151"/>
      <c r="AG72" s="151"/>
      <c r="AH72" s="151"/>
      <c r="AI72" s="158"/>
      <c r="AJ72" s="151"/>
      <c r="AK72" s="151"/>
      <c r="AL72" s="151"/>
      <c r="AM72" s="151"/>
      <c r="AN72" s="151"/>
      <c r="AO72" s="151"/>
      <c r="AP72" s="151"/>
      <c r="AQ72" s="151"/>
      <c r="AR72" s="151"/>
      <c r="AS72" s="151"/>
      <c r="AT72" s="151"/>
      <c r="AU72" s="151"/>
      <c r="AV72" s="158"/>
      <c r="AW72" s="151"/>
      <c r="AX72" s="151"/>
      <c r="AY72" s="151"/>
      <c r="AZ72" s="151"/>
      <c r="BA72" s="151"/>
      <c r="BB72" s="151"/>
      <c r="BC72" s="151"/>
      <c r="BD72" s="151"/>
      <c r="BE72" s="151"/>
      <c r="BF72" s="151"/>
      <c r="BG72" s="151"/>
      <c r="BH72" s="151"/>
      <c r="BI72" s="158"/>
      <c r="BJ72" s="151"/>
      <c r="BK72" s="151"/>
      <c r="BL72" s="152"/>
      <c r="BM72" s="144"/>
      <c r="BN72" s="144"/>
      <c r="BO72" s="145"/>
      <c r="BP72" s="146"/>
      <c r="BQ72" s="145"/>
    </row>
    <row r="73" spans="1:69" s="148" customFormat="1" ht="15" x14ac:dyDescent="0.25">
      <c r="A73" s="1"/>
      <c r="B73" s="1"/>
      <c r="C73" s="58"/>
      <c r="D73" s="59"/>
      <c r="E73" s="180"/>
      <c r="F73" s="151"/>
      <c r="G73" s="151"/>
      <c r="H73" s="151"/>
      <c r="I73" s="151"/>
      <c r="J73" s="151"/>
      <c r="K73" s="151"/>
      <c r="L73" s="151"/>
      <c r="M73" s="151"/>
      <c r="N73" s="151"/>
      <c r="O73" s="158"/>
      <c r="P73" s="151"/>
      <c r="Q73" s="151"/>
      <c r="R73" s="151"/>
      <c r="S73" s="151"/>
      <c r="T73" s="151"/>
      <c r="U73" s="151"/>
      <c r="V73" s="151"/>
      <c r="W73" s="151"/>
      <c r="X73" s="151"/>
      <c r="Y73" s="158"/>
      <c r="Z73" s="151"/>
      <c r="AA73" s="151"/>
      <c r="AB73" s="151"/>
      <c r="AC73" s="151"/>
      <c r="AD73" s="151"/>
      <c r="AE73" s="151"/>
      <c r="AF73" s="151"/>
      <c r="AG73" s="151"/>
      <c r="AH73" s="151"/>
      <c r="AI73" s="158"/>
      <c r="AJ73" s="151"/>
      <c r="AK73" s="151"/>
      <c r="AL73" s="151"/>
      <c r="AM73" s="151"/>
      <c r="AN73" s="151"/>
      <c r="AO73" s="151"/>
      <c r="AP73" s="151"/>
      <c r="AQ73" s="151"/>
      <c r="AR73" s="151"/>
      <c r="AS73" s="151"/>
      <c r="AT73" s="151"/>
      <c r="AU73" s="151"/>
      <c r="AV73" s="158"/>
      <c r="AW73" s="151"/>
      <c r="AX73" s="151"/>
      <c r="AY73" s="151"/>
      <c r="AZ73" s="151"/>
      <c r="BA73" s="151"/>
      <c r="BB73" s="151"/>
      <c r="BC73" s="151"/>
      <c r="BD73" s="151"/>
      <c r="BE73" s="151"/>
      <c r="BF73" s="151"/>
      <c r="BG73" s="151"/>
      <c r="BH73" s="151"/>
      <c r="BI73" s="158"/>
      <c r="BJ73" s="151"/>
      <c r="BK73" s="151"/>
      <c r="BL73" s="152"/>
      <c r="BM73" s="144"/>
      <c r="BN73" s="144"/>
      <c r="BO73" s="145"/>
      <c r="BP73" s="146"/>
      <c r="BQ73" s="145"/>
    </row>
    <row r="74" spans="1:69" s="148" customFormat="1" ht="15" x14ac:dyDescent="0.25">
      <c r="A74" s="1"/>
      <c r="B74" s="1"/>
      <c r="C74" s="16" t="s">
        <v>147</v>
      </c>
      <c r="D74" s="15"/>
      <c r="E74" s="180">
        <f t="shared" ref="E74:AB74" si="94">E68+E71</f>
        <v>0</v>
      </c>
      <c r="F74" s="151">
        <f t="shared" si="94"/>
        <v>0</v>
      </c>
      <c r="G74" s="151">
        <f t="shared" si="94"/>
        <v>0</v>
      </c>
      <c r="H74" s="151">
        <f t="shared" si="94"/>
        <v>-3171804.3600000003</v>
      </c>
      <c r="I74" s="151">
        <f t="shared" si="94"/>
        <v>-3171804.3600000003</v>
      </c>
      <c r="J74" s="151">
        <f t="shared" si="94"/>
        <v>0</v>
      </c>
      <c r="K74" s="151">
        <f t="shared" si="94"/>
        <v>-756675.63000000012</v>
      </c>
      <c r="L74" s="151">
        <f t="shared" si="94"/>
        <v>0</v>
      </c>
      <c r="M74" s="151">
        <f t="shared" si="94"/>
        <v>0</v>
      </c>
      <c r="N74" s="152">
        <f t="shared" si="94"/>
        <v>-756675.63000000012</v>
      </c>
      <c r="O74" s="158">
        <f t="shared" si="94"/>
        <v>-3171804.3600000003</v>
      </c>
      <c r="P74" s="151">
        <f t="shared" si="94"/>
        <v>83162.12</v>
      </c>
      <c r="Q74" s="151">
        <f t="shared" si="94"/>
        <v>0</v>
      </c>
      <c r="R74" s="151">
        <f t="shared" si="94"/>
        <v>0</v>
      </c>
      <c r="S74" s="151">
        <f t="shared" si="94"/>
        <v>-3088642.24</v>
      </c>
      <c r="T74" s="151">
        <f t="shared" si="94"/>
        <v>-756675.63000000012</v>
      </c>
      <c r="U74" s="151">
        <f t="shared" si="94"/>
        <v>-32769.51</v>
      </c>
      <c r="V74" s="151">
        <f t="shared" si="94"/>
        <v>0</v>
      </c>
      <c r="W74" s="151">
        <f t="shared" si="94"/>
        <v>0</v>
      </c>
      <c r="X74" s="152">
        <f t="shared" si="94"/>
        <v>-789445.14000000013</v>
      </c>
      <c r="Y74" s="158">
        <f t="shared" si="94"/>
        <v>-3088642.24</v>
      </c>
      <c r="Z74" s="151">
        <f t="shared" si="94"/>
        <v>2043604.29</v>
      </c>
      <c r="AA74" s="151">
        <f t="shared" si="94"/>
        <v>817141.42999999993</v>
      </c>
      <c r="AB74" s="151">
        <f t="shared" si="94"/>
        <v>0</v>
      </c>
      <c r="AC74" s="151">
        <f t="shared" ref="AC74:BP74" si="95">AC68+AC71</f>
        <v>-1862179.3800000001</v>
      </c>
      <c r="AD74" s="151">
        <f t="shared" si="95"/>
        <v>-789445.14000000013</v>
      </c>
      <c r="AE74" s="151">
        <f t="shared" si="95"/>
        <v>437252.63</v>
      </c>
      <c r="AF74" s="151">
        <f t="shared" si="95"/>
        <v>1481.98</v>
      </c>
      <c r="AG74" s="151">
        <f t="shared" si="95"/>
        <v>0</v>
      </c>
      <c r="AH74" s="152">
        <f t="shared" si="95"/>
        <v>-353674.49000000011</v>
      </c>
      <c r="AI74" s="158">
        <f t="shared" si="95"/>
        <v>-1862179.3800000001</v>
      </c>
      <c r="AJ74" s="151">
        <f t="shared" si="95"/>
        <v>-193750.61000000002</v>
      </c>
      <c r="AK74" s="151">
        <f t="shared" si="95"/>
        <v>-2279533</v>
      </c>
      <c r="AL74" s="151">
        <f t="shared" si="95"/>
        <v>0</v>
      </c>
      <c r="AM74" s="151">
        <f t="shared" si="95"/>
        <v>0</v>
      </c>
      <c r="AN74" s="151">
        <f t="shared" si="95"/>
        <v>0</v>
      </c>
      <c r="AO74" s="151">
        <f t="shared" si="95"/>
        <v>-4619846.4999999991</v>
      </c>
      <c r="AP74" s="151">
        <f t="shared" si="95"/>
        <v>-4396243.4899999993</v>
      </c>
      <c r="AQ74" s="151">
        <f t="shared" si="95"/>
        <v>-353674.49000000011</v>
      </c>
      <c r="AR74" s="151">
        <f t="shared" si="95"/>
        <v>-110013.48999999999</v>
      </c>
      <c r="AS74" s="151">
        <f t="shared" si="95"/>
        <v>-464063.03</v>
      </c>
      <c r="AT74" s="151">
        <f t="shared" si="95"/>
        <v>1550434.4500000002</v>
      </c>
      <c r="AU74" s="152">
        <f t="shared" si="95"/>
        <v>1550809.5000000002</v>
      </c>
      <c r="AV74" s="158">
        <f t="shared" ref="AV74:BH74" si="96">AV68+AV71</f>
        <v>-4396243.4899999993</v>
      </c>
      <c r="AW74" s="151">
        <f t="shared" si="96"/>
        <v>324370.30000000028</v>
      </c>
      <c r="AX74" s="151">
        <f t="shared" si="96"/>
        <v>0</v>
      </c>
      <c r="AY74" s="151">
        <f t="shared" si="96"/>
        <v>0</v>
      </c>
      <c r="AZ74" s="151">
        <f t="shared" si="96"/>
        <v>0</v>
      </c>
      <c r="BA74" s="151">
        <f t="shared" si="96"/>
        <v>0</v>
      </c>
      <c r="BB74" s="151">
        <f t="shared" si="96"/>
        <v>0</v>
      </c>
      <c r="BC74" s="151">
        <f t="shared" si="96"/>
        <v>-4071873.19</v>
      </c>
      <c r="BD74" s="151">
        <f t="shared" si="96"/>
        <v>1550809.5000000002</v>
      </c>
      <c r="BE74" s="151">
        <f t="shared" si="96"/>
        <v>-145525.17000000001</v>
      </c>
      <c r="BF74" s="151">
        <f t="shared" si="96"/>
        <v>0</v>
      </c>
      <c r="BG74" s="151">
        <f t="shared" si="96"/>
        <v>0</v>
      </c>
      <c r="BH74" s="152">
        <f t="shared" si="96"/>
        <v>1405284.3300000003</v>
      </c>
      <c r="BI74" s="158">
        <f t="shared" si="95"/>
        <v>-4617566.0999999996</v>
      </c>
      <c r="BJ74" s="151">
        <f t="shared" si="95"/>
        <v>1456689.19</v>
      </c>
      <c r="BK74" s="151">
        <f t="shared" si="95"/>
        <v>545692.90999999922</v>
      </c>
      <c r="BL74" s="152">
        <f t="shared" si="95"/>
        <v>-51404.860000000066</v>
      </c>
      <c r="BM74" s="158">
        <f t="shared" si="95"/>
        <v>3351.1883999999891</v>
      </c>
      <c r="BN74" s="151">
        <f t="shared" si="95"/>
        <v>1117.0627999999967</v>
      </c>
      <c r="BO74" s="152">
        <f t="shared" si="95"/>
        <v>498756.30119999958</v>
      </c>
      <c r="BP74" s="152">
        <f t="shared" si="95"/>
        <v>-2604751.6600000006</v>
      </c>
      <c r="BQ74" s="145">
        <f t="shared" ref="BQ74" si="97">BP74-SUM(BC74,BH74)</f>
        <v>61837.199999998789</v>
      </c>
    </row>
    <row r="75" spans="1:69" s="148" customFormat="1" ht="15" thickBot="1" x14ac:dyDescent="0.25">
      <c r="A75" s="1"/>
      <c r="B75" s="1"/>
      <c r="C75" s="15"/>
      <c r="D75" s="15"/>
      <c r="E75" s="180"/>
      <c r="F75" s="151"/>
      <c r="G75" s="151"/>
      <c r="H75" s="151"/>
      <c r="I75" s="151"/>
      <c r="J75" s="151"/>
      <c r="K75" s="151"/>
      <c r="L75" s="151"/>
      <c r="M75" s="151"/>
      <c r="N75" s="152"/>
      <c r="O75" s="158"/>
      <c r="P75" s="151"/>
      <c r="Q75" s="151"/>
      <c r="R75" s="151"/>
      <c r="S75" s="151"/>
      <c r="T75" s="151"/>
      <c r="U75" s="151"/>
      <c r="V75" s="151"/>
      <c r="W75" s="151"/>
      <c r="X75" s="152"/>
      <c r="Y75" s="158"/>
      <c r="Z75" s="151"/>
      <c r="AA75" s="151"/>
      <c r="AB75" s="151"/>
      <c r="AC75" s="151"/>
      <c r="AD75" s="151"/>
      <c r="AE75" s="151"/>
      <c r="AF75" s="151"/>
      <c r="AG75" s="151"/>
      <c r="AH75" s="152"/>
      <c r="AI75" s="158"/>
      <c r="AJ75" s="151"/>
      <c r="AK75" s="151"/>
      <c r="AL75" s="151"/>
      <c r="AM75" s="151"/>
      <c r="AN75" s="151"/>
      <c r="AO75" s="151"/>
      <c r="AP75" s="151"/>
      <c r="AQ75" s="151"/>
      <c r="AR75" s="151"/>
      <c r="AS75" s="151"/>
      <c r="AT75" s="151"/>
      <c r="AU75" s="152"/>
      <c r="AV75" s="158"/>
      <c r="AW75" s="151"/>
      <c r="AX75" s="151"/>
      <c r="AY75" s="151"/>
      <c r="AZ75" s="151"/>
      <c r="BA75" s="151"/>
      <c r="BB75" s="151"/>
      <c r="BC75" s="151"/>
      <c r="BD75" s="151"/>
      <c r="BE75" s="151"/>
      <c r="BF75" s="151"/>
      <c r="BG75" s="151"/>
      <c r="BH75" s="152"/>
      <c r="BI75" s="158"/>
      <c r="BJ75" s="151"/>
      <c r="BK75" s="151"/>
      <c r="BL75" s="152"/>
      <c r="BM75" s="144"/>
      <c r="BN75" s="144"/>
      <c r="BO75" s="145"/>
      <c r="BP75" s="146"/>
      <c r="BQ75" s="145"/>
    </row>
    <row r="76" spans="1:69" s="148" customFormat="1" ht="17.25" thickBot="1" x14ac:dyDescent="0.25">
      <c r="A76" s="1">
        <v>36</v>
      </c>
      <c r="B76" s="1"/>
      <c r="C76" s="4" t="s">
        <v>143</v>
      </c>
      <c r="D76" s="7">
        <v>1555</v>
      </c>
      <c r="E76" s="181"/>
      <c r="F76" s="162"/>
      <c r="G76" s="162"/>
      <c r="H76" s="162">
        <v>1548012.54</v>
      </c>
      <c r="I76" s="151">
        <f>E76+F76-G76+H76</f>
        <v>1548012.54</v>
      </c>
      <c r="J76" s="162"/>
      <c r="K76" s="150">
        <v>-13763.2</v>
      </c>
      <c r="L76" s="150"/>
      <c r="M76" s="150"/>
      <c r="N76" s="152">
        <f>J76+K76-L76+M76</f>
        <v>-13763.2</v>
      </c>
      <c r="O76" s="153">
        <f>I76</f>
        <v>1548012.54</v>
      </c>
      <c r="P76" s="150">
        <f>-446.82-41-753.42-1350274.62+126273.79+8839.48+5457.82+8738.58-5729.87-25827.58-5417.5-66571.03+4175009.94</f>
        <v>2869257.7699999996</v>
      </c>
      <c r="Q76" s="150">
        <v>4175009.94</v>
      </c>
      <c r="R76" s="150"/>
      <c r="S76" s="151">
        <f>O76+P76-Q76+SUM(R76:R76)</f>
        <v>242260.36999999965</v>
      </c>
      <c r="T76" s="154">
        <f>N76</f>
        <v>-13763.2</v>
      </c>
      <c r="U76" s="150">
        <f>20405.3-3282.5</f>
        <v>17122.8</v>
      </c>
      <c r="V76" s="163"/>
      <c r="W76" s="163"/>
      <c r="X76" s="152">
        <f>T76+U76-V76+W76</f>
        <v>3359.5999999999985</v>
      </c>
      <c r="Y76" s="153">
        <f>S76</f>
        <v>242260.36999999965</v>
      </c>
      <c r="Z76" s="150">
        <f>548147.13+63059.38+175790+20992.32+2250-46002.11</f>
        <v>764236.72</v>
      </c>
      <c r="AA76" s="150"/>
      <c r="AB76" s="150"/>
      <c r="AC76" s="151">
        <f>Y76+Z76-AA76+SUM(AB76:AB76)</f>
        <v>1006497.0899999996</v>
      </c>
      <c r="AD76" s="154">
        <f>X76</f>
        <v>3359.5999999999985</v>
      </c>
      <c r="AE76" s="150">
        <v>-28414.2</v>
      </c>
      <c r="AF76" s="163"/>
      <c r="AG76" s="163"/>
      <c r="AH76" s="152">
        <f>AD76+AE76-AF76+AG76</f>
        <v>-25054.600000000002</v>
      </c>
      <c r="AI76" s="153">
        <f>AC76</f>
        <v>1006497.0899999996</v>
      </c>
      <c r="AJ76" s="150">
        <f>-6798.4+488017.72+254048.73+2310+11611.46+46887.23-96626.06</f>
        <v>699450.67999999993</v>
      </c>
      <c r="AK76" s="150"/>
      <c r="AL76" s="150"/>
      <c r="AM76" s="150"/>
      <c r="AN76" s="150"/>
      <c r="AO76" s="150"/>
      <c r="AP76" s="151">
        <f>AI76+AJ76-AK76+SUM(AL76:AO76)</f>
        <v>1705947.7699999996</v>
      </c>
      <c r="AQ76" s="154">
        <f>AH76</f>
        <v>-25054.600000000002</v>
      </c>
      <c r="AR76" s="150">
        <v>-29654.39</v>
      </c>
      <c r="AS76" s="163"/>
      <c r="AT76" s="163"/>
      <c r="AU76" s="152">
        <f>AQ76+AR76-AS76+AT76</f>
        <v>-54708.990000000005</v>
      </c>
      <c r="AV76" s="153">
        <f>AP76</f>
        <v>1705947.7699999996</v>
      </c>
      <c r="AW76" s="150">
        <f>27137.83+2945+18700.68-124788.06</f>
        <v>-76004.549999999988</v>
      </c>
      <c r="AX76" s="150"/>
      <c r="AY76" s="150"/>
      <c r="AZ76" s="150"/>
      <c r="BA76" s="150"/>
      <c r="BB76" s="150"/>
      <c r="BC76" s="151">
        <f>AV76+AW76-AX76+SUM(AY76:BB76)</f>
        <v>1629943.2199999995</v>
      </c>
      <c r="BD76" s="154">
        <f>AU76</f>
        <v>-54708.990000000005</v>
      </c>
      <c r="BE76" s="150">
        <v>-73336.210000000006</v>
      </c>
      <c r="BF76" s="163"/>
      <c r="BG76" s="163"/>
      <c r="BH76" s="152">
        <f>BD76+BE76-BF76+BG76</f>
        <v>-128045.20000000001</v>
      </c>
      <c r="BI76" s="149">
        <f>-6798.4+1161983.25+443381.9+8839.48+5255+197359.28+90818.81+2250-273146.1</f>
        <v>1629943.2200000002</v>
      </c>
      <c r="BJ76" s="150">
        <f>-133684.22+2819.51+2819.51</f>
        <v>-128045.20000000001</v>
      </c>
      <c r="BK76" s="154">
        <f t="shared" ref="BK76:BK79" si="98">BC76-BI76</f>
        <v>0</v>
      </c>
      <c r="BL76" s="155">
        <f t="shared" ref="BL76:BL79" si="99">BH76-BJ76</f>
        <v>0</v>
      </c>
      <c r="BM76" s="156"/>
      <c r="BN76" s="150"/>
      <c r="BO76" s="145">
        <f t="shared" si="37"/>
        <v>0</v>
      </c>
      <c r="BP76" s="157">
        <v>1501898.02</v>
      </c>
      <c r="BQ76" s="145">
        <f t="shared" ref="BQ76:BQ79" si="100">BP76-SUM(BC76,BH76)</f>
        <v>0</v>
      </c>
    </row>
    <row r="77" spans="1:69" s="148" customFormat="1" ht="17.25" thickBot="1" x14ac:dyDescent="0.25">
      <c r="A77" s="1">
        <v>37</v>
      </c>
      <c r="B77" s="1"/>
      <c r="C77" s="4" t="s">
        <v>144</v>
      </c>
      <c r="D77" s="7">
        <v>1555</v>
      </c>
      <c r="E77" s="181"/>
      <c r="F77" s="162"/>
      <c r="G77" s="162"/>
      <c r="H77" s="162">
        <v>-835528.71</v>
      </c>
      <c r="I77" s="151">
        <f>E77+F77-G77+H77</f>
        <v>-835528.71</v>
      </c>
      <c r="J77" s="162"/>
      <c r="K77" s="150"/>
      <c r="L77" s="150"/>
      <c r="M77" s="150"/>
      <c r="N77" s="152">
        <f>J77+K77-L77+M77</f>
        <v>0</v>
      </c>
      <c r="O77" s="153">
        <f>I77</f>
        <v>-835528.71</v>
      </c>
      <c r="P77" s="150">
        <f>-856283.79+145963.42+72961.07+22877.82+2315.49+1749.99</f>
        <v>-610416.00000000012</v>
      </c>
      <c r="Q77" s="150"/>
      <c r="R77" s="150"/>
      <c r="S77" s="151">
        <f>O77+P77-Q77+SUM(R77:R77)</f>
        <v>-1445944.71</v>
      </c>
      <c r="T77" s="154">
        <f>N77</f>
        <v>0</v>
      </c>
      <c r="U77" s="150"/>
      <c r="V77" s="163"/>
      <c r="W77" s="163"/>
      <c r="X77" s="152">
        <f>T77+U77-V77+W77</f>
        <v>0</v>
      </c>
      <c r="Y77" s="153">
        <f>S77</f>
        <v>-1445944.71</v>
      </c>
      <c r="Z77" s="150">
        <v>-604165</v>
      </c>
      <c r="AA77" s="150"/>
      <c r="AB77" s="150"/>
      <c r="AC77" s="151">
        <f>Y77+Z77-AA77+SUM(AB77:AB77)</f>
        <v>-2050109.71</v>
      </c>
      <c r="AD77" s="154">
        <f>X77</f>
        <v>0</v>
      </c>
      <c r="AE77" s="150"/>
      <c r="AF77" s="163"/>
      <c r="AG77" s="163"/>
      <c r="AH77" s="152">
        <f>AD77+AE77-AF77+AG77</f>
        <v>0</v>
      </c>
      <c r="AI77" s="153">
        <f>AC77</f>
        <v>-2050109.71</v>
      </c>
      <c r="AJ77" s="150">
        <v>-251530</v>
      </c>
      <c r="AK77" s="150"/>
      <c r="AL77" s="150"/>
      <c r="AM77" s="150"/>
      <c r="AN77" s="150"/>
      <c r="AO77" s="150"/>
      <c r="AP77" s="151">
        <f>AI77+AJ77-AK77+SUM(AL77:AO77)</f>
        <v>-2301639.71</v>
      </c>
      <c r="AQ77" s="154">
        <f>AH77</f>
        <v>0</v>
      </c>
      <c r="AR77" s="150"/>
      <c r="AS77" s="163"/>
      <c r="AT77" s="163"/>
      <c r="AU77" s="152">
        <f>AQ77+AR77-AS77+AT77</f>
        <v>0</v>
      </c>
      <c r="AV77" s="153">
        <f>AP77</f>
        <v>-2301639.71</v>
      </c>
      <c r="AW77" s="150"/>
      <c r="AX77" s="150"/>
      <c r="AY77" s="150"/>
      <c r="AZ77" s="150"/>
      <c r="BA77" s="150"/>
      <c r="BB77" s="150"/>
      <c r="BC77" s="151">
        <f>AV77+AW77-AX77+SUM(AY77:BB77)</f>
        <v>-2301639.71</v>
      </c>
      <c r="BD77" s="154">
        <f>AU77</f>
        <v>0</v>
      </c>
      <c r="BE77" s="150"/>
      <c r="BF77" s="163"/>
      <c r="BG77" s="163"/>
      <c r="BH77" s="152">
        <f>BD77+BE77-BF77+BG77</f>
        <v>0</v>
      </c>
      <c r="BI77" s="149">
        <v>-2301639.71</v>
      </c>
      <c r="BJ77" s="150"/>
      <c r="BK77" s="154">
        <f t="shared" si="98"/>
        <v>0</v>
      </c>
      <c r="BL77" s="155">
        <f t="shared" si="99"/>
        <v>0</v>
      </c>
      <c r="BM77" s="156"/>
      <c r="BN77" s="150"/>
      <c r="BO77" s="145">
        <f t="shared" si="37"/>
        <v>0</v>
      </c>
      <c r="BP77" s="157">
        <v>-2301639.71</v>
      </c>
      <c r="BQ77" s="145">
        <f t="shared" si="100"/>
        <v>0</v>
      </c>
    </row>
    <row r="78" spans="1:69" s="148" customFormat="1" ht="17.25" thickBot="1" x14ac:dyDescent="0.25">
      <c r="A78" s="1">
        <v>38</v>
      </c>
      <c r="B78" s="1"/>
      <c r="C78" s="4" t="s">
        <v>145</v>
      </c>
      <c r="D78" s="7">
        <v>1555</v>
      </c>
      <c r="E78" s="181"/>
      <c r="F78" s="162"/>
      <c r="G78" s="162"/>
      <c r="H78" s="162">
        <v>230761.59</v>
      </c>
      <c r="I78" s="151">
        <f>E78+F78-G78+H78</f>
        <v>230761.59</v>
      </c>
      <c r="J78" s="162"/>
      <c r="K78" s="150"/>
      <c r="L78" s="150"/>
      <c r="M78" s="150"/>
      <c r="N78" s="152">
        <f>J78+K78-L78+M78</f>
        <v>0</v>
      </c>
      <c r="O78" s="153">
        <f>I78</f>
        <v>230761.59</v>
      </c>
      <c r="P78" s="150">
        <v>1285385.8799999999</v>
      </c>
      <c r="Q78" s="150"/>
      <c r="R78" s="150"/>
      <c r="S78" s="151">
        <f>O78+P78-Q78+SUM(R78:R78)</f>
        <v>1516147.47</v>
      </c>
      <c r="T78" s="154">
        <f>N78</f>
        <v>0</v>
      </c>
      <c r="U78" s="150"/>
      <c r="V78" s="150"/>
      <c r="W78" s="150"/>
      <c r="X78" s="152">
        <f>T78+U78-V78+W78</f>
        <v>0</v>
      </c>
      <c r="Y78" s="153">
        <f>S78</f>
        <v>1516147.47</v>
      </c>
      <c r="Z78" s="150">
        <v>63258.59</v>
      </c>
      <c r="AA78" s="150"/>
      <c r="AB78" s="150"/>
      <c r="AC78" s="151">
        <f>Y78+Z78-AA78+SUM(AB78:AB78)</f>
        <v>1579406.06</v>
      </c>
      <c r="AD78" s="154">
        <f>X78</f>
        <v>0</v>
      </c>
      <c r="AE78" s="150"/>
      <c r="AF78" s="150"/>
      <c r="AG78" s="150"/>
      <c r="AH78" s="152">
        <f>AD78+AE78-AF78+AG78</f>
        <v>0</v>
      </c>
      <c r="AI78" s="153">
        <f>AC78</f>
        <v>1579406.06</v>
      </c>
      <c r="AJ78" s="150">
        <v>37901.69</v>
      </c>
      <c r="AK78" s="150"/>
      <c r="AL78" s="150"/>
      <c r="AM78" s="150"/>
      <c r="AN78" s="150"/>
      <c r="AO78" s="150"/>
      <c r="AP78" s="151">
        <f>AI78+AJ78-AK78+SUM(AL78:AO78)</f>
        <v>1617307.75</v>
      </c>
      <c r="AQ78" s="154">
        <f>AH78</f>
        <v>0</v>
      </c>
      <c r="AR78" s="150"/>
      <c r="AS78" s="150"/>
      <c r="AT78" s="150"/>
      <c r="AU78" s="152">
        <f>AQ78+AR78-AS78+AT78</f>
        <v>0</v>
      </c>
      <c r="AV78" s="153">
        <f>AP78</f>
        <v>1617307.75</v>
      </c>
      <c r="AW78" s="150">
        <v>-265942</v>
      </c>
      <c r="AX78" s="150"/>
      <c r="AY78" s="150"/>
      <c r="AZ78" s="150"/>
      <c r="BA78" s="150"/>
      <c r="BB78" s="150">
        <v>-56210.749796529773</v>
      </c>
      <c r="BC78" s="151">
        <f>AV78+AW78-AX78+SUM(AY78:BB78)</f>
        <v>1295155.0002034702</v>
      </c>
      <c r="BD78" s="154">
        <f>AU78</f>
        <v>0</v>
      </c>
      <c r="BE78" s="150"/>
      <c r="BF78" s="150"/>
      <c r="BG78" s="150"/>
      <c r="BH78" s="152">
        <f>BD78+BE78-BF78+BG78</f>
        <v>0</v>
      </c>
      <c r="BI78" s="149"/>
      <c r="BJ78" s="150"/>
      <c r="BK78" s="154">
        <f t="shared" si="98"/>
        <v>1295155.0002034702</v>
      </c>
      <c r="BL78" s="155">
        <f t="shared" si="99"/>
        <v>0</v>
      </c>
      <c r="BM78" s="156"/>
      <c r="BN78" s="150"/>
      <c r="BO78" s="145">
        <f t="shared" si="37"/>
        <v>1295155.0002034702</v>
      </c>
      <c r="BP78" s="157">
        <v>1351365.75</v>
      </c>
      <c r="BQ78" s="145">
        <f t="shared" si="100"/>
        <v>56210.749796529766</v>
      </c>
    </row>
    <row r="79" spans="1:69" s="148" customFormat="1" ht="17.25" thickBot="1" x14ac:dyDescent="0.25">
      <c r="A79" s="1">
        <v>39</v>
      </c>
      <c r="B79" s="1"/>
      <c r="C79" s="4" t="s">
        <v>146</v>
      </c>
      <c r="D79" s="7">
        <v>1556</v>
      </c>
      <c r="E79" s="181"/>
      <c r="F79" s="162"/>
      <c r="G79" s="162"/>
      <c r="H79" s="162">
        <v>170536.34</v>
      </c>
      <c r="I79" s="151">
        <f>E79+F79-G79+H79</f>
        <v>170536.34</v>
      </c>
      <c r="J79" s="162"/>
      <c r="K79" s="162">
        <v>569.95000000000005</v>
      </c>
      <c r="L79" s="162"/>
      <c r="M79" s="162"/>
      <c r="N79" s="152">
        <f>J79+K79-L79+M79</f>
        <v>569.95000000000005</v>
      </c>
      <c r="O79" s="172">
        <f>I79</f>
        <v>170536.34</v>
      </c>
      <c r="P79" s="162">
        <f>69643.25+47858.97-21750.15+35409.16-8207.75+5729.87</f>
        <v>128683.35</v>
      </c>
      <c r="Q79" s="162"/>
      <c r="R79" s="162"/>
      <c r="S79" s="151">
        <f>O79+P79-Q79+SUM(R79:R79)</f>
        <v>299219.69</v>
      </c>
      <c r="T79" s="173">
        <f>N79</f>
        <v>569.95000000000005</v>
      </c>
      <c r="U79" s="162">
        <v>1881.32</v>
      </c>
      <c r="V79" s="162"/>
      <c r="W79" s="162"/>
      <c r="X79" s="152">
        <f>T79+U79-V79+W79</f>
        <v>2451.27</v>
      </c>
      <c r="Y79" s="172">
        <f>S79</f>
        <v>299219.69</v>
      </c>
      <c r="Z79" s="162">
        <f>119820.41+139297.64+27198.8+8526.83-2730.63+46002.11</f>
        <v>338115.16000000003</v>
      </c>
      <c r="AA79" s="162"/>
      <c r="AB79" s="162"/>
      <c r="AC79" s="151">
        <f>Y79+Z79-AA79+SUM(AB79:AB79)</f>
        <v>637334.85000000009</v>
      </c>
      <c r="AD79" s="173">
        <f>X79</f>
        <v>2451.27</v>
      </c>
      <c r="AE79" s="162">
        <v>4301.6099999999997</v>
      </c>
      <c r="AF79" s="162"/>
      <c r="AG79" s="162"/>
      <c r="AH79" s="152">
        <f>AD79+AE79-AF79+AG79</f>
        <v>6752.8799999999992</v>
      </c>
      <c r="AI79" s="172">
        <f>AC79</f>
        <v>637334.85000000009</v>
      </c>
      <c r="AJ79" s="162">
        <f>140296.45+152195.05+17769.01+1717.42+96626.06</f>
        <v>408603.99</v>
      </c>
      <c r="AK79" s="162"/>
      <c r="AL79" s="162"/>
      <c r="AM79" s="162"/>
      <c r="AN79" s="162"/>
      <c r="AO79" s="162"/>
      <c r="AP79" s="151">
        <f>AI79+AJ79-AK79+SUM(AL79:AO79)</f>
        <v>1045938.8400000001</v>
      </c>
      <c r="AQ79" s="173">
        <f>AH79</f>
        <v>6752.8799999999992</v>
      </c>
      <c r="AR79" s="162">
        <v>8730.5</v>
      </c>
      <c r="AS79" s="162"/>
      <c r="AT79" s="162"/>
      <c r="AU79" s="152">
        <f>AQ79+AR79-AS79+AT79</f>
        <v>15483.38</v>
      </c>
      <c r="AV79" s="172">
        <f>AP79</f>
        <v>1045938.8400000001</v>
      </c>
      <c r="AW79" s="162">
        <f>153838.39+160803.58-512.19+124788.06</f>
        <v>438917.83999999997</v>
      </c>
      <c r="AX79" s="162"/>
      <c r="AY79" s="162"/>
      <c r="AZ79" s="162"/>
      <c r="BA79" s="162"/>
      <c r="BB79" s="162"/>
      <c r="BC79" s="151">
        <f>AV79+AW79-AX79+SUM(AY79:BB79)</f>
        <v>1484856.6800000002</v>
      </c>
      <c r="BD79" s="173">
        <f>AU79</f>
        <v>15483.38</v>
      </c>
      <c r="BE79" s="162">
        <v>43349.74</v>
      </c>
      <c r="BF79" s="162"/>
      <c r="BG79" s="162"/>
      <c r="BH79" s="152">
        <f>BD79+BE79-BF79+BG79</f>
        <v>58833.119999999995</v>
      </c>
      <c r="BI79" s="161">
        <f>610982.29+586067.97+44967.81+48889.74+273146.1-16768.91-13067.07-12307.51-11297.26-14305.91</f>
        <v>1496307.2500000002</v>
      </c>
      <c r="BJ79" s="162">
        <f>63597.2-2320-2444</f>
        <v>58833.2</v>
      </c>
      <c r="BK79" s="154">
        <f t="shared" si="98"/>
        <v>-11450.570000000065</v>
      </c>
      <c r="BL79" s="155">
        <f t="shared" si="99"/>
        <v>-8.000000000174623E-2</v>
      </c>
      <c r="BM79" s="174"/>
      <c r="BN79" s="162"/>
      <c r="BO79" s="145">
        <f t="shared" si="37"/>
        <v>-11450.650000000067</v>
      </c>
      <c r="BP79" s="175">
        <v>1543689.8</v>
      </c>
      <c r="BQ79" s="145">
        <f t="shared" si="100"/>
        <v>0</v>
      </c>
    </row>
    <row r="80" spans="1:69" s="148" customFormat="1" ht="15" thickBot="1" x14ac:dyDescent="0.25">
      <c r="A80" s="1"/>
      <c r="B80" s="1"/>
      <c r="C80" s="4"/>
      <c r="D80" s="7"/>
      <c r="E80" s="180"/>
      <c r="F80" s="151"/>
      <c r="G80" s="151"/>
      <c r="H80" s="151"/>
      <c r="I80" s="151"/>
      <c r="J80" s="151"/>
      <c r="K80" s="151"/>
      <c r="L80" s="151"/>
      <c r="M80" s="151"/>
      <c r="N80" s="151"/>
      <c r="O80" s="158"/>
      <c r="P80" s="151"/>
      <c r="Q80" s="151"/>
      <c r="R80" s="151"/>
      <c r="S80" s="151"/>
      <c r="T80" s="151"/>
      <c r="U80" s="151"/>
      <c r="V80" s="151"/>
      <c r="W80" s="151"/>
      <c r="X80" s="151"/>
      <c r="Y80" s="158"/>
      <c r="Z80" s="151"/>
      <c r="AA80" s="151"/>
      <c r="AB80" s="151"/>
      <c r="AC80" s="151"/>
      <c r="AD80" s="151"/>
      <c r="AE80" s="151"/>
      <c r="AF80" s="151"/>
      <c r="AG80" s="151"/>
      <c r="AH80" s="151"/>
      <c r="AI80" s="158"/>
      <c r="AJ80" s="151"/>
      <c r="AK80" s="151"/>
      <c r="AL80" s="151"/>
      <c r="AM80" s="151"/>
      <c r="AN80" s="151"/>
      <c r="AO80" s="151"/>
      <c r="AP80" s="151"/>
      <c r="AQ80" s="151"/>
      <c r="AR80" s="151"/>
      <c r="AS80" s="151"/>
      <c r="AT80" s="151"/>
      <c r="AU80" s="151"/>
      <c r="AV80" s="158"/>
      <c r="AW80" s="151"/>
      <c r="AX80" s="151"/>
      <c r="AY80" s="151"/>
      <c r="AZ80" s="151"/>
      <c r="BA80" s="151"/>
      <c r="BB80" s="151"/>
      <c r="BC80" s="151"/>
      <c r="BD80" s="151"/>
      <c r="BE80" s="151"/>
      <c r="BF80" s="151"/>
      <c r="BG80" s="151"/>
      <c r="BH80" s="151"/>
      <c r="BI80" s="158"/>
      <c r="BJ80" s="151"/>
      <c r="BK80" s="151"/>
      <c r="BL80" s="151"/>
      <c r="BM80" s="158"/>
      <c r="BN80" s="151"/>
      <c r="BO80" s="151"/>
      <c r="BP80" s="158"/>
      <c r="BQ80" s="159"/>
    </row>
    <row r="81" spans="1:69" s="148" customFormat="1" ht="17.25" thickBot="1" x14ac:dyDescent="0.25">
      <c r="A81" s="1">
        <v>40</v>
      </c>
      <c r="B81" s="1"/>
      <c r="C81" s="28" t="s">
        <v>228</v>
      </c>
      <c r="D81" s="29">
        <v>1575</v>
      </c>
      <c r="E81" s="185"/>
      <c r="F81" s="160"/>
      <c r="G81" s="160"/>
      <c r="H81" s="160"/>
      <c r="I81" s="151"/>
      <c r="J81" s="164"/>
      <c r="K81" s="160"/>
      <c r="L81" s="160"/>
      <c r="M81" s="160"/>
      <c r="N81" s="152"/>
      <c r="O81" s="176"/>
      <c r="P81" s="160"/>
      <c r="Q81" s="160"/>
      <c r="R81" s="160"/>
      <c r="S81" s="151"/>
      <c r="T81" s="164"/>
      <c r="U81" s="160"/>
      <c r="V81" s="160"/>
      <c r="W81" s="160"/>
      <c r="X81" s="152"/>
      <c r="Y81" s="176"/>
      <c r="Z81" s="160"/>
      <c r="AA81" s="160"/>
      <c r="AB81" s="160"/>
      <c r="AC81" s="151"/>
      <c r="AD81" s="164"/>
      <c r="AE81" s="160"/>
      <c r="AF81" s="160"/>
      <c r="AG81" s="160"/>
      <c r="AH81" s="152"/>
      <c r="AI81" s="176"/>
      <c r="AJ81" s="160"/>
      <c r="AK81" s="160"/>
      <c r="AL81" s="160"/>
      <c r="AM81" s="160"/>
      <c r="AN81" s="160"/>
      <c r="AO81" s="163"/>
      <c r="AP81" s="151">
        <f>AI81+AJ81-AK81+SUM(AL81:AO81)</f>
        <v>0</v>
      </c>
      <c r="AQ81" s="164">
        <f>AH81</f>
        <v>0</v>
      </c>
      <c r="AR81" s="160"/>
      <c r="AS81" s="160"/>
      <c r="AT81" s="160"/>
      <c r="AU81" s="152">
        <f>AQ81+AR81-AS81+AT81</f>
        <v>0</v>
      </c>
      <c r="AV81" s="176"/>
      <c r="AW81" s="160"/>
      <c r="AX81" s="160"/>
      <c r="AY81" s="160"/>
      <c r="AZ81" s="160"/>
      <c r="BA81" s="160"/>
      <c r="BB81" s="163"/>
      <c r="BC81" s="151">
        <f>AV81+AW81-AX81+SUM(AY81:BB81)</f>
        <v>0</v>
      </c>
      <c r="BD81" s="164">
        <f>AU81</f>
        <v>0</v>
      </c>
      <c r="BE81" s="160"/>
      <c r="BF81" s="160"/>
      <c r="BG81" s="160"/>
      <c r="BH81" s="152">
        <f>BD81+BE81-BF81+BG81</f>
        <v>0</v>
      </c>
      <c r="BI81" s="160"/>
      <c r="BJ81" s="160"/>
      <c r="BK81" s="154">
        <f t="shared" ref="BK81:BK82" si="101">BC81-BI81</f>
        <v>0</v>
      </c>
      <c r="BL81" s="155">
        <f t="shared" ref="BL81:BL82" si="102">BH81-BJ81</f>
        <v>0</v>
      </c>
      <c r="BM81" s="160"/>
      <c r="BN81" s="160"/>
      <c r="BO81" s="145">
        <f>SUM(BK81:BN81)</f>
        <v>0</v>
      </c>
      <c r="BP81" s="175"/>
      <c r="BQ81" s="145">
        <f t="shared" ref="BQ81:BQ82" si="103">BP81-SUM(BC81,BH81)</f>
        <v>0</v>
      </c>
    </row>
    <row r="82" spans="1:69" s="148" customFormat="1" ht="17.25" thickBot="1" x14ac:dyDescent="0.25">
      <c r="A82" s="1">
        <v>41</v>
      </c>
      <c r="B82" s="1"/>
      <c r="C82" s="28" t="s">
        <v>229</v>
      </c>
      <c r="D82" s="29">
        <v>1576</v>
      </c>
      <c r="E82" s="186"/>
      <c r="F82" s="160"/>
      <c r="G82" s="160"/>
      <c r="H82" s="160"/>
      <c r="I82" s="151"/>
      <c r="J82" s="154"/>
      <c r="K82" s="160"/>
      <c r="L82" s="160"/>
      <c r="M82" s="160"/>
      <c r="N82" s="152"/>
      <c r="O82" s="153"/>
      <c r="P82" s="160"/>
      <c r="Q82" s="160"/>
      <c r="R82" s="160"/>
      <c r="S82" s="151"/>
      <c r="T82" s="154"/>
      <c r="U82" s="160"/>
      <c r="V82" s="160"/>
      <c r="W82" s="160"/>
      <c r="X82" s="152"/>
      <c r="Y82" s="153"/>
      <c r="Z82" s="160"/>
      <c r="AA82" s="160"/>
      <c r="AB82" s="160"/>
      <c r="AC82" s="151"/>
      <c r="AD82" s="154"/>
      <c r="AE82" s="160"/>
      <c r="AF82" s="160"/>
      <c r="AG82" s="160"/>
      <c r="AH82" s="152"/>
      <c r="AI82" s="153"/>
      <c r="AJ82" s="160"/>
      <c r="AK82" s="160"/>
      <c r="AL82" s="160"/>
      <c r="AM82" s="160"/>
      <c r="AN82" s="160"/>
      <c r="AO82" s="150"/>
      <c r="AP82" s="151">
        <f>AI82+AJ82-AK82+SUM(AL82:AO82)</f>
        <v>0</v>
      </c>
      <c r="AQ82" s="154">
        <f>AH82</f>
        <v>0</v>
      </c>
      <c r="AR82" s="160"/>
      <c r="AS82" s="160"/>
      <c r="AT82" s="160"/>
      <c r="AU82" s="152">
        <f>AQ82+AR82-AS82+AT82</f>
        <v>0</v>
      </c>
      <c r="AV82" s="153"/>
      <c r="AW82" s="160"/>
      <c r="AX82" s="160"/>
      <c r="AY82" s="160"/>
      <c r="AZ82" s="160"/>
      <c r="BA82" s="160"/>
      <c r="BB82" s="150">
        <v>-7183832.3493090114</v>
      </c>
      <c r="BC82" s="151">
        <f>AV82+AW82-AX82+SUM(AY82:BB82)</f>
        <v>-7183832.3493090114</v>
      </c>
      <c r="BD82" s="154">
        <f>AU82</f>
        <v>0</v>
      </c>
      <c r="BE82" s="160"/>
      <c r="BF82" s="160"/>
      <c r="BG82" s="160"/>
      <c r="BH82" s="152">
        <f>BD82+BE82-BF82+BG82</f>
        <v>0</v>
      </c>
      <c r="BI82" s="160"/>
      <c r="BJ82" s="160"/>
      <c r="BK82" s="154">
        <f t="shared" si="101"/>
        <v>-7183832.3493090114</v>
      </c>
      <c r="BL82" s="155">
        <f t="shared" si="102"/>
        <v>0</v>
      </c>
      <c r="BM82" s="160"/>
      <c r="BN82" s="160"/>
      <c r="BO82" s="145">
        <f>SUM(BK82:BN82)</f>
        <v>-7183832.3493090114</v>
      </c>
      <c r="BP82" s="175">
        <v>-3054565.73</v>
      </c>
      <c r="BQ82" s="145">
        <f t="shared" si="103"/>
        <v>4129266.6193090114</v>
      </c>
    </row>
    <row r="83" spans="1:69" s="148" customFormat="1" ht="15" thickBot="1" x14ac:dyDescent="0.25">
      <c r="A83" s="1"/>
      <c r="B83" s="1"/>
      <c r="C83" s="4"/>
      <c r="D83" s="7"/>
      <c r="E83" s="187"/>
      <c r="F83" s="188"/>
      <c r="G83" s="188"/>
      <c r="H83" s="188"/>
      <c r="I83" s="188"/>
      <c r="J83" s="188"/>
      <c r="K83" s="188"/>
      <c r="L83" s="188"/>
      <c r="M83" s="188"/>
      <c r="N83" s="188"/>
      <c r="O83" s="187"/>
      <c r="P83" s="188"/>
      <c r="Q83" s="188"/>
      <c r="R83" s="188"/>
      <c r="S83" s="188"/>
      <c r="T83" s="188"/>
      <c r="U83" s="188"/>
      <c r="V83" s="188"/>
      <c r="W83" s="188"/>
      <c r="X83" s="188"/>
      <c r="Y83" s="187"/>
      <c r="Z83" s="188"/>
      <c r="AA83" s="188"/>
      <c r="AB83" s="188"/>
      <c r="AC83" s="188"/>
      <c r="AD83" s="188"/>
      <c r="AE83" s="188"/>
      <c r="AF83" s="188"/>
      <c r="AG83" s="188"/>
      <c r="AH83" s="188"/>
      <c r="AI83" s="187"/>
      <c r="AJ83" s="188"/>
      <c r="AK83" s="188"/>
      <c r="AL83" s="188"/>
      <c r="AM83" s="188"/>
      <c r="AN83" s="188"/>
      <c r="AO83" s="188"/>
      <c r="AP83" s="188"/>
      <c r="AQ83" s="188"/>
      <c r="AR83" s="188"/>
      <c r="AS83" s="188"/>
      <c r="AT83" s="188"/>
      <c r="AU83" s="188"/>
      <c r="AV83" s="187"/>
      <c r="AW83" s="188"/>
      <c r="AX83" s="188"/>
      <c r="AY83" s="188"/>
      <c r="AZ83" s="188"/>
      <c r="BA83" s="188"/>
      <c r="BB83" s="188"/>
      <c r="BC83" s="188"/>
      <c r="BD83" s="188"/>
      <c r="BE83" s="188"/>
      <c r="BF83" s="188"/>
      <c r="BG83" s="188"/>
      <c r="BH83" s="188"/>
      <c r="BI83" s="187"/>
      <c r="BJ83" s="188"/>
      <c r="BK83" s="188"/>
      <c r="BL83" s="188"/>
      <c r="BM83" s="187"/>
      <c r="BN83" s="188"/>
      <c r="BO83" s="189"/>
      <c r="BP83" s="188"/>
      <c r="BQ83" s="190"/>
    </row>
    <row r="86" spans="1:69" ht="30.75" customHeight="1" x14ac:dyDescent="0.2">
      <c r="B86" s="2"/>
      <c r="C86" s="257" t="s">
        <v>51</v>
      </c>
      <c r="D86" s="257"/>
      <c r="E86" s="257"/>
      <c r="F86" s="257"/>
    </row>
    <row r="87" spans="1:69" ht="16.5" x14ac:dyDescent="0.2">
      <c r="B87" s="17">
        <v>1</v>
      </c>
      <c r="C87" s="191" t="s">
        <v>33</v>
      </c>
      <c r="D87" s="192"/>
      <c r="E87" s="193"/>
      <c r="F87" s="193"/>
      <c r="G87" s="193"/>
      <c r="H87" s="193"/>
      <c r="I87" s="193"/>
      <c r="L87" s="121"/>
      <c r="M87" s="121"/>
      <c r="V87" s="121"/>
      <c r="W87" s="121"/>
      <c r="AF87" s="121"/>
      <c r="AG87" s="121"/>
      <c r="AS87" s="121"/>
      <c r="AT87" s="121"/>
      <c r="BF87" s="121"/>
      <c r="BG87" s="121"/>
      <c r="BI87" s="121"/>
      <c r="BJ87" s="121"/>
      <c r="BK87" s="121"/>
      <c r="BL87" s="121"/>
    </row>
    <row r="88" spans="1:69" ht="16.5" x14ac:dyDescent="0.2">
      <c r="B88" s="18" t="s">
        <v>61</v>
      </c>
      <c r="C88" s="191" t="s">
        <v>46</v>
      </c>
      <c r="D88" s="192"/>
      <c r="E88" s="193"/>
      <c r="F88" s="193"/>
      <c r="G88" s="193"/>
      <c r="H88" s="193"/>
      <c r="I88" s="193"/>
      <c r="L88" s="121"/>
      <c r="M88" s="121"/>
      <c r="V88" s="121"/>
      <c r="W88" s="121"/>
      <c r="AF88" s="121"/>
      <c r="AG88" s="121"/>
      <c r="AS88" s="121"/>
      <c r="AT88" s="121"/>
      <c r="BF88" s="121"/>
      <c r="BG88" s="121"/>
      <c r="BI88" s="121"/>
      <c r="BJ88" s="121"/>
      <c r="BK88" s="121"/>
      <c r="BL88" s="121"/>
      <c r="BQ88" s="122"/>
    </row>
    <row r="89" spans="1:69" ht="16.5" x14ac:dyDescent="0.2">
      <c r="B89" s="17">
        <v>2</v>
      </c>
      <c r="C89" s="192" t="s">
        <v>35</v>
      </c>
      <c r="D89" s="192"/>
      <c r="E89" s="193"/>
      <c r="F89" s="193"/>
      <c r="G89" s="193"/>
      <c r="H89" s="193"/>
      <c r="I89" s="193"/>
      <c r="L89" s="121"/>
      <c r="M89" s="121"/>
      <c r="V89" s="121"/>
      <c r="W89" s="121"/>
      <c r="AF89" s="121"/>
      <c r="AG89" s="121"/>
      <c r="AS89" s="121"/>
      <c r="AT89" s="121"/>
      <c r="BF89" s="121"/>
      <c r="BG89" s="121"/>
      <c r="BI89" s="121"/>
      <c r="BJ89" s="121"/>
      <c r="BK89" s="121"/>
      <c r="BL89" s="121"/>
    </row>
    <row r="90" spans="1:69" ht="16.5" x14ac:dyDescent="0.2">
      <c r="B90" s="17">
        <v>3</v>
      </c>
      <c r="C90" s="191" t="s">
        <v>34</v>
      </c>
      <c r="D90" s="192"/>
      <c r="E90" s="193"/>
      <c r="F90" s="193"/>
      <c r="G90" s="193"/>
      <c r="H90" s="193"/>
      <c r="I90" s="193"/>
      <c r="L90" s="121"/>
      <c r="M90" s="121"/>
      <c r="V90" s="121"/>
      <c r="W90" s="121"/>
      <c r="AF90" s="121"/>
      <c r="AG90" s="121"/>
      <c r="AS90" s="121"/>
      <c r="AT90" s="121"/>
      <c r="BF90" s="121"/>
      <c r="BG90" s="121"/>
      <c r="BI90" s="121"/>
      <c r="BJ90" s="121"/>
      <c r="BK90" s="121"/>
      <c r="BL90" s="121"/>
    </row>
    <row r="91" spans="1:69" ht="16.5" x14ac:dyDescent="0.2">
      <c r="B91" s="17">
        <v>4</v>
      </c>
      <c r="C91" s="191" t="s">
        <v>11</v>
      </c>
      <c r="D91" s="192"/>
      <c r="E91" s="193"/>
      <c r="F91" s="193"/>
      <c r="G91" s="193"/>
      <c r="H91" s="193"/>
      <c r="I91" s="193"/>
      <c r="L91" s="121"/>
      <c r="M91" s="121"/>
      <c r="V91" s="121"/>
      <c r="W91" s="121"/>
      <c r="AF91" s="121"/>
      <c r="AG91" s="121"/>
      <c r="AS91" s="121"/>
      <c r="AT91" s="121"/>
      <c r="BF91" s="121"/>
      <c r="BG91" s="121"/>
      <c r="BI91" s="121"/>
      <c r="BJ91" s="121"/>
      <c r="BK91" s="121"/>
      <c r="BL91" s="121"/>
    </row>
    <row r="92" spans="1:69" ht="16.5" x14ac:dyDescent="0.2">
      <c r="B92" s="17">
        <v>5</v>
      </c>
      <c r="C92" s="191" t="s">
        <v>12</v>
      </c>
      <c r="D92" s="192"/>
      <c r="E92" s="193"/>
      <c r="F92" s="193"/>
      <c r="G92" s="193"/>
      <c r="H92" s="193"/>
      <c r="I92" s="193"/>
      <c r="L92" s="121"/>
      <c r="M92" s="121"/>
      <c r="V92" s="121"/>
      <c r="W92" s="121"/>
      <c r="AF92" s="121"/>
      <c r="AG92" s="121"/>
      <c r="AS92" s="121"/>
      <c r="AT92" s="121"/>
      <c r="BF92" s="121"/>
      <c r="BG92" s="121"/>
      <c r="BI92" s="121"/>
      <c r="BJ92" s="121"/>
      <c r="BK92" s="121"/>
      <c r="BL92" s="121"/>
    </row>
    <row r="93" spans="1:69" ht="16.5" customHeight="1" x14ac:dyDescent="0.2">
      <c r="B93" s="17">
        <v>6</v>
      </c>
      <c r="C93" s="249" t="s">
        <v>282</v>
      </c>
      <c r="D93" s="250"/>
      <c r="E93" s="193"/>
      <c r="F93" s="193"/>
      <c r="G93" s="193"/>
      <c r="H93" s="193"/>
      <c r="I93" s="193"/>
      <c r="L93" s="121"/>
      <c r="M93" s="121"/>
      <c r="V93" s="121"/>
      <c r="W93" s="121"/>
      <c r="AF93" s="121"/>
      <c r="AG93" s="121"/>
      <c r="AS93" s="121"/>
      <c r="AT93" s="121"/>
      <c r="BF93" s="121"/>
      <c r="BG93" s="121"/>
      <c r="BI93" s="121"/>
      <c r="BJ93" s="121"/>
      <c r="BK93" s="121"/>
      <c r="BL93" s="121"/>
    </row>
    <row r="94" spans="1:69" ht="19.5" customHeight="1" x14ac:dyDescent="0.2">
      <c r="B94" s="17"/>
      <c r="C94" s="250"/>
      <c r="D94" s="250"/>
      <c r="E94" s="193"/>
      <c r="F94" s="193"/>
      <c r="G94" s="193"/>
      <c r="H94" s="193"/>
      <c r="I94" s="193"/>
      <c r="L94" s="121"/>
      <c r="M94" s="121"/>
      <c r="V94" s="121"/>
      <c r="W94" s="121"/>
      <c r="AF94" s="121"/>
      <c r="AG94" s="121"/>
      <c r="AS94" s="121"/>
      <c r="AT94" s="121"/>
      <c r="BF94" s="121"/>
      <c r="BG94" s="121"/>
      <c r="BI94" s="121"/>
      <c r="BJ94" s="121"/>
      <c r="BK94" s="121"/>
      <c r="BL94" s="121"/>
    </row>
    <row r="95" spans="1:69" ht="3.75" customHeight="1" x14ac:dyDescent="0.2">
      <c r="B95" s="17"/>
      <c r="C95" s="250"/>
      <c r="D95" s="250"/>
      <c r="E95" s="193"/>
      <c r="F95" s="193"/>
      <c r="G95" s="193"/>
      <c r="H95" s="193"/>
      <c r="I95" s="193"/>
      <c r="L95" s="121"/>
      <c r="M95" s="121"/>
      <c r="V95" s="121"/>
      <c r="W95" s="121"/>
      <c r="AF95" s="121"/>
      <c r="AG95" s="121"/>
      <c r="AS95" s="121"/>
      <c r="AT95" s="121"/>
      <c r="BF95" s="121"/>
      <c r="BG95" s="121"/>
      <c r="BI95" s="121"/>
      <c r="BJ95" s="121"/>
      <c r="BK95" s="121"/>
      <c r="BL95" s="121"/>
    </row>
    <row r="96" spans="1:69" ht="16.5" x14ac:dyDescent="0.2">
      <c r="B96" s="17">
        <v>8</v>
      </c>
      <c r="C96" s="191" t="s">
        <v>59</v>
      </c>
      <c r="D96" s="192"/>
      <c r="E96" s="193"/>
      <c r="F96" s="193"/>
      <c r="G96" s="193"/>
      <c r="H96" s="193"/>
      <c r="I96" s="193"/>
    </row>
    <row r="97" spans="2:9" x14ac:dyDescent="0.2">
      <c r="C97" s="191" t="s">
        <v>76</v>
      </c>
      <c r="D97" s="192"/>
      <c r="E97" s="193"/>
      <c r="F97" s="193"/>
      <c r="G97" s="193"/>
      <c r="H97" s="193"/>
      <c r="I97" s="193"/>
    </row>
    <row r="98" spans="2:9" ht="14.25" x14ac:dyDescent="0.2">
      <c r="C98" s="191" t="s">
        <v>60</v>
      </c>
      <c r="D98" s="194"/>
      <c r="E98" s="193"/>
      <c r="F98" s="193"/>
      <c r="G98" s="193"/>
      <c r="H98" s="193"/>
      <c r="I98" s="193"/>
    </row>
    <row r="99" spans="2:9" ht="40.700000000000003" customHeight="1" x14ac:dyDescent="0.2">
      <c r="B99" s="118">
        <v>9</v>
      </c>
      <c r="C99" s="249" t="s">
        <v>155</v>
      </c>
      <c r="D99" s="249"/>
      <c r="E99" s="249"/>
      <c r="F99" s="249"/>
      <c r="G99" s="249"/>
      <c r="H99" s="249"/>
      <c r="I99" s="249"/>
    </row>
    <row r="100" spans="2:9" ht="16.5" x14ac:dyDescent="0.2">
      <c r="B100" s="17">
        <v>10</v>
      </c>
      <c r="C100" s="191" t="s">
        <v>73</v>
      </c>
      <c r="D100" s="192"/>
      <c r="E100" s="193"/>
      <c r="F100" s="193"/>
      <c r="G100" s="193"/>
      <c r="H100" s="193"/>
      <c r="I100" s="193"/>
    </row>
    <row r="101" spans="2:9" x14ac:dyDescent="0.2">
      <c r="C101" s="191" t="s">
        <v>74</v>
      </c>
      <c r="D101" s="192"/>
      <c r="E101" s="193"/>
      <c r="F101" s="193"/>
      <c r="G101" s="193"/>
      <c r="H101" s="193"/>
      <c r="I101" s="193"/>
    </row>
  </sheetData>
  <sheetProtection password="F8BD" sheet="1" objects="1" scenarios="1"/>
  <mergeCells count="77">
    <mergeCell ref="C99:I99"/>
    <mergeCell ref="AV19:BH19"/>
    <mergeCell ref="AV20:AV22"/>
    <mergeCell ref="AW20:AW22"/>
    <mergeCell ref="AX20:AX22"/>
    <mergeCell ref="AY20:AY22"/>
    <mergeCell ref="AZ20:AZ22"/>
    <mergeCell ref="BA20:BA22"/>
    <mergeCell ref="BB20:BB22"/>
    <mergeCell ref="BC20:BC22"/>
    <mergeCell ref="BD20:BD22"/>
    <mergeCell ref="BE20:BE22"/>
    <mergeCell ref="BF20:BF22"/>
    <mergeCell ref="BG20:BG22"/>
    <mergeCell ref="BH20:BH22"/>
    <mergeCell ref="Y19:AH19"/>
    <mergeCell ref="C93:D95"/>
    <mergeCell ref="C20:C22"/>
    <mergeCell ref="D20:D22"/>
    <mergeCell ref="M20:M22"/>
    <mergeCell ref="I20:I22"/>
    <mergeCell ref="L20:L22"/>
    <mergeCell ref="J20:J22"/>
    <mergeCell ref="G20:G22"/>
    <mergeCell ref="H20:H22"/>
    <mergeCell ref="C86:F86"/>
    <mergeCell ref="O19:X19"/>
    <mergeCell ref="AF20:AF22"/>
    <mergeCell ref="AG20:AG22"/>
    <mergeCell ref="W20:W22"/>
    <mergeCell ref="BP20:BP22"/>
    <mergeCell ref="BJ20:BJ22"/>
    <mergeCell ref="BI19:BL19"/>
    <mergeCell ref="BK20:BK22"/>
    <mergeCell ref="BL20:BL22"/>
    <mergeCell ref="BI20:BI22"/>
    <mergeCell ref="AH20:AH22"/>
    <mergeCell ref="U20:U22"/>
    <mergeCell ref="AE20:AE22"/>
    <mergeCell ref="X20:X22"/>
    <mergeCell ref="V20:V22"/>
    <mergeCell ref="O20:O22"/>
    <mergeCell ref="BQ20:BQ22"/>
    <mergeCell ref="BM19:BO19"/>
    <mergeCell ref="BO20:BO22"/>
    <mergeCell ref="BN20:BN22"/>
    <mergeCell ref="BM20:BM22"/>
    <mergeCell ref="E19:N19"/>
    <mergeCell ref="E20:E22"/>
    <mergeCell ref="F20:F22"/>
    <mergeCell ref="AI19:AU19"/>
    <mergeCell ref="AI20:AI22"/>
    <mergeCell ref="AJ20:AJ22"/>
    <mergeCell ref="AK20:AK22"/>
    <mergeCell ref="AL20:AL22"/>
    <mergeCell ref="AM20:AM22"/>
    <mergeCell ref="AN20:AN22"/>
    <mergeCell ref="AO20:AO22"/>
    <mergeCell ref="AP20:AP22"/>
    <mergeCell ref="AQ20:AQ22"/>
    <mergeCell ref="R20:R22"/>
    <mergeCell ref="S20:S22"/>
    <mergeCell ref="T20:T22"/>
    <mergeCell ref="AU20:AU22"/>
    <mergeCell ref="AR20:AR22"/>
    <mergeCell ref="AS20:AS22"/>
    <mergeCell ref="AT20:AT22"/>
    <mergeCell ref="K20:K22"/>
    <mergeCell ref="AD20:AD22"/>
    <mergeCell ref="N20:N22"/>
    <mergeCell ref="P20:P22"/>
    <mergeCell ref="Q20:Q22"/>
    <mergeCell ref="Y20:Y22"/>
    <mergeCell ref="Z20:Z22"/>
    <mergeCell ref="AA20:AA22"/>
    <mergeCell ref="AB20:AB22"/>
    <mergeCell ref="AC20:AC22"/>
  </mergeCells>
  <phoneticPr fontId="13" type="noConversion"/>
  <pageMargins left="0.36" right="0.41" top="0.64" bottom="0.72" header="0.32" footer="0.51181102362204722"/>
  <pageSetup scale="34" orientation="landscape" r:id="rId1"/>
  <headerFooter alignWithMargins="0"/>
  <colBreaks count="3" manualBreakCount="3">
    <brk id="4" max="1048575" man="1"/>
    <brk id="14" max="1048575"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7"/>
  <sheetViews>
    <sheetView showGridLines="0" topLeftCell="C27" zoomScale="80" zoomScaleNormal="80" workbookViewId="0">
      <selection activeCell="F24" sqref="F24:J24"/>
    </sheetView>
  </sheetViews>
  <sheetFormatPr defaultColWidth="9.140625"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61" t="s">
        <v>126</v>
      </c>
      <c r="C16" s="261"/>
      <c r="D16" s="261"/>
      <c r="E16" s="261"/>
    </row>
    <row r="18" spans="1:6" ht="38.25" customHeight="1" thickBot="1" x14ac:dyDescent="0.25">
      <c r="B18"/>
      <c r="C18"/>
      <c r="D18"/>
    </row>
    <row r="19" spans="1:6" ht="29.25" thickBot="1" x14ac:dyDescent="0.5">
      <c r="C19" s="24"/>
      <c r="D19" s="21"/>
      <c r="E19" s="22"/>
      <c r="F19" s="21"/>
    </row>
    <row r="20" spans="1:6" ht="14.25" customHeight="1" x14ac:dyDescent="0.2">
      <c r="C20" s="258" t="s">
        <v>24</v>
      </c>
      <c r="D20" s="255" t="s">
        <v>0</v>
      </c>
      <c r="E20" s="226" t="s">
        <v>265</v>
      </c>
      <c r="F20" s="254" t="s">
        <v>30</v>
      </c>
    </row>
    <row r="21" spans="1:6" ht="24.75" customHeight="1" x14ac:dyDescent="0.2">
      <c r="C21" s="259"/>
      <c r="D21" s="255"/>
      <c r="E21" s="227"/>
      <c r="F21" s="255"/>
    </row>
    <row r="22" spans="1:6" ht="36.75" customHeight="1" thickBot="1" x14ac:dyDescent="0.25">
      <c r="B22" s="19"/>
      <c r="C22" s="260"/>
      <c r="D22" s="256"/>
      <c r="E22" s="228"/>
      <c r="F22" s="256"/>
    </row>
    <row r="23" spans="1:6" ht="33.75" customHeight="1" x14ac:dyDescent="0.2">
      <c r="C23" s="27" t="s">
        <v>37</v>
      </c>
      <c r="D23" s="20"/>
      <c r="E23" s="23"/>
      <c r="F23" s="6"/>
    </row>
    <row r="24" spans="1:6" ht="30.75" customHeight="1" x14ac:dyDescent="0.2">
      <c r="A24" s="1">
        <v>1</v>
      </c>
      <c r="C24" s="33" t="s">
        <v>39</v>
      </c>
      <c r="D24" s="32">
        <v>1550</v>
      </c>
      <c r="E24" s="25">
        <f>IF(ISERROR(VLOOKUP($A24, '2. 2014 Continuity Schedule'!$A$20:$BQ$85, MATCH('3. Appendix A'!$E$20, '2. 2014 Continuity Schedule'!$A$20:$BQ$20,0),FALSE)), 0, VLOOKUP($A24, '2. 2014 Continuity Schedule'!$A$20:$BQ$85, MATCH('3. Appendix A'!$E$20, '2. 2014 Continuity Schedule'!$A$20:$BQ$20,0),FALSE))</f>
        <v>0.3900000000212458</v>
      </c>
      <c r="F24" s="30"/>
    </row>
    <row r="25" spans="1:6" ht="30.75" hidden="1" customHeight="1" x14ac:dyDescent="0.2">
      <c r="A25" s="1">
        <v>2</v>
      </c>
      <c r="C25" s="33" t="s">
        <v>244</v>
      </c>
      <c r="D25" s="32">
        <v>1551</v>
      </c>
      <c r="E25" s="25">
        <f>IF(ISERROR(VLOOKUP($A25, '2. 2014 Continuity Schedule'!$A$20:$BQ$85, MATCH('3. Appendix A'!$E$20, '2. 2014 Continuity Schedule'!$A$20:$BQ$20,0),FALSE)), 0, VLOOKUP($A25, '2. 2014 Continuity Schedule'!$A$20:$BQ$85, MATCH('3. Appendix A'!$E$20, '2. 2014 Continuity Schedule'!$A$20:$BQ$20,0),FALSE))</f>
        <v>0</v>
      </c>
      <c r="F25" s="30"/>
    </row>
    <row r="26" spans="1:6" ht="30.75" customHeight="1" x14ac:dyDescent="0.2">
      <c r="A26" s="1">
        <v>3</v>
      </c>
      <c r="C26" s="33" t="s">
        <v>1</v>
      </c>
      <c r="D26" s="32">
        <v>1580</v>
      </c>
      <c r="E26" s="25">
        <f>IF(ISERROR(VLOOKUP($A26, '2. 2014 Continuity Schedule'!$A$20:$BQ$85, MATCH('3. Appendix A'!$E$20, '2. 2014 Continuity Schedule'!$A$20:$BQ$20,0),FALSE)), 0, VLOOKUP($A26, '2. 2014 Continuity Schedule'!$A$20:$BQ$85, MATCH('3. Appendix A'!$E$20, '2. 2014 Continuity Schedule'!$A$20:$BQ$20,0),FALSE))</f>
        <v>0.26999999955296516</v>
      </c>
      <c r="F26" s="30"/>
    </row>
    <row r="27" spans="1:6" ht="30.75" customHeight="1" x14ac:dyDescent="0.2">
      <c r="A27" s="1">
        <v>4</v>
      </c>
      <c r="C27" s="33" t="s">
        <v>2</v>
      </c>
      <c r="D27" s="32">
        <v>1584</v>
      </c>
      <c r="E27" s="25">
        <f>IF(ISERROR(VLOOKUP($A27, '2. 2014 Continuity Schedule'!$A$20:$BQ$85, MATCH('3. Appendix A'!$E$20, '2. 2014 Continuity Schedule'!$A$20:$BQ$20,0),FALSE)), 0, VLOOKUP($A27, '2. 2014 Continuity Schedule'!$A$20:$BQ$85, MATCH('3. Appendix A'!$E$20, '2. 2014 Continuity Schedule'!$A$20:$BQ$20,0),FALSE))</f>
        <v>1.9999999785795808E-2</v>
      </c>
      <c r="F27" s="30"/>
    </row>
    <row r="28" spans="1:6" ht="30.75" customHeight="1" x14ac:dyDescent="0.2">
      <c r="A28" s="1">
        <v>5</v>
      </c>
      <c r="C28" s="33" t="s">
        <v>3</v>
      </c>
      <c r="D28" s="32">
        <v>1586</v>
      </c>
      <c r="E28" s="25">
        <f>IF(ISERROR(VLOOKUP($A28, '2. 2014 Continuity Schedule'!$A$20:$BQ$85, MATCH('3. Appendix A'!$E$20, '2. 2014 Continuity Schedule'!$A$20:$BQ$20,0),FALSE)), 0, VLOOKUP($A28, '2. 2014 Continuity Schedule'!$A$20:$BQ$85, MATCH('3. Appendix A'!$E$20, '2. 2014 Continuity Schedule'!$A$20:$BQ$20,0),FALSE))</f>
        <v>-0.47000000020489097</v>
      </c>
      <c r="F28" s="30"/>
    </row>
    <row r="29" spans="1:6" ht="30.75" customHeight="1" x14ac:dyDescent="0.2">
      <c r="A29" s="1">
        <v>6</v>
      </c>
      <c r="C29" s="33" t="s">
        <v>75</v>
      </c>
      <c r="D29" s="32">
        <v>1588</v>
      </c>
      <c r="E29" s="25">
        <f>IF(ISERROR(VLOOKUP($A29, '2. 2014 Continuity Schedule'!$A$20:$BQ$85, MATCH('3. Appendix A'!$E$20, '2. 2014 Continuity Schedule'!$A$20:$BQ$20,0),FALSE)), 0, VLOOKUP($A29, '2. 2014 Continuity Schedule'!$A$20:$BQ$85, MATCH('3. Appendix A'!$E$20, '2. 2014 Continuity Schedule'!$A$20:$BQ$20,0),FALSE))</f>
        <v>-0.49000000022351742</v>
      </c>
      <c r="F29" s="30"/>
    </row>
    <row r="30" spans="1:6" ht="30.75" customHeight="1" x14ac:dyDescent="0.2">
      <c r="A30" s="1">
        <v>7</v>
      </c>
      <c r="C30" s="33" t="s">
        <v>127</v>
      </c>
      <c r="D30" s="32">
        <v>1589</v>
      </c>
      <c r="E30" s="25">
        <f>IF(ISERROR(VLOOKUP($A30, '2. 2014 Continuity Schedule'!$A$20:$BQ$85, MATCH('3. Appendix A'!$E$20, '2. 2014 Continuity Schedule'!$A$20:$BQ$20,0),FALSE)), 0, VLOOKUP($A30, '2. 2014 Continuity Schedule'!$A$20:$BQ$85, MATCH('3. Appendix A'!$E$20, '2. 2014 Continuity Schedule'!$A$20:$BQ$20,0),FALSE))</f>
        <v>0.15000000037252903</v>
      </c>
      <c r="F30" s="30"/>
    </row>
    <row r="31" spans="1:6" ht="30.75" hidden="1" customHeight="1" x14ac:dyDescent="0.2">
      <c r="A31" s="1">
        <v>8</v>
      </c>
      <c r="C31" s="35" t="s">
        <v>108</v>
      </c>
      <c r="D31" s="32">
        <v>1595</v>
      </c>
      <c r="E31" s="25">
        <f>IF(ISERROR(VLOOKUP($A31, '2. 2014 Continuity Schedule'!$A$20:$BQ$85, MATCH('3. Appendix A'!$E$20, '2. 2014 Continuity Schedule'!$A$20:$BQ$20,0),FALSE)), 0, VLOOKUP($A31, '2. 2014 Continuity Schedule'!$A$20:$BQ$85, MATCH('3. Appendix A'!$E$20, '2. 2014 Continuity Schedule'!$A$20:$BQ$20,0),FALSE))</f>
        <v>0</v>
      </c>
      <c r="F31" s="30"/>
    </row>
    <row r="32" spans="1:6" ht="30.75" hidden="1" customHeight="1" x14ac:dyDescent="0.2">
      <c r="A32" s="1">
        <v>9</v>
      </c>
      <c r="C32" s="35" t="s">
        <v>109</v>
      </c>
      <c r="D32" s="32">
        <v>1595</v>
      </c>
      <c r="E32" s="25">
        <f>IF(ISERROR(VLOOKUP($A32, '2. 2014 Continuity Schedule'!$A$20:$BQ$85, MATCH('3. Appendix A'!$E$20, '2. 2014 Continuity Schedule'!$A$20:$BQ$20,0),FALSE)), 0, VLOOKUP($A32, '2. 2014 Continuity Schedule'!$A$20:$BQ$85, MATCH('3. Appendix A'!$E$20, '2. 2014 Continuity Schedule'!$A$20:$BQ$20,0),FALSE))</f>
        <v>0</v>
      </c>
      <c r="F32" s="30"/>
    </row>
    <row r="33" spans="1:6" ht="30.75" hidden="1" customHeight="1" x14ac:dyDescent="0.2">
      <c r="A33" s="1">
        <v>10</v>
      </c>
      <c r="C33" s="35" t="s">
        <v>110</v>
      </c>
      <c r="D33" s="32">
        <v>1595</v>
      </c>
      <c r="E33" s="25">
        <f>IF(ISERROR(VLOOKUP($A33, '2. 2014 Continuity Schedule'!$A$20:$BQ$85, MATCH('3. Appendix A'!$E$20, '2. 2014 Continuity Schedule'!$A$20:$BQ$20,0),FALSE)), 0, VLOOKUP($A33, '2. 2014 Continuity Schedule'!$A$20:$BQ$85, MATCH('3. Appendix A'!$E$20, '2. 2014 Continuity Schedule'!$A$20:$BQ$20,0),FALSE))</f>
        <v>0</v>
      </c>
      <c r="F33" s="30"/>
    </row>
    <row r="34" spans="1:6" ht="30.75" customHeight="1" x14ac:dyDescent="0.2">
      <c r="A34" s="1">
        <v>11</v>
      </c>
      <c r="C34" s="35" t="s">
        <v>227</v>
      </c>
      <c r="D34" s="32">
        <v>1595</v>
      </c>
      <c r="E34" s="25">
        <f>IF(ISERROR(VLOOKUP($A34, '2. 2014 Continuity Schedule'!$A$20:$BQ$85, MATCH('3. Appendix A'!$E$20, '2. 2014 Continuity Schedule'!$A$20:$BQ$20,0),FALSE)), 0, VLOOKUP($A34, '2. 2014 Continuity Schedule'!$A$20:$BQ$85, MATCH('3. Appendix A'!$E$20, '2. 2014 Continuity Schedule'!$A$20:$BQ$20,0),FALSE))</f>
        <v>-0.22000000001571607</v>
      </c>
      <c r="F34" s="30"/>
    </row>
    <row r="35" spans="1:6" ht="30.75" hidden="1" customHeight="1" x14ac:dyDescent="0.2">
      <c r="A35" s="1">
        <v>12</v>
      </c>
      <c r="C35" s="35" t="s">
        <v>274</v>
      </c>
      <c r="D35" s="32">
        <v>1595</v>
      </c>
      <c r="E35" s="25">
        <f>IF(ISERROR(VLOOKUP($A35, '2. 2014 Continuity Schedule'!$A$20:$BQ$85, MATCH('3. Appendix A'!$E$20, '2. 2014 Continuity Schedule'!$A$20:$BQ$20,0),FALSE)), 0, VLOOKUP($A35, '2. 2014 Continuity Schedule'!$A$20:$BQ$85, MATCH('3. Appendix A'!$E$20, '2. 2014 Continuity Schedule'!$A$20:$BQ$20,0),FALSE))</f>
        <v>0</v>
      </c>
      <c r="F35" s="30"/>
    </row>
    <row r="36" spans="1:6" ht="30.75" customHeight="1" x14ac:dyDescent="0.2">
      <c r="C36" s="35"/>
      <c r="D36" s="32"/>
      <c r="E36" s="25"/>
      <c r="F36" s="117"/>
    </row>
    <row r="37" spans="1:6" ht="30.75" customHeight="1" thickBot="1" x14ac:dyDescent="0.25">
      <c r="C37" s="27" t="s">
        <v>38</v>
      </c>
      <c r="D37" s="26"/>
      <c r="E37" s="25"/>
      <c r="F37" s="205"/>
    </row>
    <row r="38" spans="1:6" ht="30.75" customHeight="1" x14ac:dyDescent="0.2">
      <c r="A38" s="1">
        <v>13</v>
      </c>
      <c r="C38" s="33" t="s">
        <v>44</v>
      </c>
      <c r="D38" s="32">
        <v>1508</v>
      </c>
      <c r="E38" s="25">
        <f>IF(ISERROR(VLOOKUP($A38, '2. 2014 Continuity Schedule'!$A$20:$BQ$85, MATCH('3. Appendix A'!$E$20, '2. 2014 Continuity Schedule'!$A$20:$BQ$20,0),FALSE)), 0, VLOOKUP($A38, '2. 2014 Continuity Schedule'!$A$20:$BQ$85, MATCH('3. Appendix A'!$E$20, '2. 2014 Continuity Schedule'!$A$20:$BQ$20,0),FALSE))</f>
        <v>9.9999999983992893E-3</v>
      </c>
      <c r="F38" s="204"/>
    </row>
    <row r="39" spans="1:6" ht="30.75" customHeight="1" x14ac:dyDescent="0.2">
      <c r="A39" s="1">
        <v>14</v>
      </c>
      <c r="C39" s="33" t="s">
        <v>45</v>
      </c>
      <c r="D39" s="32">
        <v>1508</v>
      </c>
      <c r="E39" s="25">
        <f>IF(ISERROR(VLOOKUP($A39, '2. 2014 Continuity Schedule'!$A$20:$BQ$85, MATCH('3. Appendix A'!$E$20, '2. 2014 Continuity Schedule'!$A$20:$BQ$20,0),FALSE)), 0, VLOOKUP($A39, '2. 2014 Continuity Schedule'!$A$20:$BQ$85, MATCH('3. Appendix A'!$E$20, '2. 2014 Continuity Schedule'!$A$20:$BQ$20,0),FALSE))</f>
        <v>-1.0000000000218279E-2</v>
      </c>
      <c r="F39" s="30"/>
    </row>
    <row r="40" spans="1:6" ht="30.75" hidden="1" customHeight="1" x14ac:dyDescent="0.2">
      <c r="A40" s="1">
        <v>15</v>
      </c>
      <c r="C40" s="34" t="s">
        <v>111</v>
      </c>
      <c r="D40" s="32">
        <v>1508</v>
      </c>
      <c r="E40" s="25">
        <f>IF(ISERROR(VLOOKUP($A40, '2. 2014 Continuity Schedule'!$A$20:$BQ$85, MATCH('3. Appendix A'!$E$20, '2. 2014 Continuity Schedule'!$A$20:$BQ$20,0),FALSE)), 0, VLOOKUP($A40, '2. 2014 Continuity Schedule'!$A$20:$BQ$85, MATCH('3. Appendix A'!$E$20, '2. 2014 Continuity Schedule'!$A$20:$BQ$20,0),FALSE))</f>
        <v>0</v>
      </c>
      <c r="F40" s="30"/>
    </row>
    <row r="41" spans="1:6" ht="30.75" hidden="1" customHeight="1" x14ac:dyDescent="0.2">
      <c r="A41" s="1">
        <v>16</v>
      </c>
      <c r="C41" s="34" t="s">
        <v>58</v>
      </c>
      <c r="D41" s="32">
        <v>1508</v>
      </c>
      <c r="E41" s="25">
        <f>IF(ISERROR(VLOOKUP($A41, '2. 2014 Continuity Schedule'!$A$20:$BQ$85, MATCH('3. Appendix A'!$E$20, '2. 2014 Continuity Schedule'!$A$20:$BQ$20,0),FALSE)), 0, VLOOKUP($A41, '2. 2014 Continuity Schedule'!$A$20:$BQ$85, MATCH('3. Appendix A'!$E$20, '2. 2014 Continuity Schedule'!$A$20:$BQ$20,0),FALSE))</f>
        <v>0</v>
      </c>
      <c r="F41" s="30"/>
    </row>
    <row r="42" spans="1:6" ht="30.75" hidden="1" customHeight="1" x14ac:dyDescent="0.2">
      <c r="A42" s="1">
        <v>17</v>
      </c>
      <c r="C42" s="34" t="s">
        <v>273</v>
      </c>
      <c r="D42" s="32">
        <v>1508</v>
      </c>
      <c r="E42" s="25">
        <f>IF(ISERROR(VLOOKUP($A42, '2. 2014 Continuity Schedule'!$A$20:$BQ$85, MATCH('3. Appendix A'!$E$20, '2. 2014 Continuity Schedule'!$A$20:$BQ$20,0),FALSE)), 0, VLOOKUP($A42, '2. 2014 Continuity Schedule'!$A$20:$BQ$85, MATCH('3. Appendix A'!$E$20, '2. 2014 Continuity Schedule'!$A$20:$BQ$20,0),FALSE))</f>
        <v>0</v>
      </c>
      <c r="F42" s="30"/>
    </row>
    <row r="43" spans="1:6" ht="30.75" hidden="1" customHeight="1" x14ac:dyDescent="0.2">
      <c r="A43" s="1">
        <v>18</v>
      </c>
      <c r="C43" s="34" t="s">
        <v>4</v>
      </c>
      <c r="D43" s="32">
        <v>1518</v>
      </c>
      <c r="E43" s="25">
        <f>IF(ISERROR(VLOOKUP($A43, '2. 2014 Continuity Schedule'!$A$20:$BQ$85, MATCH('3. Appendix A'!$E$20, '2. 2014 Continuity Schedule'!$A$20:$BQ$20,0),FALSE)), 0, VLOOKUP($A43, '2. 2014 Continuity Schedule'!$A$20:$BQ$85, MATCH('3. Appendix A'!$E$20, '2. 2014 Continuity Schedule'!$A$20:$BQ$20,0),FALSE))</f>
        <v>0</v>
      </c>
      <c r="F43" s="30"/>
    </row>
    <row r="44" spans="1:6" ht="30.75" hidden="1" customHeight="1" x14ac:dyDescent="0.2">
      <c r="A44" s="1">
        <v>19</v>
      </c>
      <c r="C44" s="33" t="s">
        <v>9</v>
      </c>
      <c r="D44" s="32">
        <v>1525</v>
      </c>
      <c r="E44" s="25">
        <f>IF(ISERROR(VLOOKUP($A44, '2. 2014 Continuity Schedule'!$A$20:$BQ$85, MATCH('3. Appendix A'!$E$20, '2. 2014 Continuity Schedule'!$A$20:$BQ$20,0),FALSE)), 0, VLOOKUP($A44, '2. 2014 Continuity Schedule'!$A$20:$BQ$85, MATCH('3. Appendix A'!$E$20, '2. 2014 Continuity Schedule'!$A$20:$BQ$20,0),FALSE))</f>
        <v>0</v>
      </c>
      <c r="F44" s="30"/>
    </row>
    <row r="45" spans="1:6" ht="30.75" hidden="1" customHeight="1" x14ac:dyDescent="0.2">
      <c r="A45" s="1">
        <v>20</v>
      </c>
      <c r="C45" s="33" t="s">
        <v>41</v>
      </c>
      <c r="D45" s="32">
        <v>1531</v>
      </c>
      <c r="E45" s="25">
        <f>IF(ISERROR(VLOOKUP($A45, '2. 2014 Continuity Schedule'!$A$20:$BQ$85, MATCH('3. Appendix A'!$E$20, '2. 2014 Continuity Schedule'!$A$20:$BQ$20,0),FALSE)), 0, VLOOKUP($A45, '2. 2014 Continuity Schedule'!$A$20:$BQ$85, MATCH('3. Appendix A'!$E$20, '2. 2014 Continuity Schedule'!$A$20:$BQ$20,0),FALSE))</f>
        <v>0</v>
      </c>
      <c r="F45" s="30"/>
    </row>
    <row r="46" spans="1:6" ht="30.75" hidden="1" customHeight="1" x14ac:dyDescent="0.2">
      <c r="A46" s="1">
        <v>21</v>
      </c>
      <c r="C46" s="33" t="s">
        <v>42</v>
      </c>
      <c r="D46" s="32">
        <v>1532</v>
      </c>
      <c r="E46" s="25">
        <f>IF(ISERROR(VLOOKUP($A46, '2. 2014 Continuity Schedule'!$A$20:$BQ$85, MATCH('3. Appendix A'!$E$20, '2. 2014 Continuity Schedule'!$A$20:$BQ$20,0),FALSE)), 0, VLOOKUP($A46, '2. 2014 Continuity Schedule'!$A$20:$BQ$85, MATCH('3. Appendix A'!$E$20, '2. 2014 Continuity Schedule'!$A$20:$BQ$20,0),FALSE))</f>
        <v>0</v>
      </c>
      <c r="F46" s="30"/>
    </row>
    <row r="47" spans="1:6" ht="30.75" hidden="1" customHeight="1" x14ac:dyDescent="0.2">
      <c r="A47" s="1">
        <v>22</v>
      </c>
      <c r="C47" s="33" t="s">
        <v>25</v>
      </c>
      <c r="D47" s="32">
        <v>1533</v>
      </c>
      <c r="E47" s="25">
        <f>IF(ISERROR(VLOOKUP($A47, '2. 2014 Continuity Schedule'!$A$20:$BQ$85, MATCH('3. Appendix A'!$E$20, '2. 2014 Continuity Schedule'!$A$20:$BQ$20,0),FALSE)), 0, VLOOKUP($A47, '2. 2014 Continuity Schedule'!$A$20:$BQ$85, MATCH('3. Appendix A'!$E$20, '2. 2014 Continuity Schedule'!$A$20:$BQ$20,0),FALSE))</f>
        <v>0</v>
      </c>
      <c r="F47" s="30"/>
    </row>
    <row r="48" spans="1:6" ht="30.75" hidden="1" customHeight="1" x14ac:dyDescent="0.2">
      <c r="A48" s="1">
        <v>23</v>
      </c>
      <c r="C48" s="33" t="s">
        <v>17</v>
      </c>
      <c r="D48" s="32">
        <v>1534</v>
      </c>
      <c r="E48" s="25">
        <f>IF(ISERROR(VLOOKUP($A48, '2. 2014 Continuity Schedule'!$A$20:$BQ$85, MATCH('3. Appendix A'!$E$20, '2. 2014 Continuity Schedule'!$A$20:$BQ$20,0),FALSE)), 0, VLOOKUP($A48, '2. 2014 Continuity Schedule'!$A$20:$BQ$85, MATCH('3. Appendix A'!$E$20, '2. 2014 Continuity Schedule'!$A$20:$BQ$20,0),FALSE))</f>
        <v>0</v>
      </c>
      <c r="F48" s="30"/>
    </row>
    <row r="49" spans="1:6" ht="30.75" hidden="1" customHeight="1" x14ac:dyDescent="0.2">
      <c r="A49" s="1">
        <v>24</v>
      </c>
      <c r="C49" s="33" t="s">
        <v>18</v>
      </c>
      <c r="D49" s="32">
        <v>1535</v>
      </c>
      <c r="E49" s="25">
        <f>IF(ISERROR(VLOOKUP($A49, '2. 2014 Continuity Schedule'!$A$20:$BQ$85, MATCH('3. Appendix A'!$E$20, '2. 2014 Continuity Schedule'!$A$20:$BQ$20,0),FALSE)), 0, VLOOKUP($A49, '2. 2014 Continuity Schedule'!$A$20:$BQ$85, MATCH('3. Appendix A'!$E$20, '2. 2014 Continuity Schedule'!$A$20:$BQ$20,0),FALSE))</f>
        <v>0</v>
      </c>
      <c r="F49" s="30"/>
    </row>
    <row r="50" spans="1:6" ht="30.75" hidden="1" customHeight="1" x14ac:dyDescent="0.2">
      <c r="A50" s="1">
        <v>25</v>
      </c>
      <c r="C50" s="33" t="s">
        <v>23</v>
      </c>
      <c r="D50" s="32">
        <v>1536</v>
      </c>
      <c r="E50" s="25">
        <f>IF(ISERROR(VLOOKUP($A50, '2. 2014 Continuity Schedule'!$A$20:$BQ$85, MATCH('3. Appendix A'!$E$20, '2. 2014 Continuity Schedule'!$A$20:$BQ$20,0),FALSE)), 0, VLOOKUP($A50, '2. 2014 Continuity Schedule'!$A$20:$BQ$85, MATCH('3. Appendix A'!$E$20, '2. 2014 Continuity Schedule'!$A$20:$BQ$20,0),FALSE))</f>
        <v>0</v>
      </c>
      <c r="F50" s="30"/>
    </row>
    <row r="51" spans="1:6" ht="30.75" hidden="1" customHeight="1" x14ac:dyDescent="0.2">
      <c r="A51" s="1">
        <v>26</v>
      </c>
      <c r="C51" s="33" t="s">
        <v>5</v>
      </c>
      <c r="D51" s="32">
        <v>1548</v>
      </c>
      <c r="E51" s="25">
        <f>IF(ISERROR(VLOOKUP($A51, '2. 2014 Continuity Schedule'!$A$20:$BQ$85, MATCH('3. Appendix A'!$E$20, '2. 2014 Continuity Schedule'!$A$20:$BQ$20,0),FALSE)), 0, VLOOKUP($A51, '2. 2014 Continuity Schedule'!$A$20:$BQ$85, MATCH('3. Appendix A'!$E$20, '2. 2014 Continuity Schedule'!$A$20:$BQ$20,0),FALSE))</f>
        <v>0</v>
      </c>
      <c r="F51" s="30"/>
    </row>
    <row r="52" spans="1:6" ht="30.75" hidden="1" customHeight="1" x14ac:dyDescent="0.2">
      <c r="A52" s="1">
        <v>27</v>
      </c>
      <c r="C52" s="33" t="s">
        <v>43</v>
      </c>
      <c r="D52" s="32">
        <v>1567</v>
      </c>
      <c r="E52" s="25">
        <f>IF(ISERROR(VLOOKUP($A52, '2. 2014 Continuity Schedule'!$A$20:$BQ$85, MATCH('3. Appendix A'!$E$20, '2. 2014 Continuity Schedule'!$A$20:$BQ$20,0),FALSE)), 0, VLOOKUP($A52, '2. 2014 Continuity Schedule'!$A$20:$BQ$85, MATCH('3. Appendix A'!$E$20, '2. 2014 Continuity Schedule'!$A$20:$BQ$20,0),FALSE))</f>
        <v>0</v>
      </c>
      <c r="F52" s="30"/>
    </row>
    <row r="53" spans="1:6" ht="30.75" hidden="1" customHeight="1" x14ac:dyDescent="0.2">
      <c r="A53" s="1">
        <v>28</v>
      </c>
      <c r="C53" s="33" t="s">
        <v>10</v>
      </c>
      <c r="D53" s="32">
        <v>1572</v>
      </c>
      <c r="E53" s="25">
        <f>IF(ISERROR(VLOOKUP($A53, '2. 2014 Continuity Schedule'!$A$20:$BQ$85, MATCH('3. Appendix A'!$E$20, '2. 2014 Continuity Schedule'!$A$20:$BQ$20,0),FALSE)), 0, VLOOKUP($A53, '2. 2014 Continuity Schedule'!$A$20:$BQ$85, MATCH('3. Appendix A'!$E$20, '2. 2014 Continuity Schedule'!$A$20:$BQ$20,0),FALSE))</f>
        <v>0</v>
      </c>
      <c r="F53" s="30"/>
    </row>
    <row r="54" spans="1:6" ht="30.75" hidden="1" customHeight="1" x14ac:dyDescent="0.2">
      <c r="A54" s="1">
        <v>29</v>
      </c>
      <c r="C54" s="33" t="s">
        <v>6</v>
      </c>
      <c r="D54" s="32">
        <v>1574</v>
      </c>
      <c r="E54" s="25">
        <f>IF(ISERROR(VLOOKUP($A54, '2. 2014 Continuity Schedule'!$A$20:$BQ$85, MATCH('3. Appendix A'!$E$20, '2. 2014 Continuity Schedule'!$A$20:$BQ$20,0),FALSE)), 0, VLOOKUP($A54, '2. 2014 Continuity Schedule'!$A$20:$BQ$85, MATCH('3. Appendix A'!$E$20, '2. 2014 Continuity Schedule'!$A$20:$BQ$20,0),FALSE))</f>
        <v>0</v>
      </c>
      <c r="F54" s="30"/>
    </row>
    <row r="55" spans="1:6" ht="30.75" hidden="1" customHeight="1" x14ac:dyDescent="0.2">
      <c r="A55" s="1">
        <v>30</v>
      </c>
      <c r="C55" s="33" t="s">
        <v>40</v>
      </c>
      <c r="D55" s="32">
        <v>1582</v>
      </c>
      <c r="E55" s="25">
        <f>IF(ISERROR(VLOOKUP($A55, '2. 2014 Continuity Schedule'!$A$20:$BQ$85, MATCH('3. Appendix A'!$E$20, '2. 2014 Continuity Schedule'!$A$20:$BQ$20,0),FALSE)), 0, VLOOKUP($A55, '2. 2014 Continuity Schedule'!$A$20:$BQ$85, MATCH('3. Appendix A'!$E$20, '2. 2014 Continuity Schedule'!$A$20:$BQ$20,0),FALSE))</f>
        <v>-1.3642420526593924E-12</v>
      </c>
      <c r="F55" s="30"/>
    </row>
    <row r="56" spans="1:6" ht="30.75" hidden="1" customHeight="1" x14ac:dyDescent="0.2">
      <c r="A56" s="1">
        <v>31</v>
      </c>
      <c r="C56" s="33" t="s">
        <v>7</v>
      </c>
      <c r="D56" s="32">
        <v>2425</v>
      </c>
      <c r="E56" s="25">
        <f>IF(ISERROR(VLOOKUP($A56, '2. 2014 Continuity Schedule'!$A$20:$BQ$85, MATCH('3. Appendix A'!$E$20, '2. 2014 Continuity Schedule'!$A$20:$BQ$20,0),FALSE)), 0, VLOOKUP($A56, '2. 2014 Continuity Schedule'!$A$20:$BQ$85, MATCH('3. Appendix A'!$E$20, '2. 2014 Continuity Schedule'!$A$20:$BQ$20,0),FALSE))</f>
        <v>0</v>
      </c>
      <c r="F56" s="30"/>
    </row>
    <row r="57" spans="1:6" ht="30.75" hidden="1" customHeight="1" x14ac:dyDescent="0.2">
      <c r="A57" s="1">
        <v>32</v>
      </c>
      <c r="C57" s="33" t="s">
        <v>8</v>
      </c>
      <c r="D57" s="32">
        <v>1562</v>
      </c>
      <c r="E57" s="25">
        <f>IF(ISERROR(VLOOKUP($A57, '2. 2014 Continuity Schedule'!$A$20:$BQ$85, MATCH('3. Appendix A'!$E$20, '2. 2014 Continuity Schedule'!$A$20:$BQ$20,0),FALSE)), 0, VLOOKUP($A57, '2. 2014 Continuity Schedule'!$A$20:$BQ$85, MATCH('3. Appendix A'!$E$20, '2. 2014 Continuity Schedule'!$A$20:$BQ$20,0),FALSE))</f>
        <v>5.8207660913467407E-11</v>
      </c>
      <c r="F57" s="30"/>
    </row>
    <row r="58" spans="1:6" ht="30.75" hidden="1" customHeight="1" x14ac:dyDescent="0.2">
      <c r="A58" s="1">
        <v>33</v>
      </c>
      <c r="C58" s="33" t="s">
        <v>48</v>
      </c>
      <c r="D58" s="29">
        <v>1592</v>
      </c>
      <c r="E58" s="25">
        <f>IF(ISERROR(VLOOKUP($A58, '2. 2014 Continuity Schedule'!$A$20:$BQ$85, MATCH('3. Appendix A'!$E$20, '2. 2014 Continuity Schedule'!$A$20:$BQ$20,0),FALSE)), 0, VLOOKUP($A58, '2. 2014 Continuity Schedule'!$A$20:$BQ$85, MATCH('3. Appendix A'!$E$20, '2. 2014 Continuity Schedule'!$A$20:$BQ$20,0),FALSE))</f>
        <v>0</v>
      </c>
      <c r="F58" s="30"/>
    </row>
    <row r="59" spans="1:6" ht="30.75" customHeight="1" x14ac:dyDescent="0.2">
      <c r="A59" s="1">
        <v>34</v>
      </c>
      <c r="B59" s="6"/>
      <c r="C59" s="128" t="s">
        <v>47</v>
      </c>
      <c r="D59" s="32">
        <v>1592</v>
      </c>
      <c r="E59" s="25">
        <f>IF(ISERROR(VLOOKUP($A59, '2. 2014 Continuity Schedule'!$A$20:$BQ$85, MATCH('3. Appendix A'!$E$20, '2. 2014 Continuity Schedule'!$A$20:$BQ$20,0),FALSE)), 0, VLOOKUP($A59, '2. 2014 Continuity Schedule'!$A$20:$BQ$85, MATCH('3. Appendix A'!$E$20, '2. 2014 Continuity Schedule'!$A$20:$BQ$20,0),FALSE))</f>
        <v>61837.549999999996</v>
      </c>
      <c r="F59" s="207" t="s">
        <v>299</v>
      </c>
    </row>
    <row r="60" spans="1:6" ht="30.75" hidden="1" customHeight="1" thickBot="1" x14ac:dyDescent="0.25">
      <c r="A60" s="1">
        <v>35</v>
      </c>
      <c r="B60" s="6"/>
      <c r="C60" s="128" t="s">
        <v>98</v>
      </c>
      <c r="D60" s="32">
        <v>1568</v>
      </c>
      <c r="E60" s="25">
        <f>IF(ISERROR(VLOOKUP($A60, '2. 2014 Continuity Schedule'!$A$20:$BQ$85, MATCH('3. Appendix A'!$E$20, '2. 2014 Continuity Schedule'!$A$20:$BQ$20,0),FALSE)), 0, VLOOKUP($A60, '2. 2014 Continuity Schedule'!$A$20:$BQ$85, MATCH('3. Appendix A'!$E$20, '2. 2014 Continuity Schedule'!$A$20:$BQ$20,0),FALSE))</f>
        <v>0</v>
      </c>
      <c r="F60" s="30"/>
    </row>
    <row r="61" spans="1:6" ht="30.75" hidden="1" customHeight="1" x14ac:dyDescent="0.2">
      <c r="A61" s="1">
        <v>36</v>
      </c>
      <c r="B61" s="6"/>
      <c r="C61" s="129" t="s">
        <v>272</v>
      </c>
      <c r="D61" s="29">
        <v>1555</v>
      </c>
      <c r="E61" s="25">
        <f>IF(ISERROR(VLOOKUP($A61, '2. 2014 Continuity Schedule'!$A$20:$BQ$85, MATCH('3. Appendix A'!$E$20, '2. 2014 Continuity Schedule'!$A$20:$BQ$20,0),FALSE)), 0, VLOOKUP($A61, '2. 2014 Continuity Schedule'!$A$20:$BQ$85, MATCH('3. Appendix A'!$E$20, '2. 2014 Continuity Schedule'!$A$20:$BQ$20,0),FALSE))</f>
        <v>0</v>
      </c>
      <c r="F61" s="30"/>
    </row>
    <row r="62" spans="1:6" ht="30.75" hidden="1" customHeight="1" x14ac:dyDescent="0.2">
      <c r="A62" s="1">
        <v>37</v>
      </c>
      <c r="B62" s="6"/>
      <c r="C62" s="129" t="s">
        <v>271</v>
      </c>
      <c r="D62" s="29">
        <v>1555</v>
      </c>
      <c r="E62" s="25">
        <f>IF(ISERROR(VLOOKUP($A62, '2. 2014 Continuity Schedule'!$A$20:$BQ$85, MATCH('3. Appendix A'!$E$20, '2. 2014 Continuity Schedule'!$A$20:$BQ$20,0),FALSE)), 0, VLOOKUP($A62, '2. 2014 Continuity Schedule'!$A$20:$BQ$85, MATCH('3. Appendix A'!$E$20, '2. 2014 Continuity Schedule'!$A$20:$BQ$20,0),FALSE))</f>
        <v>0</v>
      </c>
      <c r="F62" s="30"/>
    </row>
    <row r="63" spans="1:6" ht="30.75" customHeight="1" x14ac:dyDescent="0.2">
      <c r="A63" s="1">
        <v>38</v>
      </c>
      <c r="B63" s="6"/>
      <c r="C63" s="5" t="s">
        <v>270</v>
      </c>
      <c r="D63" s="7">
        <v>1555</v>
      </c>
      <c r="E63" s="25">
        <f>IF(ISERROR(VLOOKUP($A63, '2. 2014 Continuity Schedule'!$A$20:$BQ$85, MATCH('3. Appendix A'!$E$20, '2. 2014 Continuity Schedule'!$A$20:$BQ$20,0),FALSE)), 0, VLOOKUP($A63, '2. 2014 Continuity Schedule'!$A$20:$BQ$85, MATCH('3. Appendix A'!$E$20, '2. 2014 Continuity Schedule'!$A$20:$BQ$20,0),FALSE))</f>
        <v>56210.749796529766</v>
      </c>
      <c r="F63" s="207" t="s">
        <v>298</v>
      </c>
    </row>
    <row r="64" spans="1:6" ht="30.75" hidden="1" customHeight="1" x14ac:dyDescent="0.2">
      <c r="A64" s="1">
        <v>39</v>
      </c>
      <c r="B64" s="6"/>
      <c r="C64" s="5" t="s">
        <v>269</v>
      </c>
      <c r="D64" s="7">
        <v>1556</v>
      </c>
      <c r="E64" s="25">
        <f>IF(ISERROR(VLOOKUP($A64, '2. 2014 Continuity Schedule'!$A$20:$BQ$85, MATCH('3. Appendix A'!$E$20, '2. 2014 Continuity Schedule'!$A$20:$BQ$20,0),FALSE)), 0, VLOOKUP($A64, '2. 2014 Continuity Schedule'!$A$20:$BQ$85, MATCH('3. Appendix A'!$E$20, '2. 2014 Continuity Schedule'!$A$20:$BQ$20,0),FALSE))</f>
        <v>0</v>
      </c>
      <c r="F64" s="30"/>
    </row>
    <row r="65" spans="1:6" ht="30.75" hidden="1" customHeight="1" x14ac:dyDescent="0.2">
      <c r="A65" s="1">
        <v>40</v>
      </c>
      <c r="B65" s="6"/>
      <c r="C65" s="5" t="s">
        <v>230</v>
      </c>
      <c r="D65" s="7">
        <v>1575</v>
      </c>
      <c r="E65" s="25">
        <f>IF(ISERROR(VLOOKUP($A65, '2. 2014 Continuity Schedule'!$A$20:$BQ$85, MATCH('3. Appendix A'!$E$20, '2. 2014 Continuity Schedule'!$A$20:$BQ$20,0),FALSE)), 0, VLOOKUP($A65, '2. 2014 Continuity Schedule'!$A$20:$BQ$85, MATCH('3. Appendix A'!$E$20, '2. 2014 Continuity Schedule'!$A$20:$BQ$20,0),FALSE))</f>
        <v>0</v>
      </c>
      <c r="F65" s="30"/>
    </row>
    <row r="66" spans="1:6" ht="30.75" customHeight="1" thickBot="1" x14ac:dyDescent="0.25">
      <c r="A66" s="1">
        <v>41</v>
      </c>
      <c r="B66" s="6"/>
      <c r="C66" s="203" t="s">
        <v>231</v>
      </c>
      <c r="D66" s="7">
        <v>1576</v>
      </c>
      <c r="E66" s="25">
        <f>IF(ISERROR(VLOOKUP($A66, '2. 2014 Continuity Schedule'!$A$20:$BQ$85, MATCH('3. Appendix A'!$E$20, '2. 2014 Continuity Schedule'!$A$20:$BQ$20,0),FALSE)), 0, VLOOKUP($A66, '2. 2014 Continuity Schedule'!$A$20:$BQ$85, MATCH('3. Appendix A'!$E$20, '2. 2014 Continuity Schedule'!$A$20:$BQ$20,0),FALSE))</f>
        <v>4129266.6193090114</v>
      </c>
      <c r="F66" s="207" t="s">
        <v>300</v>
      </c>
    </row>
    <row r="67" spans="1:6" x14ac:dyDescent="0.2">
      <c r="C67" s="36"/>
      <c r="D67" s="36"/>
      <c r="E67" s="36"/>
    </row>
  </sheetData>
  <sheetProtection password="F8BD" sheet="1" objects="1" scenarios="1"/>
  <mergeCells count="5">
    <mergeCell ref="E20:E22"/>
    <mergeCell ref="F20:F22"/>
    <mergeCell ref="C20:C22"/>
    <mergeCell ref="D20:D22"/>
    <mergeCell ref="B16:E16"/>
  </mergeCells>
  <phoneticPr fontId="13" type="noConversion"/>
  <conditionalFormatting sqref="F38:F58 F24:F36 F60:F66">
    <cfRule type="expression" dxfId="11" priority="5" stopIfTrue="1">
      <formula>ISBLANK(F24)</formula>
    </cfRule>
  </conditionalFormatting>
  <conditionalFormatting sqref="F59">
    <cfRule type="expression" dxfId="10" priority="1" stopIfTrue="1">
      <formula>ISBLANK(F59)</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3:P47"/>
  <sheetViews>
    <sheetView showGridLines="0" topLeftCell="A13" zoomScale="80" zoomScaleNormal="80" workbookViewId="0">
      <selection activeCell="D26" sqref="D26"/>
    </sheetView>
  </sheetViews>
  <sheetFormatPr defaultRowHeight="12.75" x14ac:dyDescent="0.2"/>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5" width="23.28515625" customWidth="1"/>
    <col min="16" max="16" width="20" customWidth="1"/>
  </cols>
  <sheetData>
    <row r="13" spans="2:9" ht="3" customHeight="1" x14ac:dyDescent="0.2"/>
    <row r="14" spans="2:9" ht="3" customHeight="1" x14ac:dyDescent="0.2"/>
    <row r="15" spans="2:9" ht="3" customHeight="1" x14ac:dyDescent="0.2"/>
    <row r="16" spans="2:9" ht="12.75" customHeight="1" x14ac:dyDescent="0.2">
      <c r="B16" s="249" t="s">
        <v>104</v>
      </c>
      <c r="C16" s="249"/>
      <c r="D16" s="249"/>
      <c r="E16" s="249"/>
      <c r="F16" s="249"/>
      <c r="G16" s="249"/>
      <c r="H16" s="249"/>
      <c r="I16" s="249"/>
    </row>
    <row r="17" spans="2:16" x14ac:dyDescent="0.2">
      <c r="B17" s="249"/>
      <c r="C17" s="249"/>
      <c r="D17" s="249"/>
      <c r="E17" s="249"/>
      <c r="F17" s="249"/>
      <c r="G17" s="249"/>
      <c r="H17" s="249"/>
      <c r="I17" s="249"/>
    </row>
    <row r="19" spans="2:16" x14ac:dyDescent="0.2">
      <c r="B19" s="268" t="s">
        <v>116</v>
      </c>
      <c r="C19" s="267" t="s">
        <v>102</v>
      </c>
      <c r="D19" s="262" t="s">
        <v>115</v>
      </c>
      <c r="E19" s="262" t="s">
        <v>96</v>
      </c>
      <c r="F19" s="262" t="s">
        <v>97</v>
      </c>
      <c r="G19" s="266" t="s">
        <v>90</v>
      </c>
      <c r="H19" s="266" t="s">
        <v>91</v>
      </c>
      <c r="I19" s="266" t="s">
        <v>92</v>
      </c>
      <c r="J19" s="266" t="s">
        <v>105</v>
      </c>
      <c r="K19" s="263" t="s">
        <v>93</v>
      </c>
      <c r="L19" s="263" t="s">
        <v>94</v>
      </c>
      <c r="M19" s="263" t="s">
        <v>95</v>
      </c>
      <c r="N19" s="263" t="s">
        <v>236</v>
      </c>
      <c r="O19" s="263" t="s">
        <v>275</v>
      </c>
      <c r="P19" s="264" t="s">
        <v>99</v>
      </c>
    </row>
    <row r="20" spans="2:16" ht="45.75" customHeight="1" x14ac:dyDescent="0.2">
      <c r="B20" s="269"/>
      <c r="C20" s="267"/>
      <c r="D20" s="262"/>
      <c r="E20" s="262"/>
      <c r="F20" s="262"/>
      <c r="G20" s="266"/>
      <c r="H20" s="266"/>
      <c r="I20" s="266"/>
      <c r="J20" s="266"/>
      <c r="K20" s="263"/>
      <c r="L20" s="263"/>
      <c r="M20" s="263"/>
      <c r="N20" s="263"/>
      <c r="O20" s="263"/>
      <c r="P20" s="264"/>
    </row>
    <row r="21" spans="2:16" x14ac:dyDescent="0.2">
      <c r="B21" s="132" t="s">
        <v>289</v>
      </c>
      <c r="C21" s="133" t="s">
        <v>276</v>
      </c>
      <c r="D21" s="134">
        <v>46274</v>
      </c>
      <c r="E21" s="134">
        <v>412298278</v>
      </c>
      <c r="F21" s="134">
        <v>0</v>
      </c>
      <c r="G21" s="134">
        <v>32043237.623106342</v>
      </c>
      <c r="H21" s="114">
        <f>IF(ISERROR(F21/E21*G21), 0, F21/E21*G21)</f>
        <v>0</v>
      </c>
      <c r="I21" s="134">
        <v>16748174.92463121</v>
      </c>
      <c r="J21" s="136"/>
      <c r="K21" s="136"/>
      <c r="L21" s="136"/>
      <c r="M21" s="136"/>
      <c r="N21" s="136"/>
      <c r="O21" s="136"/>
      <c r="P21" s="134"/>
    </row>
    <row r="22" spans="2:16" x14ac:dyDescent="0.2">
      <c r="B22" s="132" t="s">
        <v>290</v>
      </c>
      <c r="C22" s="133" t="s">
        <v>295</v>
      </c>
      <c r="D22" s="134">
        <v>4315</v>
      </c>
      <c r="E22" s="134">
        <v>124179905</v>
      </c>
      <c r="F22" s="134">
        <v>0</v>
      </c>
      <c r="G22" s="134">
        <v>17517445.729166672</v>
      </c>
      <c r="H22" s="114">
        <f t="shared" ref="H22:H40" si="0">IF(ISERROR(F22/E22*G22), 0, F22/E22*G22)</f>
        <v>0</v>
      </c>
      <c r="I22" s="134">
        <v>3665080.5554586919</v>
      </c>
      <c r="J22" s="136"/>
      <c r="K22" s="136"/>
      <c r="L22" s="136"/>
      <c r="M22" s="136"/>
      <c r="N22" s="136"/>
      <c r="O22" s="136"/>
      <c r="P22" s="134"/>
    </row>
    <row r="23" spans="2:16" x14ac:dyDescent="0.2">
      <c r="B23" s="132" t="s">
        <v>291</v>
      </c>
      <c r="C23" s="133" t="s">
        <v>295</v>
      </c>
      <c r="D23" s="134">
        <v>863</v>
      </c>
      <c r="E23" s="134">
        <v>655968805</v>
      </c>
      <c r="F23" s="134">
        <v>1721553.9692533722</v>
      </c>
      <c r="G23" s="134">
        <v>621052485.65189385</v>
      </c>
      <c r="H23" s="114">
        <f t="shared" si="0"/>
        <v>1629918.0138431899</v>
      </c>
      <c r="I23" s="134">
        <v>9029648.1860448699</v>
      </c>
      <c r="J23" s="136"/>
      <c r="K23" s="136"/>
      <c r="L23" s="136"/>
      <c r="M23" s="136"/>
      <c r="N23" s="136"/>
      <c r="O23" s="136"/>
      <c r="P23" s="134"/>
    </row>
    <row r="24" spans="2:16" x14ac:dyDescent="0.2">
      <c r="B24" s="132" t="s">
        <v>292</v>
      </c>
      <c r="C24" s="133" t="s">
        <v>276</v>
      </c>
      <c r="D24" s="134">
        <v>17</v>
      </c>
      <c r="E24" s="134">
        <v>2247877</v>
      </c>
      <c r="F24" s="134">
        <v>0</v>
      </c>
      <c r="G24" s="134">
        <v>0</v>
      </c>
      <c r="H24" s="114">
        <f t="shared" si="0"/>
        <v>0</v>
      </c>
      <c r="I24" s="134">
        <v>141357.16515917089</v>
      </c>
      <c r="J24" s="136"/>
      <c r="K24" s="136"/>
      <c r="L24" s="136"/>
      <c r="M24" s="136"/>
      <c r="N24" s="136"/>
      <c r="O24" s="136"/>
      <c r="P24" s="134"/>
    </row>
    <row r="25" spans="2:16" x14ac:dyDescent="0.2">
      <c r="B25" s="132" t="s">
        <v>293</v>
      </c>
      <c r="C25" s="133" t="s">
        <v>295</v>
      </c>
      <c r="D25" s="134">
        <v>337</v>
      </c>
      <c r="E25" s="134">
        <v>265619</v>
      </c>
      <c r="F25" s="134">
        <v>716.23040649278312</v>
      </c>
      <c r="G25" s="134">
        <v>50678.719999999943</v>
      </c>
      <c r="H25" s="114">
        <f t="shared" si="0"/>
        <v>136.65302642557157</v>
      </c>
      <c r="I25" s="134">
        <v>54798.803089450907</v>
      </c>
      <c r="J25" s="136"/>
      <c r="K25" s="136"/>
      <c r="L25" s="136"/>
      <c r="M25" s="136"/>
      <c r="N25" s="136"/>
      <c r="O25" s="136"/>
      <c r="P25" s="134"/>
    </row>
    <row r="26" spans="2:16" x14ac:dyDescent="0.2">
      <c r="B26" s="132" t="s">
        <v>294</v>
      </c>
      <c r="C26" s="133" t="s">
        <v>295</v>
      </c>
      <c r="D26" s="134">
        <v>5</v>
      </c>
      <c r="E26" s="134">
        <v>7344781</v>
      </c>
      <c r="F26" s="134">
        <v>20808.575811577328</v>
      </c>
      <c r="G26" s="134">
        <v>7266794.9699999988</v>
      </c>
      <c r="H26" s="114">
        <f t="shared" si="0"/>
        <v>20587.632774950507</v>
      </c>
      <c r="I26" s="134">
        <v>179805.43602658817</v>
      </c>
      <c r="J26" s="136"/>
      <c r="K26" s="136"/>
      <c r="L26" s="136"/>
      <c r="M26" s="136"/>
      <c r="N26" s="136"/>
      <c r="O26" s="136"/>
      <c r="P26" s="134"/>
    </row>
    <row r="27" spans="2:16" x14ac:dyDescent="0.2">
      <c r="B27" s="132"/>
      <c r="C27" s="133"/>
      <c r="D27" s="134"/>
      <c r="E27" s="134"/>
      <c r="F27" s="134"/>
      <c r="G27" s="134"/>
      <c r="H27" s="114">
        <f t="shared" si="0"/>
        <v>0</v>
      </c>
      <c r="I27" s="134"/>
      <c r="J27" s="136"/>
      <c r="K27" s="136"/>
      <c r="L27" s="136"/>
      <c r="M27" s="136"/>
      <c r="N27" s="136"/>
      <c r="O27" s="136"/>
      <c r="P27" s="134"/>
    </row>
    <row r="28" spans="2:16" x14ac:dyDescent="0.2">
      <c r="B28" s="132"/>
      <c r="C28" s="133"/>
      <c r="D28" s="134"/>
      <c r="E28" s="134"/>
      <c r="F28" s="134"/>
      <c r="G28" s="134"/>
      <c r="H28" s="114">
        <f t="shared" si="0"/>
        <v>0</v>
      </c>
      <c r="I28" s="134"/>
      <c r="J28" s="136"/>
      <c r="K28" s="136"/>
      <c r="L28" s="136"/>
      <c r="M28" s="136"/>
      <c r="N28" s="136"/>
      <c r="O28" s="136"/>
      <c r="P28" s="134"/>
    </row>
    <row r="29" spans="2:16" x14ac:dyDescent="0.2">
      <c r="B29" s="132"/>
      <c r="C29" s="133"/>
      <c r="D29" s="134"/>
      <c r="E29" s="134"/>
      <c r="F29" s="134"/>
      <c r="G29" s="134"/>
      <c r="H29" s="114">
        <f t="shared" si="0"/>
        <v>0</v>
      </c>
      <c r="I29" s="134"/>
      <c r="J29" s="136"/>
      <c r="K29" s="136"/>
      <c r="L29" s="136"/>
      <c r="M29" s="136"/>
      <c r="N29" s="136"/>
      <c r="O29" s="136"/>
      <c r="P29" s="134"/>
    </row>
    <row r="30" spans="2:16" x14ac:dyDescent="0.2">
      <c r="B30" s="132"/>
      <c r="C30" s="133"/>
      <c r="D30" s="134"/>
      <c r="E30" s="134"/>
      <c r="F30" s="134"/>
      <c r="G30" s="134"/>
      <c r="H30" s="114">
        <f t="shared" si="0"/>
        <v>0</v>
      </c>
      <c r="I30" s="134"/>
      <c r="J30" s="136"/>
      <c r="K30" s="136"/>
      <c r="L30" s="136"/>
      <c r="M30" s="136"/>
      <c r="N30" s="136"/>
      <c r="O30" s="136"/>
      <c r="P30" s="134"/>
    </row>
    <row r="31" spans="2:16" x14ac:dyDescent="0.2">
      <c r="B31" s="132"/>
      <c r="C31" s="133"/>
      <c r="D31" s="134"/>
      <c r="E31" s="134"/>
      <c r="F31" s="134"/>
      <c r="G31" s="134"/>
      <c r="H31" s="114">
        <f t="shared" si="0"/>
        <v>0</v>
      </c>
      <c r="I31" s="134"/>
      <c r="J31" s="136"/>
      <c r="K31" s="136"/>
      <c r="L31" s="136"/>
      <c r="M31" s="136"/>
      <c r="N31" s="136"/>
      <c r="O31" s="136"/>
      <c r="P31" s="134"/>
    </row>
    <row r="32" spans="2:16" x14ac:dyDescent="0.2">
      <c r="B32" s="132"/>
      <c r="C32" s="133"/>
      <c r="D32" s="134"/>
      <c r="E32" s="134"/>
      <c r="F32" s="134"/>
      <c r="G32" s="134"/>
      <c r="H32" s="114">
        <f t="shared" si="0"/>
        <v>0</v>
      </c>
      <c r="I32" s="134"/>
      <c r="J32" s="136"/>
      <c r="K32" s="136"/>
      <c r="L32" s="136"/>
      <c r="M32" s="136"/>
      <c r="N32" s="136"/>
      <c r="O32" s="136"/>
      <c r="P32" s="134"/>
    </row>
    <row r="33" spans="1:16" x14ac:dyDescent="0.2">
      <c r="B33" s="132"/>
      <c r="C33" s="133"/>
      <c r="D33" s="134"/>
      <c r="E33" s="134"/>
      <c r="F33" s="134"/>
      <c r="G33" s="134"/>
      <c r="H33" s="114">
        <f t="shared" si="0"/>
        <v>0</v>
      </c>
      <c r="I33" s="134"/>
      <c r="J33" s="136"/>
      <c r="K33" s="136"/>
      <c r="L33" s="136"/>
      <c r="M33" s="136"/>
      <c r="N33" s="136"/>
      <c r="O33" s="136"/>
      <c r="P33" s="134"/>
    </row>
    <row r="34" spans="1:16" x14ac:dyDescent="0.2">
      <c r="B34" s="132"/>
      <c r="C34" s="133"/>
      <c r="D34" s="134"/>
      <c r="E34" s="134"/>
      <c r="F34" s="134"/>
      <c r="G34" s="134"/>
      <c r="H34" s="114">
        <f t="shared" si="0"/>
        <v>0</v>
      </c>
      <c r="I34" s="134"/>
      <c r="J34" s="136"/>
      <c r="K34" s="136"/>
      <c r="L34" s="136"/>
      <c r="M34" s="136"/>
      <c r="N34" s="136"/>
      <c r="O34" s="136"/>
      <c r="P34" s="134"/>
    </row>
    <row r="35" spans="1:16" x14ac:dyDescent="0.2">
      <c r="B35" s="132"/>
      <c r="C35" s="133"/>
      <c r="D35" s="134"/>
      <c r="E35" s="134"/>
      <c r="F35" s="134"/>
      <c r="G35" s="134"/>
      <c r="H35" s="114">
        <f t="shared" si="0"/>
        <v>0</v>
      </c>
      <c r="I35" s="134"/>
      <c r="J35" s="136"/>
      <c r="K35" s="136"/>
      <c r="L35" s="136"/>
      <c r="M35" s="136"/>
      <c r="N35" s="136"/>
      <c r="O35" s="136"/>
      <c r="P35" s="134"/>
    </row>
    <row r="36" spans="1:16" x14ac:dyDescent="0.2">
      <c r="B36" s="132"/>
      <c r="C36" s="133"/>
      <c r="D36" s="134"/>
      <c r="E36" s="134"/>
      <c r="F36" s="134"/>
      <c r="G36" s="134"/>
      <c r="H36" s="114">
        <f t="shared" si="0"/>
        <v>0</v>
      </c>
      <c r="I36" s="134"/>
      <c r="J36" s="136"/>
      <c r="K36" s="136"/>
      <c r="L36" s="136"/>
      <c r="M36" s="136"/>
      <c r="N36" s="136"/>
      <c r="O36" s="136"/>
      <c r="P36" s="134"/>
    </row>
    <row r="37" spans="1:16" x14ac:dyDescent="0.2">
      <c r="B37" s="132"/>
      <c r="C37" s="133"/>
      <c r="D37" s="134"/>
      <c r="E37" s="134"/>
      <c r="F37" s="134"/>
      <c r="G37" s="134"/>
      <c r="H37" s="114">
        <f t="shared" si="0"/>
        <v>0</v>
      </c>
      <c r="I37" s="134"/>
      <c r="J37" s="136"/>
      <c r="K37" s="136"/>
      <c r="L37" s="136"/>
      <c r="M37" s="136"/>
      <c r="N37" s="136"/>
      <c r="O37" s="136"/>
      <c r="P37" s="134"/>
    </row>
    <row r="38" spans="1:16" x14ac:dyDescent="0.2">
      <c r="B38" s="132"/>
      <c r="C38" s="133"/>
      <c r="D38" s="134"/>
      <c r="E38" s="134"/>
      <c r="F38" s="134"/>
      <c r="G38" s="134"/>
      <c r="H38" s="114">
        <f t="shared" si="0"/>
        <v>0</v>
      </c>
      <c r="I38" s="134"/>
      <c r="J38" s="136"/>
      <c r="K38" s="136"/>
      <c r="L38" s="136"/>
      <c r="M38" s="136"/>
      <c r="N38" s="136"/>
      <c r="O38" s="136"/>
      <c r="P38" s="134"/>
    </row>
    <row r="39" spans="1:16" x14ac:dyDescent="0.2">
      <c r="B39" s="132"/>
      <c r="C39" s="133"/>
      <c r="D39" s="134"/>
      <c r="E39" s="134"/>
      <c r="F39" s="134"/>
      <c r="G39" s="134"/>
      <c r="H39" s="114">
        <f t="shared" si="0"/>
        <v>0</v>
      </c>
      <c r="I39" s="134"/>
      <c r="J39" s="136"/>
      <c r="K39" s="136"/>
      <c r="L39" s="136"/>
      <c r="M39" s="136"/>
      <c r="N39" s="136"/>
      <c r="O39" s="136"/>
      <c r="P39" s="134"/>
    </row>
    <row r="40" spans="1:16" x14ac:dyDescent="0.2">
      <c r="B40" s="132"/>
      <c r="C40" s="133"/>
      <c r="D40" s="134"/>
      <c r="E40" s="134"/>
      <c r="F40" s="134"/>
      <c r="G40" s="134"/>
      <c r="H40" s="114">
        <f t="shared" si="0"/>
        <v>0</v>
      </c>
      <c r="I40" s="134"/>
      <c r="J40" s="136"/>
      <c r="K40" s="136"/>
      <c r="L40" s="136"/>
      <c r="M40" s="136"/>
      <c r="N40" s="136"/>
      <c r="O40" s="136"/>
      <c r="P40" s="134"/>
    </row>
    <row r="41" spans="1:16" x14ac:dyDescent="0.2">
      <c r="B41" s="61" t="s">
        <v>103</v>
      </c>
      <c r="C41" s="60"/>
      <c r="D41" s="91">
        <f>SUM(D21:D40)</f>
        <v>51811</v>
      </c>
      <c r="E41" s="91">
        <f>SUM(E21:E40)</f>
        <v>1202305265</v>
      </c>
      <c r="F41" s="91">
        <f t="shared" ref="F41:P41" si="1">SUM(F21:F40)</f>
        <v>1743078.7754714421</v>
      </c>
      <c r="G41" s="91">
        <f t="shared" si="1"/>
        <v>677930642.6941669</v>
      </c>
      <c r="H41" s="91">
        <f t="shared" si="1"/>
        <v>1650642.2996445659</v>
      </c>
      <c r="I41" s="62">
        <f t="shared" si="1"/>
        <v>29818865.070409983</v>
      </c>
      <c r="J41" s="92">
        <f t="shared" si="1"/>
        <v>0</v>
      </c>
      <c r="K41" s="92">
        <f t="shared" si="1"/>
        <v>0</v>
      </c>
      <c r="L41" s="92">
        <f t="shared" si="1"/>
        <v>0</v>
      </c>
      <c r="M41" s="92">
        <f t="shared" si="1"/>
        <v>0</v>
      </c>
      <c r="N41" s="92">
        <f t="shared" si="1"/>
        <v>0</v>
      </c>
      <c r="O41" s="92">
        <f t="shared" ref="O41" si="2">SUM(O21:O40)</f>
        <v>0</v>
      </c>
      <c r="P41" s="62">
        <f t="shared" si="1"/>
        <v>0</v>
      </c>
    </row>
    <row r="42" spans="1:16" x14ac:dyDescent="0.2">
      <c r="B42" s="56"/>
      <c r="M42" s="63"/>
      <c r="O42" s="63" t="s">
        <v>106</v>
      </c>
      <c r="P42" s="64">
        <f>'2. 2014 Continuity Schedule'!BO71</f>
        <v>0</v>
      </c>
    </row>
    <row r="43" spans="1:16" x14ac:dyDescent="0.2">
      <c r="B43" s="56"/>
      <c r="M43" s="63"/>
      <c r="O43" s="63" t="s">
        <v>107</v>
      </c>
      <c r="P43" s="65">
        <f>P41-P42</f>
        <v>0</v>
      </c>
    </row>
    <row r="44" spans="1:16" x14ac:dyDescent="0.2">
      <c r="B44" s="56"/>
    </row>
    <row r="45" spans="1:16" x14ac:dyDescent="0.2">
      <c r="A45" s="265" t="s">
        <v>100</v>
      </c>
      <c r="B45" s="265"/>
      <c r="C45" s="265"/>
      <c r="D45" s="265"/>
      <c r="E45" s="265"/>
      <c r="F45" s="265"/>
      <c r="G45" s="265"/>
      <c r="H45" s="265"/>
    </row>
    <row r="46" spans="1:16" ht="25.5" customHeight="1" x14ac:dyDescent="0.2">
      <c r="A46" s="265"/>
      <c r="B46" s="265"/>
      <c r="C46" s="265"/>
      <c r="D46" s="265"/>
      <c r="E46" s="265"/>
      <c r="F46" s="265"/>
      <c r="G46" s="265"/>
      <c r="H46" s="265"/>
    </row>
    <row r="47" spans="1:16" ht="17.25" x14ac:dyDescent="0.2">
      <c r="A47" s="265" t="s">
        <v>101</v>
      </c>
      <c r="B47" s="265"/>
      <c r="C47" s="265"/>
      <c r="D47" s="265"/>
      <c r="E47" s="265"/>
      <c r="F47" s="265"/>
      <c r="G47" s="265"/>
      <c r="H47" s="265"/>
    </row>
  </sheetData>
  <sheetProtection password="F8BD" sheet="1" objects="1" scenarios="1"/>
  <mergeCells count="18">
    <mergeCell ref="A47:H47"/>
    <mergeCell ref="F19:F20"/>
    <mergeCell ref="E19:E20"/>
    <mergeCell ref="C19:C20"/>
    <mergeCell ref="B19:B20"/>
    <mergeCell ref="G19:G20"/>
    <mergeCell ref="H19:H20"/>
    <mergeCell ref="B16:I17"/>
    <mergeCell ref="D19:D20"/>
    <mergeCell ref="M19:M20"/>
    <mergeCell ref="P19:P20"/>
    <mergeCell ref="A45:H46"/>
    <mergeCell ref="I19:I20"/>
    <mergeCell ref="J19:J20"/>
    <mergeCell ref="K19:K20"/>
    <mergeCell ref="L19:L20"/>
    <mergeCell ref="N19:N20"/>
    <mergeCell ref="O19:O20"/>
  </mergeCells>
  <dataValidations count="1">
    <dataValidation type="list" allowBlank="1" showInputMessage="1" showErrorMessage="1" sqref="C21:C40">
      <formula1>"kW, kWh"</formula1>
    </dataValidation>
  </dataValidations>
  <pageMargins left="0.27" right="0.38" top="0.75" bottom="0.45" header="0.3" footer="0.3"/>
  <pageSetup scale="84" fitToWidth="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5"/>
  <sheetViews>
    <sheetView showGridLines="0" topLeftCell="A16" zoomScale="80" zoomScaleNormal="80" workbookViewId="0">
      <selection activeCell="D54" sqref="D54"/>
    </sheetView>
  </sheetViews>
  <sheetFormatPr defaultColWidth="9.140625" defaultRowHeight="12.75" x14ac:dyDescent="0.2"/>
  <cols>
    <col min="1" max="1" width="1.140625" style="56" customWidth="1"/>
    <col min="2" max="2" width="64" style="56" customWidth="1"/>
    <col min="3" max="3" width="9.140625" style="56"/>
    <col min="4" max="4" width="14.5703125" style="56" customWidth="1"/>
    <col min="5" max="5" width="14.7109375" style="56" customWidth="1"/>
    <col min="6" max="25" width="24.140625" style="56" customWidth="1"/>
    <col min="26" max="16384" width="9.140625" style="56"/>
  </cols>
  <sheetData>
    <row r="1" spans="2:25" ht="143.44999999999999" customHeight="1" x14ac:dyDescent="0.2"/>
    <row r="4" spans="2:25" ht="39" customHeight="1" x14ac:dyDescent="0.2">
      <c r="D4" s="67" t="s">
        <v>120</v>
      </c>
      <c r="E4" s="66" t="s">
        <v>113</v>
      </c>
      <c r="F4" s="67" t="str">
        <f>IF(LEN(TRIM('4. Billing Determinants'!$B21))=0, "", '4. Billing Determinants'!$B21)</f>
        <v>Residential</v>
      </c>
      <c r="G4" s="67" t="str">
        <f>IF(LEN(TRIM('4. Billing Determinants'!$B22))=0, "", '4. Billing Determinants'!$B22)</f>
        <v>General Service &lt; 50 kW</v>
      </c>
      <c r="H4" s="67" t="str">
        <f>IF(LEN(TRIM('4. Billing Determinants'!$B23))=0, "", '4. Billing Determinants'!$B23)</f>
        <v>General Service &gt; 50</v>
      </c>
      <c r="I4" s="67" t="str">
        <f>IF(LEN(TRIM('4. Billing Determinants'!$B24))=0, "", '4. Billing Determinants'!$B24)</f>
        <v>Unmetered Scattered Load</v>
      </c>
      <c r="J4" s="67" t="str">
        <f>IF(LEN(TRIM('4. Billing Determinants'!$B25))=0, "", '4. Billing Determinants'!$B25)</f>
        <v>Sentinel Lighting</v>
      </c>
      <c r="K4" s="67" t="str">
        <f>IF(LEN(TRIM('4. Billing Determinants'!$B26))=0, "", '4. Billing Determinants'!$B26)</f>
        <v>Street Lighting</v>
      </c>
      <c r="L4" s="67" t="str">
        <f>IF(LEN(TRIM('4. Billing Determinants'!$B27))=0, "", '4. Billing Determinants'!$B27)</f>
        <v/>
      </c>
      <c r="M4" s="67" t="str">
        <f>IF(LEN(TRIM('4. Billing Determinants'!$B28))=0, "", '4. Billing Determinants'!$B28)</f>
        <v/>
      </c>
      <c r="N4" s="67" t="str">
        <f>IF(LEN(TRIM('4. Billing Determinants'!$B29))=0, "", '4. Billing Determinants'!$B29)</f>
        <v/>
      </c>
      <c r="O4" s="67" t="str">
        <f>IF(LEN(TRIM('4. Billing Determinants'!$B30))=0, "", '4. Billing Determinants'!$B30)</f>
        <v/>
      </c>
      <c r="P4" s="67" t="str">
        <f>IF(LEN(TRIM('4. Billing Determinants'!$B31))=0, "", '4. Billing Determinants'!$B31)</f>
        <v/>
      </c>
      <c r="Q4" s="67" t="str">
        <f>IF(LEN(TRIM('4. Billing Determinants'!$B32))=0, "", '4. Billing Determinants'!$B32)</f>
        <v/>
      </c>
      <c r="R4" s="67" t="str">
        <f>IF(LEN(TRIM('4. Billing Determinants'!$B33))=0, "", '4. Billing Determinants'!$B33)</f>
        <v/>
      </c>
      <c r="S4" s="67" t="str">
        <f>IF(LEN(TRIM('4. Billing Determinants'!$B34))=0, "", '4. Billing Determinants'!$B34)</f>
        <v/>
      </c>
      <c r="T4" s="67" t="str">
        <f>IF(LEN(TRIM('4. Billing Determinants'!$B35))=0, "", '4. Billing Determinants'!$B35)</f>
        <v/>
      </c>
      <c r="U4" s="67" t="str">
        <f>IF(LEN(TRIM('4. Billing Determinants'!$B36))=0, "", '4. Billing Determinants'!$B36)</f>
        <v/>
      </c>
      <c r="V4" s="67" t="str">
        <f>IF(LEN(TRIM('4. Billing Determinants'!$B37))=0, "", '4. Billing Determinants'!$B37)</f>
        <v/>
      </c>
      <c r="W4" s="67" t="str">
        <f>IF(LEN(TRIM('4. Billing Determinants'!$B38))=0, "", '4. Billing Determinants'!$B38)</f>
        <v/>
      </c>
      <c r="X4" s="67" t="str">
        <f>IF(LEN(TRIM('4. Billing Determinants'!$B39))=0, "", '4. Billing Determinants'!$B39)</f>
        <v/>
      </c>
      <c r="Y4" s="67" t="str">
        <f>IF(LEN(TRIM('4. Billing Determinants'!$B40))=0, "", '4. Billing Determinants'!$B40)</f>
        <v/>
      </c>
    </row>
    <row r="5" spans="2:25" x14ac:dyDescent="0.2">
      <c r="B5" s="68" t="s">
        <v>39</v>
      </c>
      <c r="C5" s="69">
        <v>1550</v>
      </c>
      <c r="D5" s="70">
        <f>'2. 2014 Continuity Schedule'!BO24</f>
        <v>74555.214207999976</v>
      </c>
      <c r="E5" s="130" t="s">
        <v>276</v>
      </c>
      <c r="F5" s="70">
        <f>IFERROR(IF(F$4="",0,IF($E5="kWh",VLOOKUP(F$4,'4. Billing Determinants'!$B$19:$P$41,4,0)/'4. Billing Determinants'!$E$41*$D5,IF($E5="kW",VLOOKUP(F$4,'4. Billing Determinants'!$B$19:$P$41,5,0)/'4. Billing Determinants'!$F$41*$D5,IF($E5="Non-RPP kWh",VLOOKUP(F$4,'4. Billing Determinants'!$B$19:$P$41,6,0)/'4. Billing Determinants'!$G$41*$D5,IF($E5="Distribution Rev.",VLOOKUP(F$4,'4. Billing Determinants'!$B$19:$P$41,8,0)/'4. Billing Determinants'!$I$41*$D5, VLOOKUP(F$4,'4. Billing Determinants'!$B$19:$P$41,3,0)/'4. Billing Determinants'!$D$41*$D5))))),0)</f>
        <v>25566.70699922413</v>
      </c>
      <c r="G5" s="70">
        <f>IFERROR(IF(G$4="",0,IF($E5="kWh",VLOOKUP(G$4,'4. Billing Determinants'!$B$19:$P$41,4,0)/'4. Billing Determinants'!$E$41*$D5,IF($E5="kW",VLOOKUP(G$4,'4. Billing Determinants'!$B$19:$P$41,5,0)/'4. Billing Determinants'!$F$41*$D5,IF($E5="Non-RPP kWh",VLOOKUP(G$4,'4. Billing Determinants'!$B$19:$P$41,6,0)/'4. Billing Determinants'!$G$41*$D5,IF($E5="Distribution Rev.",VLOOKUP(G$4,'4. Billing Determinants'!$B$19:$P$41,8,0)/'4. Billing Determinants'!$I$41*$D5, VLOOKUP(G$4,'4. Billing Determinants'!$B$19:$P$41,3,0)/'4. Billing Determinants'!$D$41*$D5))))),0)</f>
        <v>7700.4232511649925</v>
      </c>
      <c r="H5" s="70">
        <f>IFERROR(IF(H$4="",0,IF($E5="kWh",VLOOKUP(H$4,'4. Billing Determinants'!$B$19:$P$41,4,0)/'4. Billing Determinants'!$E$41*$D5,IF($E5="kW",VLOOKUP(H$4,'4. Billing Determinants'!$B$19:$P$41,5,0)/'4. Billing Determinants'!$F$41*$D5,IF($E5="Non-RPP kWh",VLOOKUP(H$4,'4. Billing Determinants'!$B$19:$P$41,6,0)/'4. Billing Determinants'!$G$41*$D5,IF($E5="Distribution Rev.",VLOOKUP(H$4,'4. Billing Determinants'!$B$19:$P$41,8,0)/'4. Billing Determinants'!$I$41*$D5, VLOOKUP(H$4,'4. Billing Determinants'!$B$19:$P$41,3,0)/'4. Billing Determinants'!$D$41*$D5))))),0)</f>
        <v>40676.770030230851</v>
      </c>
      <c r="I5" s="70">
        <f>IFERROR(IF(I$4="",0,IF($E5="kWh",VLOOKUP(I$4,'4. Billing Determinants'!$B$19:$P$41,4,0)/'4. Billing Determinants'!$E$41*$D5,IF($E5="kW",VLOOKUP(I$4,'4. Billing Determinants'!$B$19:$P$41,5,0)/'4. Billing Determinants'!$F$41*$D5,IF($E5="Non-RPP kWh",VLOOKUP(I$4,'4. Billing Determinants'!$B$19:$P$41,6,0)/'4. Billing Determinants'!$G$41*$D5,IF($E5="Distribution Rev.",VLOOKUP(I$4,'4. Billing Determinants'!$B$19:$P$41,8,0)/'4. Billing Determinants'!$I$41*$D5, VLOOKUP(I$4,'4. Billing Determinants'!$B$19:$P$41,3,0)/'4. Billing Determinants'!$D$41*$D5))))),0)</f>
        <v>139.3913477108797</v>
      </c>
      <c r="J5" s="70">
        <f>IFERROR(IF(J$4="",0,IF($E5="kWh",VLOOKUP(J$4,'4. Billing Determinants'!$B$19:$P$41,4,0)/'4. Billing Determinants'!$E$41*$D5,IF($E5="kW",VLOOKUP(J$4,'4. Billing Determinants'!$B$19:$P$41,5,0)/'4. Billing Determinants'!$F$41*$D5,IF($E5="Non-RPP kWh",VLOOKUP(J$4,'4. Billing Determinants'!$B$19:$P$41,6,0)/'4. Billing Determinants'!$G$41*$D5,IF($E5="Distribution Rev.",VLOOKUP(J$4,'4. Billing Determinants'!$B$19:$P$41,8,0)/'4. Billing Determinants'!$I$41*$D5, VLOOKUP(J$4,'4. Billing Determinants'!$B$19:$P$41,3,0)/'4. Billing Determinants'!$D$41*$D5))))),0)</f>
        <v>16.471092674383943</v>
      </c>
      <c r="K5" s="70">
        <f>IFERROR(IF(K$4="",0,IF($E5="kWh",VLOOKUP(K$4,'4. Billing Determinants'!$B$19:$P$41,4,0)/'4. Billing Determinants'!$E$41*$D5,IF($E5="kW",VLOOKUP(K$4,'4. Billing Determinants'!$B$19:$P$41,5,0)/'4. Billing Determinants'!$F$41*$D5,IF($E5="Non-RPP kWh",VLOOKUP(K$4,'4. Billing Determinants'!$B$19:$P$41,6,0)/'4. Billing Determinants'!$G$41*$D5,IF($E5="Distribution Rev.",VLOOKUP(K$4,'4. Billing Determinants'!$B$19:$P$41,8,0)/'4. Billing Determinants'!$I$41*$D5, VLOOKUP(K$4,'4. Billing Determinants'!$B$19:$P$41,3,0)/'4. Billing Determinants'!$D$41*$D5))))),0)</f>
        <v>455.45148699473447</v>
      </c>
      <c r="L5" s="70">
        <f>IFERROR(IF(L$4="",0,IF($E5="kWh",VLOOKUP(L$4,'4. Billing Determinants'!$B$19:$P$41,4,0)/'4. Billing Determinants'!$E$41*$D5,IF($E5="kW",VLOOKUP(L$4,'4. Billing Determinants'!$B$19:$P$41,5,0)/'4. Billing Determinants'!$F$41*$D5,IF($E5="Non-RPP kWh",VLOOKUP(L$4,'4. Billing Determinants'!$B$19:$P$41,6,0)/'4. Billing Determinants'!$G$41*$D5,IF($E5="Distribution Rev.",VLOOKUP(L$4,'4. Billing Determinants'!$B$19:$P$41,8,0)/'4. Billing Determinants'!$I$41*$D5, VLOOKUP(L$4,'4. Billing Determinants'!$B$19:$P$41,3,0)/'4. Billing Determinants'!$D$41*$D5))))),0)</f>
        <v>0</v>
      </c>
      <c r="M5" s="70">
        <f>IFERROR(IF(M$4="",0,IF($E5="kWh",VLOOKUP(M$4,'4. Billing Determinants'!$B$19:$P$41,4,0)/'4. Billing Determinants'!$E$41*$D5,IF($E5="kW",VLOOKUP(M$4,'4. Billing Determinants'!$B$19:$P$41,5,0)/'4. Billing Determinants'!$F$41*$D5,IF($E5="Non-RPP kWh",VLOOKUP(M$4,'4. Billing Determinants'!$B$19:$P$41,6,0)/'4. Billing Determinants'!$G$41*$D5,IF($E5="Distribution Rev.",VLOOKUP(M$4,'4. Billing Determinants'!$B$19:$P$41,8,0)/'4. Billing Determinants'!$I$41*$D5, VLOOKUP(M$4,'4. Billing Determinants'!$B$19:$P$41,3,0)/'4. Billing Determinants'!$D$41*$D5))))),0)</f>
        <v>0</v>
      </c>
      <c r="N5" s="70">
        <f>IFERROR(IF(N$4="",0,IF($E5="kWh",VLOOKUP(N$4,'4. Billing Determinants'!$B$19:$P$41,4,0)/'4. Billing Determinants'!$E$41*$D5,IF($E5="kW",VLOOKUP(N$4,'4. Billing Determinants'!$B$19:$P$41,5,0)/'4. Billing Determinants'!$F$41*$D5,IF($E5="Non-RPP kWh",VLOOKUP(N$4,'4. Billing Determinants'!$B$19:$P$41,6,0)/'4. Billing Determinants'!$G$41*$D5,IF($E5="Distribution Rev.",VLOOKUP(N$4,'4. Billing Determinants'!$B$19:$P$41,8,0)/'4. Billing Determinants'!$I$41*$D5, VLOOKUP(N$4,'4. Billing Determinants'!$B$19:$P$41,3,0)/'4. Billing Determinants'!$D$41*$D5))))),0)</f>
        <v>0</v>
      </c>
      <c r="O5" s="70">
        <f>IFERROR(IF(O$4="",0,IF($E5="kWh",VLOOKUP(O$4,'4. Billing Determinants'!$B$19:$P$41,4,0)/'4. Billing Determinants'!$E$41*$D5,IF($E5="kW",VLOOKUP(O$4,'4. Billing Determinants'!$B$19:$P$41,5,0)/'4. Billing Determinants'!$F$41*$D5,IF($E5="Non-RPP kWh",VLOOKUP(O$4,'4. Billing Determinants'!$B$19:$P$41,6,0)/'4. Billing Determinants'!$G$41*$D5,IF($E5="Distribution Rev.",VLOOKUP(O$4,'4. Billing Determinants'!$B$19:$P$41,8,0)/'4. Billing Determinants'!$I$41*$D5, VLOOKUP(O$4,'4. Billing Determinants'!$B$19:$P$41,3,0)/'4. Billing Determinants'!$D$41*$D5))))),0)</f>
        <v>0</v>
      </c>
      <c r="P5" s="70">
        <f>IFERROR(IF(P$4="",0,IF($E5="kWh",VLOOKUP(P$4,'4. Billing Determinants'!$B$19:$P$41,4,0)/'4. Billing Determinants'!$E$41*$D5,IF($E5="kW",VLOOKUP(P$4,'4. Billing Determinants'!$B$19:$P$41,5,0)/'4. Billing Determinants'!$F$41*$D5,IF($E5="Non-RPP kWh",VLOOKUP(P$4,'4. Billing Determinants'!$B$19:$P$41,6,0)/'4. Billing Determinants'!$G$41*$D5,IF($E5="Distribution Rev.",VLOOKUP(P$4,'4. Billing Determinants'!$B$19:$P$41,8,0)/'4. Billing Determinants'!$I$41*$D5, VLOOKUP(P$4,'4. Billing Determinants'!$B$19:$P$41,3,0)/'4. Billing Determinants'!$D$41*$D5))))),0)</f>
        <v>0</v>
      </c>
      <c r="Q5" s="70">
        <f>IFERROR(IF(Q$4="",0,IF($E5="kWh",VLOOKUP(Q$4,'4. Billing Determinants'!$B$19:$P$41,4,0)/'4. Billing Determinants'!$E$41*$D5,IF($E5="kW",VLOOKUP(Q$4,'4. Billing Determinants'!$B$19:$P$41,5,0)/'4. Billing Determinants'!$F$41*$D5,IF($E5="Non-RPP kWh",VLOOKUP(Q$4,'4. Billing Determinants'!$B$19:$P$41,6,0)/'4. Billing Determinants'!$G$41*$D5,IF($E5="Distribution Rev.",VLOOKUP(Q$4,'4. Billing Determinants'!$B$19:$P$41,8,0)/'4. Billing Determinants'!$I$41*$D5, VLOOKUP(Q$4,'4. Billing Determinants'!$B$19:$P$41,3,0)/'4. Billing Determinants'!$D$41*$D5))))),0)</f>
        <v>0</v>
      </c>
      <c r="R5" s="70">
        <f>IFERROR(IF(R$4="",0,IF($E5="kWh",VLOOKUP(R$4,'4. Billing Determinants'!$B$19:$P$41,4,0)/'4. Billing Determinants'!$E$41*$D5,IF($E5="kW",VLOOKUP(R$4,'4. Billing Determinants'!$B$19:$P$41,5,0)/'4. Billing Determinants'!$F$41*$D5,IF($E5="Non-RPP kWh",VLOOKUP(R$4,'4. Billing Determinants'!$B$19:$P$41,6,0)/'4. Billing Determinants'!$G$41*$D5,IF($E5="Distribution Rev.",VLOOKUP(R$4,'4. Billing Determinants'!$B$19:$P$41,8,0)/'4. Billing Determinants'!$I$41*$D5, VLOOKUP(R$4,'4. Billing Determinants'!$B$19:$P$41,3,0)/'4. Billing Determinants'!$D$41*$D5))))),0)</f>
        <v>0</v>
      </c>
      <c r="S5" s="70">
        <f>IFERROR(IF(S$4="",0,IF($E5="kWh",VLOOKUP(S$4,'4. Billing Determinants'!$B$19:$P$41,4,0)/'4. Billing Determinants'!$E$41*$D5,IF($E5="kW",VLOOKUP(S$4,'4. Billing Determinants'!$B$19:$P$41,5,0)/'4. Billing Determinants'!$F$41*$D5,IF($E5="Non-RPP kWh",VLOOKUP(S$4,'4. Billing Determinants'!$B$19:$P$41,6,0)/'4. Billing Determinants'!$G$41*$D5,IF($E5="Distribution Rev.",VLOOKUP(S$4,'4. Billing Determinants'!$B$19:$P$41,8,0)/'4. Billing Determinants'!$I$41*$D5, VLOOKUP(S$4,'4. Billing Determinants'!$B$19:$P$41,3,0)/'4. Billing Determinants'!$D$41*$D5))))),0)</f>
        <v>0</v>
      </c>
      <c r="T5" s="70">
        <f>IFERROR(IF(T$4="",0,IF($E5="kWh",VLOOKUP(T$4,'4. Billing Determinants'!$B$19:$P$41,4,0)/'4. Billing Determinants'!$E$41*$D5,IF($E5="kW",VLOOKUP(T$4,'4. Billing Determinants'!$B$19:$P$41,5,0)/'4. Billing Determinants'!$F$41*$D5,IF($E5="Non-RPP kWh",VLOOKUP(T$4,'4. Billing Determinants'!$B$19:$P$41,6,0)/'4. Billing Determinants'!$G$41*$D5,IF($E5="Distribution Rev.",VLOOKUP(T$4,'4. Billing Determinants'!$B$19:$P$41,8,0)/'4. Billing Determinants'!$I$41*$D5, VLOOKUP(T$4,'4. Billing Determinants'!$B$19:$P$41,3,0)/'4. Billing Determinants'!$D$41*$D5))))),0)</f>
        <v>0</v>
      </c>
      <c r="U5" s="70">
        <f>IFERROR(IF(U$4="",0,IF($E5="kWh",VLOOKUP(U$4,'4. Billing Determinants'!$B$19:$P$41,4,0)/'4. Billing Determinants'!$E$41*$D5,IF($E5="kW",VLOOKUP(U$4,'4. Billing Determinants'!$B$19:$P$41,5,0)/'4. Billing Determinants'!$F$41*$D5,IF($E5="Non-RPP kWh",VLOOKUP(U$4,'4. Billing Determinants'!$B$19:$P$41,6,0)/'4. Billing Determinants'!$G$41*$D5,IF($E5="Distribution Rev.",VLOOKUP(U$4,'4. Billing Determinants'!$B$19:$P$41,8,0)/'4. Billing Determinants'!$I$41*$D5, VLOOKUP(U$4,'4. Billing Determinants'!$B$19:$P$41,3,0)/'4. Billing Determinants'!$D$41*$D5))))),0)</f>
        <v>0</v>
      </c>
      <c r="V5" s="70">
        <f>IFERROR(IF(V$4="",0,IF($E5="kWh",VLOOKUP(V$4,'4. Billing Determinants'!$B$19:$P$41,4,0)/'4. Billing Determinants'!$E$41*$D5,IF($E5="kW",VLOOKUP(V$4,'4. Billing Determinants'!$B$19:$P$41,5,0)/'4. Billing Determinants'!$F$41*$D5,IF($E5="Non-RPP kWh",VLOOKUP(V$4,'4. Billing Determinants'!$B$19:$P$41,6,0)/'4. Billing Determinants'!$G$41*$D5,IF($E5="Distribution Rev.",VLOOKUP(V$4,'4. Billing Determinants'!$B$19:$P$41,8,0)/'4. Billing Determinants'!$I$41*$D5, VLOOKUP(V$4,'4. Billing Determinants'!$B$19:$P$41,3,0)/'4. Billing Determinants'!$D$41*$D5))))),0)</f>
        <v>0</v>
      </c>
      <c r="W5" s="70">
        <f>IFERROR(IF(W$4="",0,IF($E5="kWh",VLOOKUP(W$4,'4. Billing Determinants'!$B$19:$P$41,4,0)/'4. Billing Determinants'!$E$41*$D5,IF($E5="kW",VLOOKUP(W$4,'4. Billing Determinants'!$B$19:$P$41,5,0)/'4. Billing Determinants'!$F$41*$D5,IF($E5="Non-RPP kWh",VLOOKUP(W$4,'4. Billing Determinants'!$B$19:$P$41,6,0)/'4. Billing Determinants'!$G$41*$D5,IF($E5="Distribution Rev.",VLOOKUP(W$4,'4. Billing Determinants'!$B$19:$P$41,8,0)/'4. Billing Determinants'!$I$41*$D5, VLOOKUP(W$4,'4. Billing Determinants'!$B$19:$P$41,3,0)/'4. Billing Determinants'!$D$41*$D5))))),0)</f>
        <v>0</v>
      </c>
      <c r="X5" s="70">
        <f>IFERROR(IF(X$4="",0,IF($E5="kWh",VLOOKUP(X$4,'4. Billing Determinants'!$B$19:$P$41,4,0)/'4. Billing Determinants'!$E$41*$D5,IF($E5="kW",VLOOKUP(X$4,'4. Billing Determinants'!$B$19:$P$41,5,0)/'4. Billing Determinants'!$F$41*$D5,IF($E5="Non-RPP kWh",VLOOKUP(X$4,'4. Billing Determinants'!$B$19:$P$41,6,0)/'4. Billing Determinants'!$G$41*$D5,IF($E5="Distribution Rev.",VLOOKUP(X$4,'4. Billing Determinants'!$B$19:$P$41,8,0)/'4. Billing Determinants'!$I$41*$D5, VLOOKUP(X$4,'4. Billing Determinants'!$B$19:$P$41,3,0)/'4. Billing Determinants'!$D$41*$D5))))),0)</f>
        <v>0</v>
      </c>
      <c r="Y5" s="70">
        <f>IFERROR(IF(Y$4="",0,IF($E5="kWh",VLOOKUP(Y$4,'4. Billing Determinants'!$B$19:$P$41,4,0)/'4. Billing Determinants'!$E$41*$D5,IF($E5="kW",VLOOKUP(Y$4,'4. Billing Determinants'!$B$19:$P$41,5,0)/'4. Billing Determinants'!$F$41*$D5,IF($E5="Non-RPP kWh",VLOOKUP(Y$4,'4. Billing Determinants'!$B$19:$P$41,6,0)/'4. Billing Determinants'!$G$41*$D5,IF($E5="Distribution Rev.",VLOOKUP(Y$4,'4. Billing Determinants'!$B$19:$P$41,8,0)/'4. Billing Determinants'!$I$41*$D5, VLOOKUP(Y$4,'4. Billing Determinants'!$B$19:$P$41,3,0)/'4. Billing Determinants'!$D$41*$D5))))),0)</f>
        <v>0</v>
      </c>
    </row>
    <row r="6" spans="2:25" x14ac:dyDescent="0.2">
      <c r="B6" s="71" t="s">
        <v>244</v>
      </c>
      <c r="C6" s="69">
        <v>1551</v>
      </c>
      <c r="D6" s="70">
        <f>'2. 2014 Continuity Schedule'!BO25</f>
        <v>37670.594336000002</v>
      </c>
      <c r="E6" s="130" t="s">
        <v>276</v>
      </c>
      <c r="F6" s="70">
        <f>IFERROR(IF(F$4="",0,IF($E6="kWh",VLOOKUP(F$4,'4. Billing Determinants'!$B$19:$P$41,4,0)/'4. Billing Determinants'!$E$41*$D6,IF($E6="kW",VLOOKUP(F$4,'4. Billing Determinants'!$B$19:$P$41,5,0)/'4. Billing Determinants'!$F$41*$D6,IF($E6="Non-RPP kWh",VLOOKUP(F$4,'4. Billing Determinants'!$B$19:$P$41,6,0)/'4. Billing Determinants'!$G$41*$D6,IF($E6="Distribution Rev.",VLOOKUP(F$4,'4. Billing Determinants'!$B$19:$P$41,8,0)/'4. Billing Determinants'!$I$41*$D6, VLOOKUP(F$4,'4. Billing Determinants'!$B$19:$P$41,3,0)/'4. Billing Determinants'!$D$41*$D6))))),0)</f>
        <v>12918.117909073078</v>
      </c>
      <c r="G6" s="70">
        <f>IFERROR(IF(G$4="",0,IF($E6="kWh",VLOOKUP(G$4,'4. Billing Determinants'!$B$19:$P$41,4,0)/'4. Billing Determinants'!$E$41*$D6,IF($E6="kW",VLOOKUP(G$4,'4. Billing Determinants'!$B$19:$P$41,5,0)/'4. Billing Determinants'!$F$41*$D6,IF($E6="Non-RPP kWh",VLOOKUP(G$4,'4. Billing Determinants'!$B$19:$P$41,6,0)/'4. Billing Determinants'!$G$41*$D6,IF($E6="Distribution Rev.",VLOOKUP(G$4,'4. Billing Determinants'!$B$19:$P$41,8,0)/'4. Billing Determinants'!$I$41*$D6, VLOOKUP(G$4,'4. Billing Determinants'!$B$19:$P$41,3,0)/'4. Billing Determinants'!$D$41*$D6))))),0)</f>
        <v>3890.8012483319021</v>
      </c>
      <c r="H6" s="70">
        <f>IFERROR(IF(H$4="",0,IF($E6="kWh",VLOOKUP(H$4,'4. Billing Determinants'!$B$19:$P$41,4,0)/'4. Billing Determinants'!$E$41*$D6,IF($E6="kW",VLOOKUP(H$4,'4. Billing Determinants'!$B$19:$P$41,5,0)/'4. Billing Determinants'!$F$41*$D6,IF($E6="Non-RPP kWh",VLOOKUP(H$4,'4. Billing Determinants'!$B$19:$P$41,6,0)/'4. Billing Determinants'!$G$41*$D6,IF($E6="Distribution Rev.",VLOOKUP(H$4,'4. Billing Determinants'!$B$19:$P$41,8,0)/'4. Billing Determinants'!$I$41*$D6, VLOOKUP(H$4,'4. Billing Determinants'!$B$19:$P$41,3,0)/'4. Billing Determinants'!$D$41*$D6))))),0)</f>
        <v>20552.795924274429</v>
      </c>
      <c r="I6" s="70">
        <f>IFERROR(IF(I$4="",0,IF($E6="kWh",VLOOKUP(I$4,'4. Billing Determinants'!$B$19:$P$41,4,0)/'4. Billing Determinants'!$E$41*$D6,IF($E6="kW",VLOOKUP(I$4,'4. Billing Determinants'!$B$19:$P$41,5,0)/'4. Billing Determinants'!$F$41*$D6,IF($E6="Non-RPP kWh",VLOOKUP(I$4,'4. Billing Determinants'!$B$19:$P$41,6,0)/'4. Billing Determinants'!$G$41*$D6,IF($E6="Distribution Rev.",VLOOKUP(I$4,'4. Billing Determinants'!$B$19:$P$41,8,0)/'4. Billing Determinants'!$I$41*$D6, VLOOKUP(I$4,'4. Billing Determinants'!$B$19:$P$41,3,0)/'4. Billing Determinants'!$D$41*$D6))))),0)</f>
        <v>70.430418171898026</v>
      </c>
      <c r="J6" s="70">
        <f>IFERROR(IF(J$4="",0,IF($E6="kWh",VLOOKUP(J$4,'4. Billing Determinants'!$B$19:$P$41,4,0)/'4. Billing Determinants'!$E$41*$D6,IF($E6="kW",VLOOKUP(J$4,'4. Billing Determinants'!$B$19:$P$41,5,0)/'4. Billing Determinants'!$F$41*$D6,IF($E6="Non-RPP kWh",VLOOKUP(J$4,'4. Billing Determinants'!$B$19:$P$41,6,0)/'4. Billing Determinants'!$G$41*$D6,IF($E6="Distribution Rev.",VLOOKUP(J$4,'4. Billing Determinants'!$B$19:$P$41,8,0)/'4. Billing Determinants'!$I$41*$D6, VLOOKUP(J$4,'4. Billing Determinants'!$B$19:$P$41,3,0)/'4. Billing Determinants'!$D$41*$D6))))),0)</f>
        <v>8.3223669464127195</v>
      </c>
      <c r="K6" s="70">
        <f>IFERROR(IF(K$4="",0,IF($E6="kWh",VLOOKUP(K$4,'4. Billing Determinants'!$B$19:$P$41,4,0)/'4. Billing Determinants'!$E$41*$D6,IF($E6="kW",VLOOKUP(K$4,'4. Billing Determinants'!$B$19:$P$41,5,0)/'4. Billing Determinants'!$F$41*$D6,IF($E6="Non-RPP kWh",VLOOKUP(K$4,'4. Billing Determinants'!$B$19:$P$41,6,0)/'4. Billing Determinants'!$G$41*$D6,IF($E6="Distribution Rev.",VLOOKUP(K$4,'4. Billing Determinants'!$B$19:$P$41,8,0)/'4. Billing Determinants'!$I$41*$D6, VLOOKUP(K$4,'4. Billing Determinants'!$B$19:$P$41,3,0)/'4. Billing Determinants'!$D$41*$D6))))),0)</f>
        <v>230.12646920227903</v>
      </c>
      <c r="L6" s="70">
        <f>IFERROR(IF(L$4="",0,IF($E6="kWh",VLOOKUP(L$4,'4. Billing Determinants'!$B$19:$P$41,4,0)/'4. Billing Determinants'!$E$41*$D6,IF($E6="kW",VLOOKUP(L$4,'4. Billing Determinants'!$B$19:$P$41,5,0)/'4. Billing Determinants'!$F$41*$D6,IF($E6="Non-RPP kWh",VLOOKUP(L$4,'4. Billing Determinants'!$B$19:$P$41,6,0)/'4. Billing Determinants'!$G$41*$D6,IF($E6="Distribution Rev.",VLOOKUP(L$4,'4. Billing Determinants'!$B$19:$P$41,8,0)/'4. Billing Determinants'!$I$41*$D6, VLOOKUP(L$4,'4. Billing Determinants'!$B$19:$P$41,3,0)/'4. Billing Determinants'!$D$41*$D6))))),0)</f>
        <v>0</v>
      </c>
      <c r="M6" s="70">
        <f>IFERROR(IF(M$4="",0,IF($E6="kWh",VLOOKUP(M$4,'4. Billing Determinants'!$B$19:$P$41,4,0)/'4. Billing Determinants'!$E$41*$D6,IF($E6="kW",VLOOKUP(M$4,'4. Billing Determinants'!$B$19:$P$41,5,0)/'4. Billing Determinants'!$F$41*$D6,IF($E6="Non-RPP kWh",VLOOKUP(M$4,'4. Billing Determinants'!$B$19:$P$41,6,0)/'4. Billing Determinants'!$G$41*$D6,IF($E6="Distribution Rev.",VLOOKUP(M$4,'4. Billing Determinants'!$B$19:$P$41,8,0)/'4. Billing Determinants'!$I$41*$D6, VLOOKUP(M$4,'4. Billing Determinants'!$B$19:$P$41,3,0)/'4. Billing Determinants'!$D$41*$D6))))),0)</f>
        <v>0</v>
      </c>
      <c r="N6" s="70">
        <f>IFERROR(IF(N$4="",0,IF($E6="kWh",VLOOKUP(N$4,'4. Billing Determinants'!$B$19:$P$41,4,0)/'4. Billing Determinants'!$E$41*$D6,IF($E6="kW",VLOOKUP(N$4,'4. Billing Determinants'!$B$19:$P$41,5,0)/'4. Billing Determinants'!$F$41*$D6,IF($E6="Non-RPP kWh",VLOOKUP(N$4,'4. Billing Determinants'!$B$19:$P$41,6,0)/'4. Billing Determinants'!$G$41*$D6,IF($E6="Distribution Rev.",VLOOKUP(N$4,'4. Billing Determinants'!$B$19:$P$41,8,0)/'4. Billing Determinants'!$I$41*$D6, VLOOKUP(N$4,'4. Billing Determinants'!$B$19:$P$41,3,0)/'4. Billing Determinants'!$D$41*$D6))))),0)</f>
        <v>0</v>
      </c>
      <c r="O6" s="70">
        <f>IFERROR(IF(O$4="",0,IF($E6="kWh",VLOOKUP(O$4,'4. Billing Determinants'!$B$19:$P$41,4,0)/'4. Billing Determinants'!$E$41*$D6,IF($E6="kW",VLOOKUP(O$4,'4. Billing Determinants'!$B$19:$P$41,5,0)/'4. Billing Determinants'!$F$41*$D6,IF($E6="Non-RPP kWh",VLOOKUP(O$4,'4. Billing Determinants'!$B$19:$P$41,6,0)/'4. Billing Determinants'!$G$41*$D6,IF($E6="Distribution Rev.",VLOOKUP(O$4,'4. Billing Determinants'!$B$19:$P$41,8,0)/'4. Billing Determinants'!$I$41*$D6, VLOOKUP(O$4,'4. Billing Determinants'!$B$19:$P$41,3,0)/'4. Billing Determinants'!$D$41*$D6))))),0)</f>
        <v>0</v>
      </c>
      <c r="P6" s="70">
        <f>IFERROR(IF(P$4="",0,IF($E6="kWh",VLOOKUP(P$4,'4. Billing Determinants'!$B$19:$P$41,4,0)/'4. Billing Determinants'!$E$41*$D6,IF($E6="kW",VLOOKUP(P$4,'4. Billing Determinants'!$B$19:$P$41,5,0)/'4. Billing Determinants'!$F$41*$D6,IF($E6="Non-RPP kWh",VLOOKUP(P$4,'4. Billing Determinants'!$B$19:$P$41,6,0)/'4. Billing Determinants'!$G$41*$D6,IF($E6="Distribution Rev.",VLOOKUP(P$4,'4. Billing Determinants'!$B$19:$P$41,8,0)/'4. Billing Determinants'!$I$41*$D6, VLOOKUP(P$4,'4. Billing Determinants'!$B$19:$P$41,3,0)/'4. Billing Determinants'!$D$41*$D6))))),0)</f>
        <v>0</v>
      </c>
      <c r="Q6" s="70">
        <f>IFERROR(IF(Q$4="",0,IF($E6="kWh",VLOOKUP(Q$4,'4. Billing Determinants'!$B$19:$P$41,4,0)/'4. Billing Determinants'!$E$41*$D6,IF($E6="kW",VLOOKUP(Q$4,'4. Billing Determinants'!$B$19:$P$41,5,0)/'4. Billing Determinants'!$F$41*$D6,IF($E6="Non-RPP kWh",VLOOKUP(Q$4,'4. Billing Determinants'!$B$19:$P$41,6,0)/'4. Billing Determinants'!$G$41*$D6,IF($E6="Distribution Rev.",VLOOKUP(Q$4,'4. Billing Determinants'!$B$19:$P$41,8,0)/'4. Billing Determinants'!$I$41*$D6, VLOOKUP(Q$4,'4. Billing Determinants'!$B$19:$P$41,3,0)/'4. Billing Determinants'!$D$41*$D6))))),0)</f>
        <v>0</v>
      </c>
      <c r="R6" s="70">
        <f>IFERROR(IF(R$4="",0,IF($E6="kWh",VLOOKUP(R$4,'4. Billing Determinants'!$B$19:$P$41,4,0)/'4. Billing Determinants'!$E$41*$D6,IF($E6="kW",VLOOKUP(R$4,'4. Billing Determinants'!$B$19:$P$41,5,0)/'4. Billing Determinants'!$F$41*$D6,IF($E6="Non-RPP kWh",VLOOKUP(R$4,'4. Billing Determinants'!$B$19:$P$41,6,0)/'4. Billing Determinants'!$G$41*$D6,IF($E6="Distribution Rev.",VLOOKUP(R$4,'4. Billing Determinants'!$B$19:$P$41,8,0)/'4. Billing Determinants'!$I$41*$D6, VLOOKUP(R$4,'4. Billing Determinants'!$B$19:$P$41,3,0)/'4. Billing Determinants'!$D$41*$D6))))),0)</f>
        <v>0</v>
      </c>
      <c r="S6" s="70">
        <f>IFERROR(IF(S$4="",0,IF($E6="kWh",VLOOKUP(S$4,'4. Billing Determinants'!$B$19:$P$41,4,0)/'4. Billing Determinants'!$E$41*$D6,IF($E6="kW",VLOOKUP(S$4,'4. Billing Determinants'!$B$19:$P$41,5,0)/'4. Billing Determinants'!$F$41*$D6,IF($E6="Non-RPP kWh",VLOOKUP(S$4,'4. Billing Determinants'!$B$19:$P$41,6,0)/'4. Billing Determinants'!$G$41*$D6,IF($E6="Distribution Rev.",VLOOKUP(S$4,'4. Billing Determinants'!$B$19:$P$41,8,0)/'4. Billing Determinants'!$I$41*$D6, VLOOKUP(S$4,'4. Billing Determinants'!$B$19:$P$41,3,0)/'4. Billing Determinants'!$D$41*$D6))))),0)</f>
        <v>0</v>
      </c>
      <c r="T6" s="70">
        <f>IFERROR(IF(T$4="",0,IF($E6="kWh",VLOOKUP(T$4,'4. Billing Determinants'!$B$19:$P$41,4,0)/'4. Billing Determinants'!$E$41*$D6,IF($E6="kW",VLOOKUP(T$4,'4. Billing Determinants'!$B$19:$P$41,5,0)/'4. Billing Determinants'!$F$41*$D6,IF($E6="Non-RPP kWh",VLOOKUP(T$4,'4. Billing Determinants'!$B$19:$P$41,6,0)/'4. Billing Determinants'!$G$41*$D6,IF($E6="Distribution Rev.",VLOOKUP(T$4,'4. Billing Determinants'!$B$19:$P$41,8,0)/'4. Billing Determinants'!$I$41*$D6, VLOOKUP(T$4,'4. Billing Determinants'!$B$19:$P$41,3,0)/'4. Billing Determinants'!$D$41*$D6))))),0)</f>
        <v>0</v>
      </c>
      <c r="U6" s="70">
        <f>IFERROR(IF(U$4="",0,IF($E6="kWh",VLOOKUP(U$4,'4. Billing Determinants'!$B$19:$P$41,4,0)/'4. Billing Determinants'!$E$41*$D6,IF($E6="kW",VLOOKUP(U$4,'4. Billing Determinants'!$B$19:$P$41,5,0)/'4. Billing Determinants'!$F$41*$D6,IF($E6="Non-RPP kWh",VLOOKUP(U$4,'4. Billing Determinants'!$B$19:$P$41,6,0)/'4. Billing Determinants'!$G$41*$D6,IF($E6="Distribution Rev.",VLOOKUP(U$4,'4. Billing Determinants'!$B$19:$P$41,8,0)/'4. Billing Determinants'!$I$41*$D6, VLOOKUP(U$4,'4. Billing Determinants'!$B$19:$P$41,3,0)/'4. Billing Determinants'!$D$41*$D6))))),0)</f>
        <v>0</v>
      </c>
      <c r="V6" s="70">
        <f>IFERROR(IF(V$4="",0,IF($E6="kWh",VLOOKUP(V$4,'4. Billing Determinants'!$B$19:$P$41,4,0)/'4. Billing Determinants'!$E$41*$D6,IF($E6="kW",VLOOKUP(V$4,'4. Billing Determinants'!$B$19:$P$41,5,0)/'4. Billing Determinants'!$F$41*$D6,IF($E6="Non-RPP kWh",VLOOKUP(V$4,'4. Billing Determinants'!$B$19:$P$41,6,0)/'4. Billing Determinants'!$G$41*$D6,IF($E6="Distribution Rev.",VLOOKUP(V$4,'4. Billing Determinants'!$B$19:$P$41,8,0)/'4. Billing Determinants'!$I$41*$D6, VLOOKUP(V$4,'4. Billing Determinants'!$B$19:$P$41,3,0)/'4. Billing Determinants'!$D$41*$D6))))),0)</f>
        <v>0</v>
      </c>
      <c r="W6" s="70">
        <f>IFERROR(IF(W$4="",0,IF($E6="kWh",VLOOKUP(W$4,'4. Billing Determinants'!$B$19:$P$41,4,0)/'4. Billing Determinants'!$E$41*$D6,IF($E6="kW",VLOOKUP(W$4,'4. Billing Determinants'!$B$19:$P$41,5,0)/'4. Billing Determinants'!$F$41*$D6,IF($E6="Non-RPP kWh",VLOOKUP(W$4,'4. Billing Determinants'!$B$19:$P$41,6,0)/'4. Billing Determinants'!$G$41*$D6,IF($E6="Distribution Rev.",VLOOKUP(W$4,'4. Billing Determinants'!$B$19:$P$41,8,0)/'4. Billing Determinants'!$I$41*$D6, VLOOKUP(W$4,'4. Billing Determinants'!$B$19:$P$41,3,0)/'4. Billing Determinants'!$D$41*$D6))))),0)</f>
        <v>0</v>
      </c>
      <c r="X6" s="70">
        <f>IFERROR(IF(X$4="",0,IF($E6="kWh",VLOOKUP(X$4,'4. Billing Determinants'!$B$19:$P$41,4,0)/'4. Billing Determinants'!$E$41*$D6,IF($E6="kW",VLOOKUP(X$4,'4. Billing Determinants'!$B$19:$P$41,5,0)/'4. Billing Determinants'!$F$41*$D6,IF($E6="Non-RPP kWh",VLOOKUP(X$4,'4. Billing Determinants'!$B$19:$P$41,6,0)/'4. Billing Determinants'!$G$41*$D6,IF($E6="Distribution Rev.",VLOOKUP(X$4,'4. Billing Determinants'!$B$19:$P$41,8,0)/'4. Billing Determinants'!$I$41*$D6, VLOOKUP(X$4,'4. Billing Determinants'!$B$19:$P$41,3,0)/'4. Billing Determinants'!$D$41*$D6))))),0)</f>
        <v>0</v>
      </c>
      <c r="Y6" s="70">
        <f>IFERROR(IF(Y$4="",0,IF($E6="kWh",VLOOKUP(Y$4,'4. Billing Determinants'!$B$19:$P$41,4,0)/'4. Billing Determinants'!$E$41*$D6,IF($E6="kW",VLOOKUP(Y$4,'4. Billing Determinants'!$B$19:$P$41,5,0)/'4. Billing Determinants'!$F$41*$D6,IF($E6="Non-RPP kWh",VLOOKUP(Y$4,'4. Billing Determinants'!$B$19:$P$41,6,0)/'4. Billing Determinants'!$G$41*$D6,IF($E6="Distribution Rev.",VLOOKUP(Y$4,'4. Billing Determinants'!$B$19:$P$41,8,0)/'4. Billing Determinants'!$I$41*$D6, VLOOKUP(Y$4,'4. Billing Determinants'!$B$19:$P$41,3,0)/'4. Billing Determinants'!$D$41*$D6))))),0)</f>
        <v>0</v>
      </c>
    </row>
    <row r="7" spans="2:25" x14ac:dyDescent="0.2">
      <c r="B7" s="71" t="s">
        <v>1</v>
      </c>
      <c r="C7" s="69">
        <v>1580</v>
      </c>
      <c r="D7" s="70">
        <f>'2. 2014 Continuity Schedule'!BO26</f>
        <v>-912663.7597520001</v>
      </c>
      <c r="E7" s="130" t="s">
        <v>276</v>
      </c>
      <c r="F7" s="70">
        <f>IFERROR(IF(F$4="",0,IF($E7="kWh",VLOOKUP(F$4,'4. Billing Determinants'!$B$19:$P$41,4,0)/'4. Billing Determinants'!$E$41*$D7,IF($E7="kW",VLOOKUP(F$4,'4. Billing Determinants'!$B$19:$P$41,5,0)/'4. Billing Determinants'!$F$41*$D7,IF($E7="Non-RPP kWh",VLOOKUP(F$4,'4. Billing Determinants'!$B$19:$P$41,6,0)/'4. Billing Determinants'!$G$41*$D7,IF($E7="Distribution Rev.",VLOOKUP(F$4,'4. Billing Determinants'!$B$19:$P$41,8,0)/'4. Billing Determinants'!$I$41*$D7, VLOOKUP(F$4,'4. Billing Determinants'!$B$19:$P$41,3,0)/'4. Billing Determinants'!$D$41*$D7))))),0)</f>
        <v>-312973.50805392617</v>
      </c>
      <c r="G7" s="70">
        <f>IFERROR(IF(G$4="",0,IF($E7="kWh",VLOOKUP(G$4,'4. Billing Determinants'!$B$19:$P$41,4,0)/'4. Billing Determinants'!$E$41*$D7,IF($E7="kW",VLOOKUP(G$4,'4. Billing Determinants'!$B$19:$P$41,5,0)/'4. Billing Determinants'!$F$41*$D7,IF($E7="Non-RPP kWh",VLOOKUP(G$4,'4. Billing Determinants'!$B$19:$P$41,6,0)/'4. Billing Determinants'!$G$41*$D7,IF($E7="Distribution Rev.",VLOOKUP(G$4,'4. Billing Determinants'!$B$19:$P$41,8,0)/'4. Billing Determinants'!$I$41*$D7, VLOOKUP(G$4,'4. Billing Determinants'!$B$19:$P$41,3,0)/'4. Billing Determinants'!$D$41*$D7))))),0)</f>
        <v>-94264.328937248894</v>
      </c>
      <c r="H7" s="70">
        <f>IFERROR(IF(H$4="",0,IF($E7="kWh",VLOOKUP(H$4,'4. Billing Determinants'!$B$19:$P$41,4,0)/'4. Billing Determinants'!$E$41*$D7,IF($E7="kW",VLOOKUP(H$4,'4. Billing Determinants'!$B$19:$P$41,5,0)/'4. Billing Determinants'!$F$41*$D7,IF($E7="Non-RPP kWh",VLOOKUP(H$4,'4. Billing Determinants'!$B$19:$P$41,6,0)/'4. Billing Determinants'!$G$41*$D7,IF($E7="Distribution Rev.",VLOOKUP(H$4,'4. Billing Determinants'!$B$19:$P$41,8,0)/'4. Billing Determinants'!$I$41*$D7, VLOOKUP(H$4,'4. Billing Determinants'!$B$19:$P$41,3,0)/'4. Billing Determinants'!$D$41*$D7))))),0)</f>
        <v>-497942.55525557109</v>
      </c>
      <c r="I7" s="70">
        <f>IFERROR(IF(I$4="",0,IF($E7="kWh",VLOOKUP(I$4,'4. Billing Determinants'!$B$19:$P$41,4,0)/'4. Billing Determinants'!$E$41*$D7,IF($E7="kW",VLOOKUP(I$4,'4. Billing Determinants'!$B$19:$P$41,5,0)/'4. Billing Determinants'!$F$41*$D7,IF($E7="Non-RPP kWh",VLOOKUP(I$4,'4. Billing Determinants'!$B$19:$P$41,6,0)/'4. Billing Determinants'!$G$41*$D7,IF($E7="Distribution Rev.",VLOOKUP(I$4,'4. Billing Determinants'!$B$19:$P$41,8,0)/'4. Billing Determinants'!$I$41*$D7, VLOOKUP(I$4,'4. Billing Determinants'!$B$19:$P$41,3,0)/'4. Billing Determinants'!$D$41*$D7))))),0)</f>
        <v>-1706.3519008045321</v>
      </c>
      <c r="J7" s="70">
        <f>IFERROR(IF(J$4="",0,IF($E7="kWh",VLOOKUP(J$4,'4. Billing Determinants'!$B$19:$P$41,4,0)/'4. Billing Determinants'!$E$41*$D7,IF($E7="kW",VLOOKUP(J$4,'4. Billing Determinants'!$B$19:$P$41,5,0)/'4. Billing Determinants'!$F$41*$D7,IF($E7="Non-RPP kWh",VLOOKUP(J$4,'4. Billing Determinants'!$B$19:$P$41,6,0)/'4. Billing Determinants'!$G$41*$D7,IF($E7="Distribution Rev.",VLOOKUP(J$4,'4. Billing Determinants'!$B$19:$P$41,8,0)/'4. Billing Determinants'!$I$41*$D7, VLOOKUP(J$4,'4. Billing Determinants'!$B$19:$P$41,3,0)/'4. Billing Determinants'!$D$41*$D7))))),0)</f>
        <v>-201.63002047700965</v>
      </c>
      <c r="K7" s="70">
        <f>IFERROR(IF(K$4="",0,IF($E7="kWh",VLOOKUP(K$4,'4. Billing Determinants'!$B$19:$P$41,4,0)/'4. Billing Determinants'!$E$41*$D7,IF($E7="kW",VLOOKUP(K$4,'4. Billing Determinants'!$B$19:$P$41,5,0)/'4. Billing Determinants'!$F$41*$D7,IF($E7="Non-RPP kWh",VLOOKUP(K$4,'4. Billing Determinants'!$B$19:$P$41,6,0)/'4. Billing Determinants'!$G$41*$D7,IF($E7="Distribution Rev.",VLOOKUP(K$4,'4. Billing Determinants'!$B$19:$P$41,8,0)/'4. Billing Determinants'!$I$41*$D7, VLOOKUP(K$4,'4. Billing Determinants'!$B$19:$P$41,3,0)/'4. Billing Determinants'!$D$41*$D7))))),0)</f>
        <v>-5575.3855839723492</v>
      </c>
      <c r="L7" s="70">
        <f>IFERROR(IF(L$4="",0,IF($E7="kWh",VLOOKUP(L$4,'4. Billing Determinants'!$B$19:$P$41,4,0)/'4. Billing Determinants'!$E$41*$D7,IF($E7="kW",VLOOKUP(L$4,'4. Billing Determinants'!$B$19:$P$41,5,0)/'4. Billing Determinants'!$F$41*$D7,IF($E7="Non-RPP kWh",VLOOKUP(L$4,'4. Billing Determinants'!$B$19:$P$41,6,0)/'4. Billing Determinants'!$G$41*$D7,IF($E7="Distribution Rev.",VLOOKUP(L$4,'4. Billing Determinants'!$B$19:$P$41,8,0)/'4. Billing Determinants'!$I$41*$D7, VLOOKUP(L$4,'4. Billing Determinants'!$B$19:$P$41,3,0)/'4. Billing Determinants'!$D$41*$D7))))),0)</f>
        <v>0</v>
      </c>
      <c r="M7" s="70">
        <f>IFERROR(IF(M$4="",0,IF($E7="kWh",VLOOKUP(M$4,'4. Billing Determinants'!$B$19:$P$41,4,0)/'4. Billing Determinants'!$E$41*$D7,IF($E7="kW",VLOOKUP(M$4,'4. Billing Determinants'!$B$19:$P$41,5,0)/'4. Billing Determinants'!$F$41*$D7,IF($E7="Non-RPP kWh",VLOOKUP(M$4,'4. Billing Determinants'!$B$19:$P$41,6,0)/'4. Billing Determinants'!$G$41*$D7,IF($E7="Distribution Rev.",VLOOKUP(M$4,'4. Billing Determinants'!$B$19:$P$41,8,0)/'4. Billing Determinants'!$I$41*$D7, VLOOKUP(M$4,'4. Billing Determinants'!$B$19:$P$41,3,0)/'4. Billing Determinants'!$D$41*$D7))))),0)</f>
        <v>0</v>
      </c>
      <c r="N7" s="70">
        <f>IFERROR(IF(N$4="",0,IF($E7="kWh",VLOOKUP(N$4,'4. Billing Determinants'!$B$19:$P$41,4,0)/'4. Billing Determinants'!$E$41*$D7,IF($E7="kW",VLOOKUP(N$4,'4. Billing Determinants'!$B$19:$P$41,5,0)/'4. Billing Determinants'!$F$41*$D7,IF($E7="Non-RPP kWh",VLOOKUP(N$4,'4. Billing Determinants'!$B$19:$P$41,6,0)/'4. Billing Determinants'!$G$41*$D7,IF($E7="Distribution Rev.",VLOOKUP(N$4,'4. Billing Determinants'!$B$19:$P$41,8,0)/'4. Billing Determinants'!$I$41*$D7, VLOOKUP(N$4,'4. Billing Determinants'!$B$19:$P$41,3,0)/'4. Billing Determinants'!$D$41*$D7))))),0)</f>
        <v>0</v>
      </c>
      <c r="O7" s="70">
        <f>IFERROR(IF(O$4="",0,IF($E7="kWh",VLOOKUP(O$4,'4. Billing Determinants'!$B$19:$P$41,4,0)/'4. Billing Determinants'!$E$41*$D7,IF($E7="kW",VLOOKUP(O$4,'4. Billing Determinants'!$B$19:$P$41,5,0)/'4. Billing Determinants'!$F$41*$D7,IF($E7="Non-RPP kWh",VLOOKUP(O$4,'4. Billing Determinants'!$B$19:$P$41,6,0)/'4. Billing Determinants'!$G$41*$D7,IF($E7="Distribution Rev.",VLOOKUP(O$4,'4. Billing Determinants'!$B$19:$P$41,8,0)/'4. Billing Determinants'!$I$41*$D7, VLOOKUP(O$4,'4. Billing Determinants'!$B$19:$P$41,3,0)/'4. Billing Determinants'!$D$41*$D7))))),0)</f>
        <v>0</v>
      </c>
      <c r="P7" s="70">
        <f>IFERROR(IF(P$4="",0,IF($E7="kWh",VLOOKUP(P$4,'4. Billing Determinants'!$B$19:$P$41,4,0)/'4. Billing Determinants'!$E$41*$D7,IF($E7="kW",VLOOKUP(P$4,'4. Billing Determinants'!$B$19:$P$41,5,0)/'4. Billing Determinants'!$F$41*$D7,IF($E7="Non-RPP kWh",VLOOKUP(P$4,'4. Billing Determinants'!$B$19:$P$41,6,0)/'4. Billing Determinants'!$G$41*$D7,IF($E7="Distribution Rev.",VLOOKUP(P$4,'4. Billing Determinants'!$B$19:$P$41,8,0)/'4. Billing Determinants'!$I$41*$D7, VLOOKUP(P$4,'4. Billing Determinants'!$B$19:$P$41,3,0)/'4. Billing Determinants'!$D$41*$D7))))),0)</f>
        <v>0</v>
      </c>
      <c r="Q7" s="70">
        <f>IFERROR(IF(Q$4="",0,IF($E7="kWh",VLOOKUP(Q$4,'4. Billing Determinants'!$B$19:$P$41,4,0)/'4. Billing Determinants'!$E$41*$D7,IF($E7="kW",VLOOKUP(Q$4,'4. Billing Determinants'!$B$19:$P$41,5,0)/'4. Billing Determinants'!$F$41*$D7,IF($E7="Non-RPP kWh",VLOOKUP(Q$4,'4. Billing Determinants'!$B$19:$P$41,6,0)/'4. Billing Determinants'!$G$41*$D7,IF($E7="Distribution Rev.",VLOOKUP(Q$4,'4. Billing Determinants'!$B$19:$P$41,8,0)/'4. Billing Determinants'!$I$41*$D7, VLOOKUP(Q$4,'4. Billing Determinants'!$B$19:$P$41,3,0)/'4. Billing Determinants'!$D$41*$D7))))),0)</f>
        <v>0</v>
      </c>
      <c r="R7" s="70">
        <f>IFERROR(IF(R$4="",0,IF($E7="kWh",VLOOKUP(R$4,'4. Billing Determinants'!$B$19:$P$41,4,0)/'4. Billing Determinants'!$E$41*$D7,IF($E7="kW",VLOOKUP(R$4,'4. Billing Determinants'!$B$19:$P$41,5,0)/'4. Billing Determinants'!$F$41*$D7,IF($E7="Non-RPP kWh",VLOOKUP(R$4,'4. Billing Determinants'!$B$19:$P$41,6,0)/'4. Billing Determinants'!$G$41*$D7,IF($E7="Distribution Rev.",VLOOKUP(R$4,'4. Billing Determinants'!$B$19:$P$41,8,0)/'4. Billing Determinants'!$I$41*$D7, VLOOKUP(R$4,'4. Billing Determinants'!$B$19:$P$41,3,0)/'4. Billing Determinants'!$D$41*$D7))))),0)</f>
        <v>0</v>
      </c>
      <c r="S7" s="70">
        <f>IFERROR(IF(S$4="",0,IF($E7="kWh",VLOOKUP(S$4,'4. Billing Determinants'!$B$19:$P$41,4,0)/'4. Billing Determinants'!$E$41*$D7,IF($E7="kW",VLOOKUP(S$4,'4. Billing Determinants'!$B$19:$P$41,5,0)/'4. Billing Determinants'!$F$41*$D7,IF($E7="Non-RPP kWh",VLOOKUP(S$4,'4. Billing Determinants'!$B$19:$P$41,6,0)/'4. Billing Determinants'!$G$41*$D7,IF($E7="Distribution Rev.",VLOOKUP(S$4,'4. Billing Determinants'!$B$19:$P$41,8,0)/'4. Billing Determinants'!$I$41*$D7, VLOOKUP(S$4,'4. Billing Determinants'!$B$19:$P$41,3,0)/'4. Billing Determinants'!$D$41*$D7))))),0)</f>
        <v>0</v>
      </c>
      <c r="T7" s="70">
        <f>IFERROR(IF(T$4="",0,IF($E7="kWh",VLOOKUP(T$4,'4. Billing Determinants'!$B$19:$P$41,4,0)/'4. Billing Determinants'!$E$41*$D7,IF($E7="kW",VLOOKUP(T$4,'4. Billing Determinants'!$B$19:$P$41,5,0)/'4. Billing Determinants'!$F$41*$D7,IF($E7="Non-RPP kWh",VLOOKUP(T$4,'4. Billing Determinants'!$B$19:$P$41,6,0)/'4. Billing Determinants'!$G$41*$D7,IF($E7="Distribution Rev.",VLOOKUP(T$4,'4. Billing Determinants'!$B$19:$P$41,8,0)/'4. Billing Determinants'!$I$41*$D7, VLOOKUP(T$4,'4. Billing Determinants'!$B$19:$P$41,3,0)/'4. Billing Determinants'!$D$41*$D7))))),0)</f>
        <v>0</v>
      </c>
      <c r="U7" s="70">
        <f>IFERROR(IF(U$4="",0,IF($E7="kWh",VLOOKUP(U$4,'4. Billing Determinants'!$B$19:$P$41,4,0)/'4. Billing Determinants'!$E$41*$D7,IF($E7="kW",VLOOKUP(U$4,'4. Billing Determinants'!$B$19:$P$41,5,0)/'4. Billing Determinants'!$F$41*$D7,IF($E7="Non-RPP kWh",VLOOKUP(U$4,'4. Billing Determinants'!$B$19:$P$41,6,0)/'4. Billing Determinants'!$G$41*$D7,IF($E7="Distribution Rev.",VLOOKUP(U$4,'4. Billing Determinants'!$B$19:$P$41,8,0)/'4. Billing Determinants'!$I$41*$D7, VLOOKUP(U$4,'4. Billing Determinants'!$B$19:$P$41,3,0)/'4. Billing Determinants'!$D$41*$D7))))),0)</f>
        <v>0</v>
      </c>
      <c r="V7" s="70">
        <f>IFERROR(IF(V$4="",0,IF($E7="kWh",VLOOKUP(V$4,'4. Billing Determinants'!$B$19:$P$41,4,0)/'4. Billing Determinants'!$E$41*$D7,IF($E7="kW",VLOOKUP(V$4,'4. Billing Determinants'!$B$19:$P$41,5,0)/'4. Billing Determinants'!$F$41*$D7,IF($E7="Non-RPP kWh",VLOOKUP(V$4,'4. Billing Determinants'!$B$19:$P$41,6,0)/'4. Billing Determinants'!$G$41*$D7,IF($E7="Distribution Rev.",VLOOKUP(V$4,'4. Billing Determinants'!$B$19:$P$41,8,0)/'4. Billing Determinants'!$I$41*$D7, VLOOKUP(V$4,'4. Billing Determinants'!$B$19:$P$41,3,0)/'4. Billing Determinants'!$D$41*$D7))))),0)</f>
        <v>0</v>
      </c>
      <c r="W7" s="70">
        <f>IFERROR(IF(W$4="",0,IF($E7="kWh",VLOOKUP(W$4,'4. Billing Determinants'!$B$19:$P$41,4,0)/'4. Billing Determinants'!$E$41*$D7,IF($E7="kW",VLOOKUP(W$4,'4. Billing Determinants'!$B$19:$P$41,5,0)/'4. Billing Determinants'!$F$41*$D7,IF($E7="Non-RPP kWh",VLOOKUP(W$4,'4. Billing Determinants'!$B$19:$P$41,6,0)/'4. Billing Determinants'!$G$41*$D7,IF($E7="Distribution Rev.",VLOOKUP(W$4,'4. Billing Determinants'!$B$19:$P$41,8,0)/'4. Billing Determinants'!$I$41*$D7, VLOOKUP(W$4,'4. Billing Determinants'!$B$19:$P$41,3,0)/'4. Billing Determinants'!$D$41*$D7))))),0)</f>
        <v>0</v>
      </c>
      <c r="X7" s="70">
        <f>IFERROR(IF(X$4="",0,IF($E7="kWh",VLOOKUP(X$4,'4. Billing Determinants'!$B$19:$P$41,4,0)/'4. Billing Determinants'!$E$41*$D7,IF($E7="kW",VLOOKUP(X$4,'4. Billing Determinants'!$B$19:$P$41,5,0)/'4. Billing Determinants'!$F$41*$D7,IF($E7="Non-RPP kWh",VLOOKUP(X$4,'4. Billing Determinants'!$B$19:$P$41,6,0)/'4. Billing Determinants'!$G$41*$D7,IF($E7="Distribution Rev.",VLOOKUP(X$4,'4. Billing Determinants'!$B$19:$P$41,8,0)/'4. Billing Determinants'!$I$41*$D7, VLOOKUP(X$4,'4. Billing Determinants'!$B$19:$P$41,3,0)/'4. Billing Determinants'!$D$41*$D7))))),0)</f>
        <v>0</v>
      </c>
      <c r="Y7" s="70">
        <f>IFERROR(IF(Y$4="",0,IF($E7="kWh",VLOOKUP(Y$4,'4. Billing Determinants'!$B$19:$P$41,4,0)/'4. Billing Determinants'!$E$41*$D7,IF($E7="kW",VLOOKUP(Y$4,'4. Billing Determinants'!$B$19:$P$41,5,0)/'4. Billing Determinants'!$F$41*$D7,IF($E7="Non-RPP kWh",VLOOKUP(Y$4,'4. Billing Determinants'!$B$19:$P$41,6,0)/'4. Billing Determinants'!$G$41*$D7,IF($E7="Distribution Rev.",VLOOKUP(Y$4,'4. Billing Determinants'!$B$19:$P$41,8,0)/'4. Billing Determinants'!$I$41*$D7, VLOOKUP(Y$4,'4. Billing Determinants'!$B$19:$P$41,3,0)/'4. Billing Determinants'!$D$41*$D7))))),0)</f>
        <v>0</v>
      </c>
    </row>
    <row r="8" spans="2:25" x14ac:dyDescent="0.2">
      <c r="B8" s="71" t="s">
        <v>2</v>
      </c>
      <c r="C8" s="69">
        <v>1584</v>
      </c>
      <c r="D8" s="70">
        <f>'2. 2014 Continuity Schedule'!BO27</f>
        <v>611116.27985200007</v>
      </c>
      <c r="E8" s="130" t="s">
        <v>276</v>
      </c>
      <c r="F8" s="70">
        <f>IFERROR(IF(F$4="",0,IF($E8="kWh",VLOOKUP(F$4,'4. Billing Determinants'!$B$19:$P$41,4,0)/'4. Billing Determinants'!$E$41*$D8,IF($E8="kW",VLOOKUP(F$4,'4. Billing Determinants'!$B$19:$P$41,5,0)/'4. Billing Determinants'!$F$41*$D8,IF($E8="Non-RPP kWh",VLOOKUP(F$4,'4. Billing Determinants'!$B$19:$P$41,6,0)/'4. Billing Determinants'!$G$41*$D8,IF($E8="Distribution Rev.",VLOOKUP(F$4,'4. Billing Determinants'!$B$19:$P$41,8,0)/'4. Billing Determinants'!$I$41*$D8, VLOOKUP(F$4,'4. Billing Determinants'!$B$19:$P$41,3,0)/'4. Billing Determinants'!$D$41*$D8))))),0)</f>
        <v>209565.9040807292</v>
      </c>
      <c r="G8" s="70">
        <f>IFERROR(IF(G$4="",0,IF($E8="kWh",VLOOKUP(G$4,'4. Billing Determinants'!$B$19:$P$41,4,0)/'4. Billing Determinants'!$E$41*$D8,IF($E8="kW",VLOOKUP(G$4,'4. Billing Determinants'!$B$19:$P$41,5,0)/'4. Billing Determinants'!$F$41*$D8,IF($E8="Non-RPP kWh",VLOOKUP(G$4,'4. Billing Determinants'!$B$19:$P$41,6,0)/'4. Billing Determinants'!$G$41*$D8,IF($E8="Distribution Rev.",VLOOKUP(G$4,'4. Billing Determinants'!$B$19:$P$41,8,0)/'4. Billing Determinants'!$I$41*$D8, VLOOKUP(G$4,'4. Billing Determinants'!$B$19:$P$41,3,0)/'4. Billing Determinants'!$D$41*$D8))))),0)</f>
        <v>63119.046206601102</v>
      </c>
      <c r="H8" s="70">
        <f>IFERROR(IF(H$4="",0,IF($E8="kWh",VLOOKUP(H$4,'4. Billing Determinants'!$B$19:$P$41,4,0)/'4. Billing Determinants'!$E$41*$D8,IF($E8="kW",VLOOKUP(H$4,'4. Billing Determinants'!$B$19:$P$41,5,0)/'4. Billing Determinants'!$F$41*$D8,IF($E8="Non-RPP kWh",VLOOKUP(H$4,'4. Billing Determinants'!$B$19:$P$41,6,0)/'4. Billing Determinants'!$G$41*$D8,IF($E8="Distribution Rev.",VLOOKUP(H$4,'4. Billing Determinants'!$B$19:$P$41,8,0)/'4. Billing Determinants'!$I$41*$D8, VLOOKUP(H$4,'4. Billing Determinants'!$B$19:$P$41,3,0)/'4. Billing Determinants'!$D$41*$D8))))),0)</f>
        <v>333420.4943455538</v>
      </c>
      <c r="I8" s="70">
        <f>IFERROR(IF(I$4="",0,IF($E8="kWh",VLOOKUP(I$4,'4. Billing Determinants'!$B$19:$P$41,4,0)/'4. Billing Determinants'!$E$41*$D8,IF($E8="kW",VLOOKUP(I$4,'4. Billing Determinants'!$B$19:$P$41,5,0)/'4. Billing Determinants'!$F$41*$D8,IF($E8="Non-RPP kWh",VLOOKUP(I$4,'4. Billing Determinants'!$B$19:$P$41,6,0)/'4. Billing Determinants'!$G$41*$D8,IF($E8="Distribution Rev.",VLOOKUP(I$4,'4. Billing Determinants'!$B$19:$P$41,8,0)/'4. Billing Determinants'!$I$41*$D8, VLOOKUP(I$4,'4. Billing Determinants'!$B$19:$P$41,3,0)/'4. Billing Determinants'!$D$41*$D8))))),0)</f>
        <v>1142.5669252183425</v>
      </c>
      <c r="J8" s="70">
        <f>IFERROR(IF(J$4="",0,IF($E8="kWh",VLOOKUP(J$4,'4. Billing Determinants'!$B$19:$P$41,4,0)/'4. Billing Determinants'!$E$41*$D8,IF($E8="kW",VLOOKUP(J$4,'4. Billing Determinants'!$B$19:$P$41,5,0)/'4. Billing Determinants'!$F$41*$D8,IF($E8="Non-RPP kWh",VLOOKUP(J$4,'4. Billing Determinants'!$B$19:$P$41,6,0)/'4. Billing Determinants'!$G$41*$D8,IF($E8="Distribution Rev.",VLOOKUP(J$4,'4. Billing Determinants'!$B$19:$P$41,8,0)/'4. Billing Determinants'!$I$41*$D8, VLOOKUP(J$4,'4. Billing Determinants'!$B$19:$P$41,3,0)/'4. Billing Determinants'!$D$41*$D8))))),0)</f>
        <v>135.01071638242257</v>
      </c>
      <c r="K8" s="70">
        <f>IFERROR(IF(K$4="",0,IF($E8="kWh",VLOOKUP(K$4,'4. Billing Determinants'!$B$19:$P$41,4,0)/'4. Billing Determinants'!$E$41*$D8,IF($E8="kW",VLOOKUP(K$4,'4. Billing Determinants'!$B$19:$P$41,5,0)/'4. Billing Determinants'!$F$41*$D8,IF($E8="Non-RPP kWh",VLOOKUP(K$4,'4. Billing Determinants'!$B$19:$P$41,6,0)/'4. Billing Determinants'!$G$41*$D8,IF($E8="Distribution Rev.",VLOOKUP(K$4,'4. Billing Determinants'!$B$19:$P$41,8,0)/'4. Billing Determinants'!$I$41*$D8, VLOOKUP(K$4,'4. Billing Determinants'!$B$19:$P$41,3,0)/'4. Billing Determinants'!$D$41*$D8))))),0)</f>
        <v>3733.2575775151854</v>
      </c>
      <c r="L8" s="70">
        <f>IFERROR(IF(L$4="",0,IF($E8="kWh",VLOOKUP(L$4,'4. Billing Determinants'!$B$19:$P$41,4,0)/'4. Billing Determinants'!$E$41*$D8,IF($E8="kW",VLOOKUP(L$4,'4. Billing Determinants'!$B$19:$P$41,5,0)/'4. Billing Determinants'!$F$41*$D8,IF($E8="Non-RPP kWh",VLOOKUP(L$4,'4. Billing Determinants'!$B$19:$P$41,6,0)/'4. Billing Determinants'!$G$41*$D8,IF($E8="Distribution Rev.",VLOOKUP(L$4,'4. Billing Determinants'!$B$19:$P$41,8,0)/'4. Billing Determinants'!$I$41*$D8, VLOOKUP(L$4,'4. Billing Determinants'!$B$19:$P$41,3,0)/'4. Billing Determinants'!$D$41*$D8))))),0)</f>
        <v>0</v>
      </c>
      <c r="M8" s="70">
        <f>IFERROR(IF(M$4="",0,IF($E8="kWh",VLOOKUP(M$4,'4. Billing Determinants'!$B$19:$P$41,4,0)/'4. Billing Determinants'!$E$41*$D8,IF($E8="kW",VLOOKUP(M$4,'4. Billing Determinants'!$B$19:$P$41,5,0)/'4. Billing Determinants'!$F$41*$D8,IF($E8="Non-RPP kWh",VLOOKUP(M$4,'4. Billing Determinants'!$B$19:$P$41,6,0)/'4. Billing Determinants'!$G$41*$D8,IF($E8="Distribution Rev.",VLOOKUP(M$4,'4. Billing Determinants'!$B$19:$P$41,8,0)/'4. Billing Determinants'!$I$41*$D8, VLOOKUP(M$4,'4. Billing Determinants'!$B$19:$P$41,3,0)/'4. Billing Determinants'!$D$41*$D8))))),0)</f>
        <v>0</v>
      </c>
      <c r="N8" s="70">
        <f>IFERROR(IF(N$4="",0,IF($E8="kWh",VLOOKUP(N$4,'4. Billing Determinants'!$B$19:$P$41,4,0)/'4. Billing Determinants'!$E$41*$D8,IF($E8="kW",VLOOKUP(N$4,'4. Billing Determinants'!$B$19:$P$41,5,0)/'4. Billing Determinants'!$F$41*$D8,IF($E8="Non-RPP kWh",VLOOKUP(N$4,'4. Billing Determinants'!$B$19:$P$41,6,0)/'4. Billing Determinants'!$G$41*$D8,IF($E8="Distribution Rev.",VLOOKUP(N$4,'4. Billing Determinants'!$B$19:$P$41,8,0)/'4. Billing Determinants'!$I$41*$D8, VLOOKUP(N$4,'4. Billing Determinants'!$B$19:$P$41,3,0)/'4. Billing Determinants'!$D$41*$D8))))),0)</f>
        <v>0</v>
      </c>
      <c r="O8" s="70">
        <f>IFERROR(IF(O$4="",0,IF($E8="kWh",VLOOKUP(O$4,'4. Billing Determinants'!$B$19:$P$41,4,0)/'4. Billing Determinants'!$E$41*$D8,IF($E8="kW",VLOOKUP(O$4,'4. Billing Determinants'!$B$19:$P$41,5,0)/'4. Billing Determinants'!$F$41*$D8,IF($E8="Non-RPP kWh",VLOOKUP(O$4,'4. Billing Determinants'!$B$19:$P$41,6,0)/'4. Billing Determinants'!$G$41*$D8,IF($E8="Distribution Rev.",VLOOKUP(O$4,'4. Billing Determinants'!$B$19:$P$41,8,0)/'4. Billing Determinants'!$I$41*$D8, VLOOKUP(O$4,'4. Billing Determinants'!$B$19:$P$41,3,0)/'4. Billing Determinants'!$D$41*$D8))))),0)</f>
        <v>0</v>
      </c>
      <c r="P8" s="70">
        <f>IFERROR(IF(P$4="",0,IF($E8="kWh",VLOOKUP(P$4,'4. Billing Determinants'!$B$19:$P$41,4,0)/'4. Billing Determinants'!$E$41*$D8,IF($E8="kW",VLOOKUP(P$4,'4. Billing Determinants'!$B$19:$P$41,5,0)/'4. Billing Determinants'!$F$41*$D8,IF($E8="Non-RPP kWh",VLOOKUP(P$4,'4. Billing Determinants'!$B$19:$P$41,6,0)/'4. Billing Determinants'!$G$41*$D8,IF($E8="Distribution Rev.",VLOOKUP(P$4,'4. Billing Determinants'!$B$19:$P$41,8,0)/'4. Billing Determinants'!$I$41*$D8, VLOOKUP(P$4,'4. Billing Determinants'!$B$19:$P$41,3,0)/'4. Billing Determinants'!$D$41*$D8))))),0)</f>
        <v>0</v>
      </c>
      <c r="Q8" s="70">
        <f>IFERROR(IF(Q$4="",0,IF($E8="kWh",VLOOKUP(Q$4,'4. Billing Determinants'!$B$19:$P$41,4,0)/'4. Billing Determinants'!$E$41*$D8,IF($E8="kW",VLOOKUP(Q$4,'4. Billing Determinants'!$B$19:$P$41,5,0)/'4. Billing Determinants'!$F$41*$D8,IF($E8="Non-RPP kWh",VLOOKUP(Q$4,'4. Billing Determinants'!$B$19:$P$41,6,0)/'4. Billing Determinants'!$G$41*$D8,IF($E8="Distribution Rev.",VLOOKUP(Q$4,'4. Billing Determinants'!$B$19:$P$41,8,0)/'4. Billing Determinants'!$I$41*$D8, VLOOKUP(Q$4,'4. Billing Determinants'!$B$19:$P$41,3,0)/'4. Billing Determinants'!$D$41*$D8))))),0)</f>
        <v>0</v>
      </c>
      <c r="R8" s="70">
        <f>IFERROR(IF(R$4="",0,IF($E8="kWh",VLOOKUP(R$4,'4. Billing Determinants'!$B$19:$P$41,4,0)/'4. Billing Determinants'!$E$41*$D8,IF($E8="kW",VLOOKUP(R$4,'4. Billing Determinants'!$B$19:$P$41,5,0)/'4. Billing Determinants'!$F$41*$D8,IF($E8="Non-RPP kWh",VLOOKUP(R$4,'4. Billing Determinants'!$B$19:$P$41,6,0)/'4. Billing Determinants'!$G$41*$D8,IF($E8="Distribution Rev.",VLOOKUP(R$4,'4. Billing Determinants'!$B$19:$P$41,8,0)/'4. Billing Determinants'!$I$41*$D8, VLOOKUP(R$4,'4. Billing Determinants'!$B$19:$P$41,3,0)/'4. Billing Determinants'!$D$41*$D8))))),0)</f>
        <v>0</v>
      </c>
      <c r="S8" s="70">
        <f>IFERROR(IF(S$4="",0,IF($E8="kWh",VLOOKUP(S$4,'4. Billing Determinants'!$B$19:$P$41,4,0)/'4. Billing Determinants'!$E$41*$D8,IF($E8="kW",VLOOKUP(S$4,'4. Billing Determinants'!$B$19:$P$41,5,0)/'4. Billing Determinants'!$F$41*$D8,IF($E8="Non-RPP kWh",VLOOKUP(S$4,'4. Billing Determinants'!$B$19:$P$41,6,0)/'4. Billing Determinants'!$G$41*$D8,IF($E8="Distribution Rev.",VLOOKUP(S$4,'4. Billing Determinants'!$B$19:$P$41,8,0)/'4. Billing Determinants'!$I$41*$D8, VLOOKUP(S$4,'4. Billing Determinants'!$B$19:$P$41,3,0)/'4. Billing Determinants'!$D$41*$D8))))),0)</f>
        <v>0</v>
      </c>
      <c r="T8" s="70">
        <f>IFERROR(IF(T$4="",0,IF($E8="kWh",VLOOKUP(T$4,'4. Billing Determinants'!$B$19:$P$41,4,0)/'4. Billing Determinants'!$E$41*$D8,IF($E8="kW",VLOOKUP(T$4,'4. Billing Determinants'!$B$19:$P$41,5,0)/'4. Billing Determinants'!$F$41*$D8,IF($E8="Non-RPP kWh",VLOOKUP(T$4,'4. Billing Determinants'!$B$19:$P$41,6,0)/'4. Billing Determinants'!$G$41*$D8,IF($E8="Distribution Rev.",VLOOKUP(T$4,'4. Billing Determinants'!$B$19:$P$41,8,0)/'4. Billing Determinants'!$I$41*$D8, VLOOKUP(T$4,'4. Billing Determinants'!$B$19:$P$41,3,0)/'4. Billing Determinants'!$D$41*$D8))))),0)</f>
        <v>0</v>
      </c>
      <c r="U8" s="70">
        <f>IFERROR(IF(U$4="",0,IF($E8="kWh",VLOOKUP(U$4,'4. Billing Determinants'!$B$19:$P$41,4,0)/'4. Billing Determinants'!$E$41*$D8,IF($E8="kW",VLOOKUP(U$4,'4. Billing Determinants'!$B$19:$P$41,5,0)/'4. Billing Determinants'!$F$41*$D8,IF($E8="Non-RPP kWh",VLOOKUP(U$4,'4. Billing Determinants'!$B$19:$P$41,6,0)/'4. Billing Determinants'!$G$41*$D8,IF($E8="Distribution Rev.",VLOOKUP(U$4,'4. Billing Determinants'!$B$19:$P$41,8,0)/'4. Billing Determinants'!$I$41*$D8, VLOOKUP(U$4,'4. Billing Determinants'!$B$19:$P$41,3,0)/'4. Billing Determinants'!$D$41*$D8))))),0)</f>
        <v>0</v>
      </c>
      <c r="V8" s="70">
        <f>IFERROR(IF(V$4="",0,IF($E8="kWh",VLOOKUP(V$4,'4. Billing Determinants'!$B$19:$P$41,4,0)/'4. Billing Determinants'!$E$41*$D8,IF($E8="kW",VLOOKUP(V$4,'4. Billing Determinants'!$B$19:$P$41,5,0)/'4. Billing Determinants'!$F$41*$D8,IF($E8="Non-RPP kWh",VLOOKUP(V$4,'4. Billing Determinants'!$B$19:$P$41,6,0)/'4. Billing Determinants'!$G$41*$D8,IF($E8="Distribution Rev.",VLOOKUP(V$4,'4. Billing Determinants'!$B$19:$P$41,8,0)/'4. Billing Determinants'!$I$41*$D8, VLOOKUP(V$4,'4. Billing Determinants'!$B$19:$P$41,3,0)/'4. Billing Determinants'!$D$41*$D8))))),0)</f>
        <v>0</v>
      </c>
      <c r="W8" s="70">
        <f>IFERROR(IF(W$4="",0,IF($E8="kWh",VLOOKUP(W$4,'4. Billing Determinants'!$B$19:$P$41,4,0)/'4. Billing Determinants'!$E$41*$D8,IF($E8="kW",VLOOKUP(W$4,'4. Billing Determinants'!$B$19:$P$41,5,0)/'4. Billing Determinants'!$F$41*$D8,IF($E8="Non-RPP kWh",VLOOKUP(W$4,'4. Billing Determinants'!$B$19:$P$41,6,0)/'4. Billing Determinants'!$G$41*$D8,IF($E8="Distribution Rev.",VLOOKUP(W$4,'4. Billing Determinants'!$B$19:$P$41,8,0)/'4. Billing Determinants'!$I$41*$D8, VLOOKUP(W$4,'4. Billing Determinants'!$B$19:$P$41,3,0)/'4. Billing Determinants'!$D$41*$D8))))),0)</f>
        <v>0</v>
      </c>
      <c r="X8" s="70">
        <f>IFERROR(IF(X$4="",0,IF($E8="kWh",VLOOKUP(X$4,'4. Billing Determinants'!$B$19:$P$41,4,0)/'4. Billing Determinants'!$E$41*$D8,IF($E8="kW",VLOOKUP(X$4,'4. Billing Determinants'!$B$19:$P$41,5,0)/'4. Billing Determinants'!$F$41*$D8,IF($E8="Non-RPP kWh",VLOOKUP(X$4,'4. Billing Determinants'!$B$19:$P$41,6,0)/'4. Billing Determinants'!$G$41*$D8,IF($E8="Distribution Rev.",VLOOKUP(X$4,'4. Billing Determinants'!$B$19:$P$41,8,0)/'4. Billing Determinants'!$I$41*$D8, VLOOKUP(X$4,'4. Billing Determinants'!$B$19:$P$41,3,0)/'4. Billing Determinants'!$D$41*$D8))))),0)</f>
        <v>0</v>
      </c>
      <c r="Y8" s="70">
        <f>IFERROR(IF(Y$4="",0,IF($E8="kWh",VLOOKUP(Y$4,'4. Billing Determinants'!$B$19:$P$41,4,0)/'4. Billing Determinants'!$E$41*$D8,IF($E8="kW",VLOOKUP(Y$4,'4. Billing Determinants'!$B$19:$P$41,5,0)/'4. Billing Determinants'!$F$41*$D8,IF($E8="Non-RPP kWh",VLOOKUP(Y$4,'4. Billing Determinants'!$B$19:$P$41,6,0)/'4. Billing Determinants'!$G$41*$D8,IF($E8="Distribution Rev.",VLOOKUP(Y$4,'4. Billing Determinants'!$B$19:$P$41,8,0)/'4. Billing Determinants'!$I$41*$D8, VLOOKUP(Y$4,'4. Billing Determinants'!$B$19:$P$41,3,0)/'4. Billing Determinants'!$D$41*$D8))))),0)</f>
        <v>0</v>
      </c>
    </row>
    <row r="9" spans="2:25" x14ac:dyDescent="0.2">
      <c r="B9" s="71" t="s">
        <v>3</v>
      </c>
      <c r="C9" s="69">
        <v>1586</v>
      </c>
      <c r="D9" s="70">
        <f>'2. 2014 Continuity Schedule'!BO28</f>
        <v>396308.043336</v>
      </c>
      <c r="E9" s="130" t="s">
        <v>276</v>
      </c>
      <c r="F9" s="70">
        <f>IFERROR(IF(F$4="",0,IF($E9="kWh",VLOOKUP(F$4,'4. Billing Determinants'!$B$19:$P$41,4,0)/'4. Billing Determinants'!$E$41*$D9,IF($E9="kW",VLOOKUP(F$4,'4. Billing Determinants'!$B$19:$P$41,5,0)/'4. Billing Determinants'!$F$41*$D9,IF($E9="Non-RPP kWh",VLOOKUP(F$4,'4. Billing Determinants'!$B$19:$P$41,6,0)/'4. Billing Determinants'!$G$41*$D9,IF($E9="Distribution Rev.",VLOOKUP(F$4,'4. Billing Determinants'!$B$19:$P$41,8,0)/'4. Billing Determinants'!$I$41*$D9, VLOOKUP(F$4,'4. Billing Determinants'!$B$19:$P$41,3,0)/'4. Billing Determinants'!$D$41*$D9))))),0)</f>
        <v>135903.1924600132</v>
      </c>
      <c r="G9" s="70">
        <f>IFERROR(IF(G$4="",0,IF($E9="kWh",VLOOKUP(G$4,'4. Billing Determinants'!$B$19:$P$41,4,0)/'4. Billing Determinants'!$E$41*$D9,IF($E9="kW",VLOOKUP(G$4,'4. Billing Determinants'!$B$19:$P$41,5,0)/'4. Billing Determinants'!$F$41*$D9,IF($E9="Non-RPP kWh",VLOOKUP(G$4,'4. Billing Determinants'!$B$19:$P$41,6,0)/'4. Billing Determinants'!$G$41*$D9,IF($E9="Distribution Rev.",VLOOKUP(G$4,'4. Billing Determinants'!$B$19:$P$41,8,0)/'4. Billing Determinants'!$I$41*$D9, VLOOKUP(G$4,'4. Billing Determinants'!$B$19:$P$41,3,0)/'4. Billing Determinants'!$D$41*$D9))))),0)</f>
        <v>40932.612211592008</v>
      </c>
      <c r="H9" s="70">
        <f>IFERROR(IF(H$4="",0,IF($E9="kWh",VLOOKUP(H$4,'4. Billing Determinants'!$B$19:$P$41,4,0)/'4. Billing Determinants'!$E$41*$D9,IF($E9="kW",VLOOKUP(H$4,'4. Billing Determinants'!$B$19:$P$41,5,0)/'4. Billing Determinants'!$F$41*$D9,IF($E9="Non-RPP kWh",VLOOKUP(H$4,'4. Billing Determinants'!$B$19:$P$41,6,0)/'4. Billing Determinants'!$G$41*$D9,IF($E9="Distribution Rev.",VLOOKUP(H$4,'4. Billing Determinants'!$B$19:$P$41,8,0)/'4. Billing Determinants'!$I$41*$D9, VLOOKUP(H$4,'4. Billing Determinants'!$B$19:$P$41,3,0)/'4. Billing Determinants'!$D$41*$D9))))),0)</f>
        <v>216222.71911036182</v>
      </c>
      <c r="I9" s="70">
        <f>IFERROR(IF(I$4="",0,IF($E9="kWh",VLOOKUP(I$4,'4. Billing Determinants'!$B$19:$P$41,4,0)/'4. Billing Determinants'!$E$41*$D9,IF($E9="kW",VLOOKUP(I$4,'4. Billing Determinants'!$B$19:$P$41,5,0)/'4. Billing Determinants'!$F$41*$D9,IF($E9="Non-RPP kWh",VLOOKUP(I$4,'4. Billing Determinants'!$B$19:$P$41,6,0)/'4. Billing Determinants'!$G$41*$D9,IF($E9="Distribution Rev.",VLOOKUP(I$4,'4. Billing Determinants'!$B$19:$P$41,8,0)/'4. Billing Determinants'!$I$41*$D9, VLOOKUP(I$4,'4. Billing Determinants'!$B$19:$P$41,3,0)/'4. Billing Determinants'!$D$41*$D9))))),0)</f>
        <v>740.95303535911705</v>
      </c>
      <c r="J9" s="70">
        <f>IFERROR(IF(J$4="",0,IF($E9="kWh",VLOOKUP(J$4,'4. Billing Determinants'!$B$19:$P$41,4,0)/'4. Billing Determinants'!$E$41*$D9,IF($E9="kW",VLOOKUP(J$4,'4. Billing Determinants'!$B$19:$P$41,5,0)/'4. Billing Determinants'!$F$41*$D9,IF($E9="Non-RPP kWh",VLOOKUP(J$4,'4. Billing Determinants'!$B$19:$P$41,6,0)/'4. Billing Determinants'!$G$41*$D9,IF($E9="Distribution Rev.",VLOOKUP(J$4,'4. Billing Determinants'!$B$19:$P$41,8,0)/'4. Billing Determinants'!$I$41*$D9, VLOOKUP(J$4,'4. Billing Determinants'!$B$19:$P$41,3,0)/'4. Billing Determinants'!$D$41*$D9))))),0)</f>
        <v>87.554258662308186</v>
      </c>
      <c r="K9" s="70">
        <f>IFERROR(IF(K$4="",0,IF($E9="kWh",VLOOKUP(K$4,'4. Billing Determinants'!$B$19:$P$41,4,0)/'4. Billing Determinants'!$E$41*$D9,IF($E9="kW",VLOOKUP(K$4,'4. Billing Determinants'!$B$19:$P$41,5,0)/'4. Billing Determinants'!$F$41*$D9,IF($E9="Non-RPP kWh",VLOOKUP(K$4,'4. Billing Determinants'!$B$19:$P$41,6,0)/'4. Billing Determinants'!$G$41*$D9,IF($E9="Distribution Rev.",VLOOKUP(K$4,'4. Billing Determinants'!$B$19:$P$41,8,0)/'4. Billing Determinants'!$I$41*$D9, VLOOKUP(K$4,'4. Billing Determinants'!$B$19:$P$41,3,0)/'4. Billing Determinants'!$D$41*$D9))))),0)</f>
        <v>2421.0122600115451</v>
      </c>
      <c r="L9" s="70">
        <f>IFERROR(IF(L$4="",0,IF($E9="kWh",VLOOKUP(L$4,'4. Billing Determinants'!$B$19:$P$41,4,0)/'4. Billing Determinants'!$E$41*$D9,IF($E9="kW",VLOOKUP(L$4,'4. Billing Determinants'!$B$19:$P$41,5,0)/'4. Billing Determinants'!$F$41*$D9,IF($E9="Non-RPP kWh",VLOOKUP(L$4,'4. Billing Determinants'!$B$19:$P$41,6,0)/'4. Billing Determinants'!$G$41*$D9,IF($E9="Distribution Rev.",VLOOKUP(L$4,'4. Billing Determinants'!$B$19:$P$41,8,0)/'4. Billing Determinants'!$I$41*$D9, VLOOKUP(L$4,'4. Billing Determinants'!$B$19:$P$41,3,0)/'4. Billing Determinants'!$D$41*$D9))))),0)</f>
        <v>0</v>
      </c>
      <c r="M9" s="70">
        <f>IFERROR(IF(M$4="",0,IF($E9="kWh",VLOOKUP(M$4,'4. Billing Determinants'!$B$19:$P$41,4,0)/'4. Billing Determinants'!$E$41*$D9,IF($E9="kW",VLOOKUP(M$4,'4. Billing Determinants'!$B$19:$P$41,5,0)/'4. Billing Determinants'!$F$41*$D9,IF($E9="Non-RPP kWh",VLOOKUP(M$4,'4. Billing Determinants'!$B$19:$P$41,6,0)/'4. Billing Determinants'!$G$41*$D9,IF($E9="Distribution Rev.",VLOOKUP(M$4,'4. Billing Determinants'!$B$19:$P$41,8,0)/'4. Billing Determinants'!$I$41*$D9, VLOOKUP(M$4,'4. Billing Determinants'!$B$19:$P$41,3,0)/'4. Billing Determinants'!$D$41*$D9))))),0)</f>
        <v>0</v>
      </c>
      <c r="N9" s="70">
        <f>IFERROR(IF(N$4="",0,IF($E9="kWh",VLOOKUP(N$4,'4. Billing Determinants'!$B$19:$P$41,4,0)/'4. Billing Determinants'!$E$41*$D9,IF($E9="kW",VLOOKUP(N$4,'4. Billing Determinants'!$B$19:$P$41,5,0)/'4. Billing Determinants'!$F$41*$D9,IF($E9="Non-RPP kWh",VLOOKUP(N$4,'4. Billing Determinants'!$B$19:$P$41,6,0)/'4. Billing Determinants'!$G$41*$D9,IF($E9="Distribution Rev.",VLOOKUP(N$4,'4. Billing Determinants'!$B$19:$P$41,8,0)/'4. Billing Determinants'!$I$41*$D9, VLOOKUP(N$4,'4. Billing Determinants'!$B$19:$P$41,3,0)/'4. Billing Determinants'!$D$41*$D9))))),0)</f>
        <v>0</v>
      </c>
      <c r="O9" s="70">
        <f>IFERROR(IF(O$4="",0,IF($E9="kWh",VLOOKUP(O$4,'4. Billing Determinants'!$B$19:$P$41,4,0)/'4. Billing Determinants'!$E$41*$D9,IF($E9="kW",VLOOKUP(O$4,'4. Billing Determinants'!$B$19:$P$41,5,0)/'4. Billing Determinants'!$F$41*$D9,IF($E9="Non-RPP kWh",VLOOKUP(O$4,'4. Billing Determinants'!$B$19:$P$41,6,0)/'4. Billing Determinants'!$G$41*$D9,IF($E9="Distribution Rev.",VLOOKUP(O$4,'4. Billing Determinants'!$B$19:$P$41,8,0)/'4. Billing Determinants'!$I$41*$D9, VLOOKUP(O$4,'4. Billing Determinants'!$B$19:$P$41,3,0)/'4. Billing Determinants'!$D$41*$D9))))),0)</f>
        <v>0</v>
      </c>
      <c r="P9" s="70">
        <f>IFERROR(IF(P$4="",0,IF($E9="kWh",VLOOKUP(P$4,'4. Billing Determinants'!$B$19:$P$41,4,0)/'4. Billing Determinants'!$E$41*$D9,IF($E9="kW",VLOOKUP(P$4,'4. Billing Determinants'!$B$19:$P$41,5,0)/'4. Billing Determinants'!$F$41*$D9,IF($E9="Non-RPP kWh",VLOOKUP(P$4,'4. Billing Determinants'!$B$19:$P$41,6,0)/'4. Billing Determinants'!$G$41*$D9,IF($E9="Distribution Rev.",VLOOKUP(P$4,'4. Billing Determinants'!$B$19:$P$41,8,0)/'4. Billing Determinants'!$I$41*$D9, VLOOKUP(P$4,'4. Billing Determinants'!$B$19:$P$41,3,0)/'4. Billing Determinants'!$D$41*$D9))))),0)</f>
        <v>0</v>
      </c>
      <c r="Q9" s="70">
        <f>IFERROR(IF(Q$4="",0,IF($E9="kWh",VLOOKUP(Q$4,'4. Billing Determinants'!$B$19:$P$41,4,0)/'4. Billing Determinants'!$E$41*$D9,IF($E9="kW",VLOOKUP(Q$4,'4. Billing Determinants'!$B$19:$P$41,5,0)/'4. Billing Determinants'!$F$41*$D9,IF($E9="Non-RPP kWh",VLOOKUP(Q$4,'4. Billing Determinants'!$B$19:$P$41,6,0)/'4. Billing Determinants'!$G$41*$D9,IF($E9="Distribution Rev.",VLOOKUP(Q$4,'4. Billing Determinants'!$B$19:$P$41,8,0)/'4. Billing Determinants'!$I$41*$D9, VLOOKUP(Q$4,'4. Billing Determinants'!$B$19:$P$41,3,0)/'4. Billing Determinants'!$D$41*$D9))))),0)</f>
        <v>0</v>
      </c>
      <c r="R9" s="70">
        <f>IFERROR(IF(R$4="",0,IF($E9="kWh",VLOOKUP(R$4,'4. Billing Determinants'!$B$19:$P$41,4,0)/'4. Billing Determinants'!$E$41*$D9,IF($E9="kW",VLOOKUP(R$4,'4. Billing Determinants'!$B$19:$P$41,5,0)/'4. Billing Determinants'!$F$41*$D9,IF($E9="Non-RPP kWh",VLOOKUP(R$4,'4. Billing Determinants'!$B$19:$P$41,6,0)/'4. Billing Determinants'!$G$41*$D9,IF($E9="Distribution Rev.",VLOOKUP(R$4,'4. Billing Determinants'!$B$19:$P$41,8,0)/'4. Billing Determinants'!$I$41*$D9, VLOOKUP(R$4,'4. Billing Determinants'!$B$19:$P$41,3,0)/'4. Billing Determinants'!$D$41*$D9))))),0)</f>
        <v>0</v>
      </c>
      <c r="S9" s="70">
        <f>IFERROR(IF(S$4="",0,IF($E9="kWh",VLOOKUP(S$4,'4. Billing Determinants'!$B$19:$P$41,4,0)/'4. Billing Determinants'!$E$41*$D9,IF($E9="kW",VLOOKUP(S$4,'4. Billing Determinants'!$B$19:$P$41,5,0)/'4. Billing Determinants'!$F$41*$D9,IF($E9="Non-RPP kWh",VLOOKUP(S$4,'4. Billing Determinants'!$B$19:$P$41,6,0)/'4. Billing Determinants'!$G$41*$D9,IF($E9="Distribution Rev.",VLOOKUP(S$4,'4. Billing Determinants'!$B$19:$P$41,8,0)/'4. Billing Determinants'!$I$41*$D9, VLOOKUP(S$4,'4. Billing Determinants'!$B$19:$P$41,3,0)/'4. Billing Determinants'!$D$41*$D9))))),0)</f>
        <v>0</v>
      </c>
      <c r="T9" s="70">
        <f>IFERROR(IF(T$4="",0,IF($E9="kWh",VLOOKUP(T$4,'4. Billing Determinants'!$B$19:$P$41,4,0)/'4. Billing Determinants'!$E$41*$D9,IF($E9="kW",VLOOKUP(T$4,'4. Billing Determinants'!$B$19:$P$41,5,0)/'4. Billing Determinants'!$F$41*$D9,IF($E9="Non-RPP kWh",VLOOKUP(T$4,'4. Billing Determinants'!$B$19:$P$41,6,0)/'4. Billing Determinants'!$G$41*$D9,IF($E9="Distribution Rev.",VLOOKUP(T$4,'4. Billing Determinants'!$B$19:$P$41,8,0)/'4. Billing Determinants'!$I$41*$D9, VLOOKUP(T$4,'4. Billing Determinants'!$B$19:$P$41,3,0)/'4. Billing Determinants'!$D$41*$D9))))),0)</f>
        <v>0</v>
      </c>
      <c r="U9" s="70">
        <f>IFERROR(IF(U$4="",0,IF($E9="kWh",VLOOKUP(U$4,'4. Billing Determinants'!$B$19:$P$41,4,0)/'4. Billing Determinants'!$E$41*$D9,IF($E9="kW",VLOOKUP(U$4,'4. Billing Determinants'!$B$19:$P$41,5,0)/'4. Billing Determinants'!$F$41*$D9,IF($E9="Non-RPP kWh",VLOOKUP(U$4,'4. Billing Determinants'!$B$19:$P$41,6,0)/'4. Billing Determinants'!$G$41*$D9,IF($E9="Distribution Rev.",VLOOKUP(U$4,'4. Billing Determinants'!$B$19:$P$41,8,0)/'4. Billing Determinants'!$I$41*$D9, VLOOKUP(U$4,'4. Billing Determinants'!$B$19:$P$41,3,0)/'4. Billing Determinants'!$D$41*$D9))))),0)</f>
        <v>0</v>
      </c>
      <c r="V9" s="70">
        <f>IFERROR(IF(V$4="",0,IF($E9="kWh",VLOOKUP(V$4,'4. Billing Determinants'!$B$19:$P$41,4,0)/'4. Billing Determinants'!$E$41*$D9,IF($E9="kW",VLOOKUP(V$4,'4. Billing Determinants'!$B$19:$P$41,5,0)/'4. Billing Determinants'!$F$41*$D9,IF($E9="Non-RPP kWh",VLOOKUP(V$4,'4. Billing Determinants'!$B$19:$P$41,6,0)/'4. Billing Determinants'!$G$41*$D9,IF($E9="Distribution Rev.",VLOOKUP(V$4,'4. Billing Determinants'!$B$19:$P$41,8,0)/'4. Billing Determinants'!$I$41*$D9, VLOOKUP(V$4,'4. Billing Determinants'!$B$19:$P$41,3,0)/'4. Billing Determinants'!$D$41*$D9))))),0)</f>
        <v>0</v>
      </c>
      <c r="W9" s="70">
        <f>IFERROR(IF(W$4="",0,IF($E9="kWh",VLOOKUP(W$4,'4. Billing Determinants'!$B$19:$P$41,4,0)/'4. Billing Determinants'!$E$41*$D9,IF($E9="kW",VLOOKUP(W$4,'4. Billing Determinants'!$B$19:$P$41,5,0)/'4. Billing Determinants'!$F$41*$D9,IF($E9="Non-RPP kWh",VLOOKUP(W$4,'4. Billing Determinants'!$B$19:$P$41,6,0)/'4. Billing Determinants'!$G$41*$D9,IF($E9="Distribution Rev.",VLOOKUP(W$4,'4. Billing Determinants'!$B$19:$P$41,8,0)/'4. Billing Determinants'!$I$41*$D9, VLOOKUP(W$4,'4. Billing Determinants'!$B$19:$P$41,3,0)/'4. Billing Determinants'!$D$41*$D9))))),0)</f>
        <v>0</v>
      </c>
      <c r="X9" s="70">
        <f>IFERROR(IF(X$4="",0,IF($E9="kWh",VLOOKUP(X$4,'4. Billing Determinants'!$B$19:$P$41,4,0)/'4. Billing Determinants'!$E$41*$D9,IF($E9="kW",VLOOKUP(X$4,'4. Billing Determinants'!$B$19:$P$41,5,0)/'4. Billing Determinants'!$F$41*$D9,IF($E9="Non-RPP kWh",VLOOKUP(X$4,'4. Billing Determinants'!$B$19:$P$41,6,0)/'4. Billing Determinants'!$G$41*$D9,IF($E9="Distribution Rev.",VLOOKUP(X$4,'4. Billing Determinants'!$B$19:$P$41,8,0)/'4. Billing Determinants'!$I$41*$D9, VLOOKUP(X$4,'4. Billing Determinants'!$B$19:$P$41,3,0)/'4. Billing Determinants'!$D$41*$D9))))),0)</f>
        <v>0</v>
      </c>
      <c r="Y9" s="70">
        <f>IFERROR(IF(Y$4="",0,IF($E9="kWh",VLOOKUP(Y$4,'4. Billing Determinants'!$B$19:$P$41,4,0)/'4. Billing Determinants'!$E$41*$D9,IF($E9="kW",VLOOKUP(Y$4,'4. Billing Determinants'!$B$19:$P$41,5,0)/'4. Billing Determinants'!$F$41*$D9,IF($E9="Non-RPP kWh",VLOOKUP(Y$4,'4. Billing Determinants'!$B$19:$P$41,6,0)/'4. Billing Determinants'!$G$41*$D9,IF($E9="Distribution Rev.",VLOOKUP(Y$4,'4. Billing Determinants'!$B$19:$P$41,8,0)/'4. Billing Determinants'!$I$41*$D9, VLOOKUP(Y$4,'4. Billing Determinants'!$B$19:$P$41,3,0)/'4. Billing Determinants'!$D$41*$D9))))),0)</f>
        <v>0</v>
      </c>
    </row>
    <row r="10" spans="2:25" x14ac:dyDescent="0.2">
      <c r="B10" s="71" t="s">
        <v>75</v>
      </c>
      <c r="C10" s="69">
        <v>1588</v>
      </c>
      <c r="D10" s="70">
        <f>'2. 2014 Continuity Schedule'!BO29</f>
        <v>-1588310.9422519999</v>
      </c>
      <c r="E10" s="130" t="s">
        <v>276</v>
      </c>
      <c r="F10" s="70">
        <f>IFERROR(IF(F$4="",0,IF($E10="kWh",VLOOKUP(F$4,'4. Billing Determinants'!$B$19:$P$41,4,0)/'4. Billing Determinants'!$E$41*$D10,IF($E10="kW",VLOOKUP(F$4,'4. Billing Determinants'!$B$19:$P$41,5,0)/'4. Billing Determinants'!$F$41*$D10,IF($E10="Non-RPP kWh",VLOOKUP(F$4,'4. Billing Determinants'!$B$19:$P$41,6,0)/'4. Billing Determinants'!$G$41*$D10,IF($E10="Distribution Rev.",VLOOKUP(F$4,'4. Billing Determinants'!$B$19:$P$41,8,0)/'4. Billing Determinants'!$I$41*$D10, VLOOKUP(F$4,'4. Billing Determinants'!$B$19:$P$41,3,0)/'4. Billing Determinants'!$D$41*$D10))))),0)</f>
        <v>-544668.55089340138</v>
      </c>
      <c r="G10" s="70">
        <f>IFERROR(IF(G$4="",0,IF($E10="kWh",VLOOKUP(G$4,'4. Billing Determinants'!$B$19:$P$41,4,0)/'4. Billing Determinants'!$E$41*$D10,IF($E10="kW",VLOOKUP(G$4,'4. Billing Determinants'!$B$19:$P$41,5,0)/'4. Billing Determinants'!$F$41*$D10,IF($E10="Non-RPP kWh",VLOOKUP(G$4,'4. Billing Determinants'!$B$19:$P$41,6,0)/'4. Billing Determinants'!$G$41*$D10,IF($E10="Distribution Rev.",VLOOKUP(G$4,'4. Billing Determinants'!$B$19:$P$41,8,0)/'4. Billing Determinants'!$I$41*$D10, VLOOKUP(G$4,'4. Billing Determinants'!$B$19:$P$41,3,0)/'4. Billing Determinants'!$D$41*$D10))))),0)</f>
        <v>-164048.43899549407</v>
      </c>
      <c r="H10" s="70">
        <f>IFERROR(IF(H$4="",0,IF($E10="kWh",VLOOKUP(H$4,'4. Billing Determinants'!$B$19:$P$41,4,0)/'4. Billing Determinants'!$E$41*$D10,IF($E10="kW",VLOOKUP(H$4,'4. Billing Determinants'!$B$19:$P$41,5,0)/'4. Billing Determinants'!$F$41*$D10,IF($E10="Non-RPP kWh",VLOOKUP(H$4,'4. Billing Determinants'!$B$19:$P$41,6,0)/'4. Billing Determinants'!$G$41*$D10,IF($E10="Distribution Rev.",VLOOKUP(H$4,'4. Billing Determinants'!$B$19:$P$41,8,0)/'4. Billing Determinants'!$I$41*$D10, VLOOKUP(H$4,'4. Billing Determinants'!$B$19:$P$41,3,0)/'4. Billing Determinants'!$D$41*$D10))))),0)</f>
        <v>-866570.62984538148</v>
      </c>
      <c r="I10" s="70">
        <f>IFERROR(IF(I$4="",0,IF($E10="kWh",VLOOKUP(I$4,'4. Billing Determinants'!$B$19:$P$41,4,0)/'4. Billing Determinants'!$E$41*$D10,IF($E10="kW",VLOOKUP(I$4,'4. Billing Determinants'!$B$19:$P$41,5,0)/'4. Billing Determinants'!$F$41*$D10,IF($E10="Non-RPP kWh",VLOOKUP(I$4,'4. Billing Determinants'!$B$19:$P$41,6,0)/'4. Billing Determinants'!$G$41*$D10,IF($E10="Distribution Rev.",VLOOKUP(I$4,'4. Billing Determinants'!$B$19:$P$41,8,0)/'4. Billing Determinants'!$I$41*$D10, VLOOKUP(I$4,'4. Billing Determinants'!$B$19:$P$41,3,0)/'4. Billing Determinants'!$D$41*$D10))))),0)</f>
        <v>-2969.5683283368126</v>
      </c>
      <c r="J10" s="70">
        <f>IFERROR(IF(J$4="",0,IF($E10="kWh",VLOOKUP(J$4,'4. Billing Determinants'!$B$19:$P$41,4,0)/'4. Billing Determinants'!$E$41*$D10,IF($E10="kW",VLOOKUP(J$4,'4. Billing Determinants'!$B$19:$P$41,5,0)/'4. Billing Determinants'!$F$41*$D10,IF($E10="Non-RPP kWh",VLOOKUP(J$4,'4. Billing Determinants'!$B$19:$P$41,6,0)/'4. Billing Determinants'!$G$41*$D10,IF($E10="Distribution Rev.",VLOOKUP(J$4,'4. Billing Determinants'!$B$19:$P$41,8,0)/'4. Billing Determinants'!$I$41*$D10, VLOOKUP(J$4,'4. Billing Determinants'!$B$19:$P$41,3,0)/'4. Billing Determinants'!$D$41*$D10))))),0)</f>
        <v>-350.89721092590736</v>
      </c>
      <c r="K10" s="70">
        <f>IFERROR(IF(K$4="",0,IF($E10="kWh",VLOOKUP(K$4,'4. Billing Determinants'!$B$19:$P$41,4,0)/'4. Billing Determinants'!$E$41*$D10,IF($E10="kW",VLOOKUP(K$4,'4. Billing Determinants'!$B$19:$P$41,5,0)/'4. Billing Determinants'!$F$41*$D10,IF($E10="Non-RPP kWh",VLOOKUP(K$4,'4. Billing Determinants'!$B$19:$P$41,6,0)/'4. Billing Determinants'!$G$41*$D10,IF($E10="Distribution Rev.",VLOOKUP(K$4,'4. Billing Determinants'!$B$19:$P$41,8,0)/'4. Billing Determinants'!$I$41*$D10, VLOOKUP(K$4,'4. Billing Determinants'!$B$19:$P$41,3,0)/'4. Billing Determinants'!$D$41*$D10))))),0)</f>
        <v>-9702.8569784601132</v>
      </c>
      <c r="L10" s="70">
        <f>IFERROR(IF(L$4="",0,IF($E10="kWh",VLOOKUP(L$4,'4. Billing Determinants'!$B$19:$P$41,4,0)/'4. Billing Determinants'!$E$41*$D10,IF($E10="kW",VLOOKUP(L$4,'4. Billing Determinants'!$B$19:$P$41,5,0)/'4. Billing Determinants'!$F$41*$D10,IF($E10="Non-RPP kWh",VLOOKUP(L$4,'4. Billing Determinants'!$B$19:$P$41,6,0)/'4. Billing Determinants'!$G$41*$D10,IF($E10="Distribution Rev.",VLOOKUP(L$4,'4. Billing Determinants'!$B$19:$P$41,8,0)/'4. Billing Determinants'!$I$41*$D10, VLOOKUP(L$4,'4. Billing Determinants'!$B$19:$P$41,3,0)/'4. Billing Determinants'!$D$41*$D10))))),0)</f>
        <v>0</v>
      </c>
      <c r="M10" s="70">
        <f>IFERROR(IF(M$4="",0,IF($E10="kWh",VLOOKUP(M$4,'4. Billing Determinants'!$B$19:$P$41,4,0)/'4. Billing Determinants'!$E$41*$D10,IF($E10="kW",VLOOKUP(M$4,'4. Billing Determinants'!$B$19:$P$41,5,0)/'4. Billing Determinants'!$F$41*$D10,IF($E10="Non-RPP kWh",VLOOKUP(M$4,'4. Billing Determinants'!$B$19:$P$41,6,0)/'4. Billing Determinants'!$G$41*$D10,IF($E10="Distribution Rev.",VLOOKUP(M$4,'4. Billing Determinants'!$B$19:$P$41,8,0)/'4. Billing Determinants'!$I$41*$D10, VLOOKUP(M$4,'4. Billing Determinants'!$B$19:$P$41,3,0)/'4. Billing Determinants'!$D$41*$D10))))),0)</f>
        <v>0</v>
      </c>
      <c r="N10" s="70">
        <f>IFERROR(IF(N$4="",0,IF($E10="kWh",VLOOKUP(N$4,'4. Billing Determinants'!$B$19:$P$41,4,0)/'4. Billing Determinants'!$E$41*$D10,IF($E10="kW",VLOOKUP(N$4,'4. Billing Determinants'!$B$19:$P$41,5,0)/'4. Billing Determinants'!$F$41*$D10,IF($E10="Non-RPP kWh",VLOOKUP(N$4,'4. Billing Determinants'!$B$19:$P$41,6,0)/'4. Billing Determinants'!$G$41*$D10,IF($E10="Distribution Rev.",VLOOKUP(N$4,'4. Billing Determinants'!$B$19:$P$41,8,0)/'4. Billing Determinants'!$I$41*$D10, VLOOKUP(N$4,'4. Billing Determinants'!$B$19:$P$41,3,0)/'4. Billing Determinants'!$D$41*$D10))))),0)</f>
        <v>0</v>
      </c>
      <c r="O10" s="70">
        <f>IFERROR(IF(O$4="",0,IF($E10="kWh",VLOOKUP(O$4,'4. Billing Determinants'!$B$19:$P$41,4,0)/'4. Billing Determinants'!$E$41*$D10,IF($E10="kW",VLOOKUP(O$4,'4. Billing Determinants'!$B$19:$P$41,5,0)/'4. Billing Determinants'!$F$41*$D10,IF($E10="Non-RPP kWh",VLOOKUP(O$4,'4. Billing Determinants'!$B$19:$P$41,6,0)/'4. Billing Determinants'!$G$41*$D10,IF($E10="Distribution Rev.",VLOOKUP(O$4,'4. Billing Determinants'!$B$19:$P$41,8,0)/'4. Billing Determinants'!$I$41*$D10, VLOOKUP(O$4,'4. Billing Determinants'!$B$19:$P$41,3,0)/'4. Billing Determinants'!$D$41*$D10))))),0)</f>
        <v>0</v>
      </c>
      <c r="P10" s="70">
        <f>IFERROR(IF(P$4="",0,IF($E10="kWh",VLOOKUP(P$4,'4. Billing Determinants'!$B$19:$P$41,4,0)/'4. Billing Determinants'!$E$41*$D10,IF($E10="kW",VLOOKUP(P$4,'4. Billing Determinants'!$B$19:$P$41,5,0)/'4. Billing Determinants'!$F$41*$D10,IF($E10="Non-RPP kWh",VLOOKUP(P$4,'4. Billing Determinants'!$B$19:$P$41,6,0)/'4. Billing Determinants'!$G$41*$D10,IF($E10="Distribution Rev.",VLOOKUP(P$4,'4. Billing Determinants'!$B$19:$P$41,8,0)/'4. Billing Determinants'!$I$41*$D10, VLOOKUP(P$4,'4. Billing Determinants'!$B$19:$P$41,3,0)/'4. Billing Determinants'!$D$41*$D10))))),0)</f>
        <v>0</v>
      </c>
      <c r="Q10" s="70">
        <f>IFERROR(IF(Q$4="",0,IF($E10="kWh",VLOOKUP(Q$4,'4. Billing Determinants'!$B$19:$P$41,4,0)/'4. Billing Determinants'!$E$41*$D10,IF($E10="kW",VLOOKUP(Q$4,'4. Billing Determinants'!$B$19:$P$41,5,0)/'4. Billing Determinants'!$F$41*$D10,IF($E10="Non-RPP kWh",VLOOKUP(Q$4,'4. Billing Determinants'!$B$19:$P$41,6,0)/'4. Billing Determinants'!$G$41*$D10,IF($E10="Distribution Rev.",VLOOKUP(Q$4,'4. Billing Determinants'!$B$19:$P$41,8,0)/'4. Billing Determinants'!$I$41*$D10, VLOOKUP(Q$4,'4. Billing Determinants'!$B$19:$P$41,3,0)/'4. Billing Determinants'!$D$41*$D10))))),0)</f>
        <v>0</v>
      </c>
      <c r="R10" s="70">
        <f>IFERROR(IF(R$4="",0,IF($E10="kWh",VLOOKUP(R$4,'4. Billing Determinants'!$B$19:$P$41,4,0)/'4. Billing Determinants'!$E$41*$D10,IF($E10="kW",VLOOKUP(R$4,'4. Billing Determinants'!$B$19:$P$41,5,0)/'4. Billing Determinants'!$F$41*$D10,IF($E10="Non-RPP kWh",VLOOKUP(R$4,'4. Billing Determinants'!$B$19:$P$41,6,0)/'4. Billing Determinants'!$G$41*$D10,IF($E10="Distribution Rev.",VLOOKUP(R$4,'4. Billing Determinants'!$B$19:$P$41,8,0)/'4. Billing Determinants'!$I$41*$D10, VLOOKUP(R$4,'4. Billing Determinants'!$B$19:$P$41,3,0)/'4. Billing Determinants'!$D$41*$D10))))),0)</f>
        <v>0</v>
      </c>
      <c r="S10" s="70">
        <f>IFERROR(IF(S$4="",0,IF($E10="kWh",VLOOKUP(S$4,'4. Billing Determinants'!$B$19:$P$41,4,0)/'4. Billing Determinants'!$E$41*$D10,IF($E10="kW",VLOOKUP(S$4,'4. Billing Determinants'!$B$19:$P$41,5,0)/'4. Billing Determinants'!$F$41*$D10,IF($E10="Non-RPP kWh",VLOOKUP(S$4,'4. Billing Determinants'!$B$19:$P$41,6,0)/'4. Billing Determinants'!$G$41*$D10,IF($E10="Distribution Rev.",VLOOKUP(S$4,'4. Billing Determinants'!$B$19:$P$41,8,0)/'4. Billing Determinants'!$I$41*$D10, VLOOKUP(S$4,'4. Billing Determinants'!$B$19:$P$41,3,0)/'4. Billing Determinants'!$D$41*$D10))))),0)</f>
        <v>0</v>
      </c>
      <c r="T10" s="70">
        <f>IFERROR(IF(T$4="",0,IF($E10="kWh",VLOOKUP(T$4,'4. Billing Determinants'!$B$19:$P$41,4,0)/'4. Billing Determinants'!$E$41*$D10,IF($E10="kW",VLOOKUP(T$4,'4. Billing Determinants'!$B$19:$P$41,5,0)/'4. Billing Determinants'!$F$41*$D10,IF($E10="Non-RPP kWh",VLOOKUP(T$4,'4. Billing Determinants'!$B$19:$P$41,6,0)/'4. Billing Determinants'!$G$41*$D10,IF($E10="Distribution Rev.",VLOOKUP(T$4,'4. Billing Determinants'!$B$19:$P$41,8,0)/'4. Billing Determinants'!$I$41*$D10, VLOOKUP(T$4,'4. Billing Determinants'!$B$19:$P$41,3,0)/'4. Billing Determinants'!$D$41*$D10))))),0)</f>
        <v>0</v>
      </c>
      <c r="U10" s="70">
        <f>IFERROR(IF(U$4="",0,IF($E10="kWh",VLOOKUP(U$4,'4. Billing Determinants'!$B$19:$P$41,4,0)/'4. Billing Determinants'!$E$41*$D10,IF($E10="kW",VLOOKUP(U$4,'4. Billing Determinants'!$B$19:$P$41,5,0)/'4. Billing Determinants'!$F$41*$D10,IF($E10="Non-RPP kWh",VLOOKUP(U$4,'4. Billing Determinants'!$B$19:$P$41,6,0)/'4. Billing Determinants'!$G$41*$D10,IF($E10="Distribution Rev.",VLOOKUP(U$4,'4. Billing Determinants'!$B$19:$P$41,8,0)/'4. Billing Determinants'!$I$41*$D10, VLOOKUP(U$4,'4. Billing Determinants'!$B$19:$P$41,3,0)/'4. Billing Determinants'!$D$41*$D10))))),0)</f>
        <v>0</v>
      </c>
      <c r="V10" s="70">
        <f>IFERROR(IF(V$4="",0,IF($E10="kWh",VLOOKUP(V$4,'4. Billing Determinants'!$B$19:$P$41,4,0)/'4. Billing Determinants'!$E$41*$D10,IF($E10="kW",VLOOKUP(V$4,'4. Billing Determinants'!$B$19:$P$41,5,0)/'4. Billing Determinants'!$F$41*$D10,IF($E10="Non-RPP kWh",VLOOKUP(V$4,'4. Billing Determinants'!$B$19:$P$41,6,0)/'4. Billing Determinants'!$G$41*$D10,IF($E10="Distribution Rev.",VLOOKUP(V$4,'4. Billing Determinants'!$B$19:$P$41,8,0)/'4. Billing Determinants'!$I$41*$D10, VLOOKUP(V$4,'4. Billing Determinants'!$B$19:$P$41,3,0)/'4. Billing Determinants'!$D$41*$D10))))),0)</f>
        <v>0</v>
      </c>
      <c r="W10" s="70">
        <f>IFERROR(IF(W$4="",0,IF($E10="kWh",VLOOKUP(W$4,'4. Billing Determinants'!$B$19:$P$41,4,0)/'4. Billing Determinants'!$E$41*$D10,IF($E10="kW",VLOOKUP(W$4,'4. Billing Determinants'!$B$19:$P$41,5,0)/'4. Billing Determinants'!$F$41*$D10,IF($E10="Non-RPP kWh",VLOOKUP(W$4,'4. Billing Determinants'!$B$19:$P$41,6,0)/'4. Billing Determinants'!$G$41*$D10,IF($E10="Distribution Rev.",VLOOKUP(W$4,'4. Billing Determinants'!$B$19:$P$41,8,0)/'4. Billing Determinants'!$I$41*$D10, VLOOKUP(W$4,'4. Billing Determinants'!$B$19:$P$41,3,0)/'4. Billing Determinants'!$D$41*$D10))))),0)</f>
        <v>0</v>
      </c>
      <c r="X10" s="70">
        <f>IFERROR(IF(X$4="",0,IF($E10="kWh",VLOOKUP(X$4,'4. Billing Determinants'!$B$19:$P$41,4,0)/'4. Billing Determinants'!$E$41*$D10,IF($E10="kW",VLOOKUP(X$4,'4. Billing Determinants'!$B$19:$P$41,5,0)/'4. Billing Determinants'!$F$41*$D10,IF($E10="Non-RPP kWh",VLOOKUP(X$4,'4. Billing Determinants'!$B$19:$P$41,6,0)/'4. Billing Determinants'!$G$41*$D10,IF($E10="Distribution Rev.",VLOOKUP(X$4,'4. Billing Determinants'!$B$19:$P$41,8,0)/'4. Billing Determinants'!$I$41*$D10, VLOOKUP(X$4,'4. Billing Determinants'!$B$19:$P$41,3,0)/'4. Billing Determinants'!$D$41*$D10))))),0)</f>
        <v>0</v>
      </c>
      <c r="Y10" s="70">
        <f>IFERROR(IF(Y$4="",0,IF($E10="kWh",VLOOKUP(Y$4,'4. Billing Determinants'!$B$19:$P$41,4,0)/'4. Billing Determinants'!$E$41*$D10,IF($E10="kW",VLOOKUP(Y$4,'4. Billing Determinants'!$B$19:$P$41,5,0)/'4. Billing Determinants'!$F$41*$D10,IF($E10="Non-RPP kWh",VLOOKUP(Y$4,'4. Billing Determinants'!$B$19:$P$41,6,0)/'4. Billing Determinants'!$G$41*$D10,IF($E10="Distribution Rev.",VLOOKUP(Y$4,'4. Billing Determinants'!$B$19:$P$41,8,0)/'4. Billing Determinants'!$I$41*$D10, VLOOKUP(Y$4,'4. Billing Determinants'!$B$19:$P$41,3,0)/'4. Billing Determinants'!$D$41*$D10))))),0)</f>
        <v>0</v>
      </c>
    </row>
    <row r="11" spans="2:25" x14ac:dyDescent="0.2">
      <c r="B11" s="68" t="s">
        <v>127</v>
      </c>
      <c r="C11" s="69">
        <v>1589</v>
      </c>
      <c r="D11" s="70">
        <f>'2. 2014 Continuity Schedule'!BO30</f>
        <v>1582460.9506639994</v>
      </c>
      <c r="E11" s="130" t="s">
        <v>296</v>
      </c>
      <c r="F11" s="70">
        <f>IFERROR(IF(F$4="",0,IF($E11="kWh",VLOOKUP(F$4,'4. Billing Determinants'!$B$19:$P$41,4,0)/'4. Billing Determinants'!$E$41*$D11,IF($E11="kW",VLOOKUP(F$4,'4. Billing Determinants'!$B$19:$P$41,5,0)/'4. Billing Determinants'!$F$41*$D11,IF($E11="Non-RPP kWh",VLOOKUP(F$4,'4. Billing Determinants'!$B$19:$P$41,6,0)/'4. Billing Determinants'!$G$41*$D11,IF($E11="Distribution Rev.",VLOOKUP(F$4,'4. Billing Determinants'!$B$19:$P$41,8,0)/'4. Billing Determinants'!$I$41*$D11, VLOOKUP(F$4,'4. Billing Determinants'!$B$19:$P$41,3,0)/'4. Billing Determinants'!$D$41*$D11))))),0)</f>
        <v>74796.991134517419</v>
      </c>
      <c r="G11" s="70">
        <f>IFERROR(IF(G$4="",0,IF($E11="kWh",VLOOKUP(G$4,'4. Billing Determinants'!$B$19:$P$41,4,0)/'4. Billing Determinants'!$E$41*$D11,IF($E11="kW",VLOOKUP(G$4,'4. Billing Determinants'!$B$19:$P$41,5,0)/'4. Billing Determinants'!$F$41*$D11,IF($E11="Non-RPP kWh",VLOOKUP(G$4,'4. Billing Determinants'!$B$19:$P$41,6,0)/'4. Billing Determinants'!$G$41*$D11,IF($E11="Distribution Rev.",VLOOKUP(G$4,'4. Billing Determinants'!$B$19:$P$41,8,0)/'4. Billing Determinants'!$I$41*$D11, VLOOKUP(G$4,'4. Billing Determinants'!$B$19:$P$41,3,0)/'4. Billing Determinants'!$D$41*$D11))))),0)</f>
        <v>40890.132523907261</v>
      </c>
      <c r="H11" s="70">
        <f>IFERROR(IF(H$4="",0,IF($E11="kWh",VLOOKUP(H$4,'4. Billing Determinants'!$B$19:$P$41,4,0)/'4. Billing Determinants'!$E$41*$D11,IF($E11="kW",VLOOKUP(H$4,'4. Billing Determinants'!$B$19:$P$41,5,0)/'4. Billing Determinants'!$F$41*$D11,IF($E11="Non-RPP kWh",VLOOKUP(H$4,'4. Billing Determinants'!$B$19:$P$41,6,0)/'4. Billing Determinants'!$G$41*$D11,IF($E11="Distribution Rev.",VLOOKUP(H$4,'4. Billing Determinants'!$B$19:$P$41,8,0)/'4. Billing Determinants'!$I$41*$D11, VLOOKUP(H$4,'4. Billing Determinants'!$B$19:$P$41,3,0)/'4. Billing Determinants'!$D$41*$D11))))),0)</f>
        <v>1449692.9994950823</v>
      </c>
      <c r="I11" s="70">
        <f>IFERROR(IF(I$4="",0,IF($E11="kWh",VLOOKUP(I$4,'4. Billing Determinants'!$B$19:$P$41,4,0)/'4. Billing Determinants'!$E$41*$D11,IF($E11="kW",VLOOKUP(I$4,'4. Billing Determinants'!$B$19:$P$41,5,0)/'4. Billing Determinants'!$F$41*$D11,IF($E11="Non-RPP kWh",VLOOKUP(I$4,'4. Billing Determinants'!$B$19:$P$41,6,0)/'4. Billing Determinants'!$G$41*$D11,IF($E11="Distribution Rev.",VLOOKUP(I$4,'4. Billing Determinants'!$B$19:$P$41,8,0)/'4. Billing Determinants'!$I$41*$D11, VLOOKUP(I$4,'4. Billing Determinants'!$B$19:$P$41,3,0)/'4. Billing Determinants'!$D$41*$D11))))),0)</f>
        <v>0</v>
      </c>
      <c r="J11" s="70">
        <f>IFERROR(IF(J$4="",0,IF($E11="kWh",VLOOKUP(J$4,'4. Billing Determinants'!$B$19:$P$41,4,0)/'4. Billing Determinants'!$E$41*$D11,IF($E11="kW",VLOOKUP(J$4,'4. Billing Determinants'!$B$19:$P$41,5,0)/'4. Billing Determinants'!$F$41*$D11,IF($E11="Non-RPP kWh",VLOOKUP(J$4,'4. Billing Determinants'!$B$19:$P$41,6,0)/'4. Billing Determinants'!$G$41*$D11,IF($E11="Distribution Rev.",VLOOKUP(J$4,'4. Billing Determinants'!$B$19:$P$41,8,0)/'4. Billing Determinants'!$I$41*$D11, VLOOKUP(J$4,'4. Billing Determinants'!$B$19:$P$41,3,0)/'4. Billing Determinants'!$D$41*$D11))))),0)</f>
        <v>118.29690292641583</v>
      </c>
      <c r="K11" s="70">
        <f>IFERROR(IF(K$4="",0,IF($E11="kWh",VLOOKUP(K$4,'4. Billing Determinants'!$B$19:$P$41,4,0)/'4. Billing Determinants'!$E$41*$D11,IF($E11="kW",VLOOKUP(K$4,'4. Billing Determinants'!$B$19:$P$41,5,0)/'4. Billing Determinants'!$F$41*$D11,IF($E11="Non-RPP kWh",VLOOKUP(K$4,'4. Billing Determinants'!$B$19:$P$41,6,0)/'4. Billing Determinants'!$G$41*$D11,IF($E11="Distribution Rev.",VLOOKUP(K$4,'4. Billing Determinants'!$B$19:$P$41,8,0)/'4. Billing Determinants'!$I$41*$D11, VLOOKUP(K$4,'4. Billing Determinants'!$B$19:$P$41,3,0)/'4. Billing Determinants'!$D$41*$D11))))),0)</f>
        <v>16962.530607565808</v>
      </c>
      <c r="L11" s="70">
        <f>IFERROR(IF(L$4="",0,IF($E11="kWh",VLOOKUP(L$4,'4. Billing Determinants'!$B$19:$P$41,4,0)/'4. Billing Determinants'!$E$41*$D11,IF($E11="kW",VLOOKUP(L$4,'4. Billing Determinants'!$B$19:$P$41,5,0)/'4. Billing Determinants'!$F$41*$D11,IF($E11="Non-RPP kWh",VLOOKUP(L$4,'4. Billing Determinants'!$B$19:$P$41,6,0)/'4. Billing Determinants'!$G$41*$D11,IF($E11="Distribution Rev.",VLOOKUP(L$4,'4. Billing Determinants'!$B$19:$P$41,8,0)/'4. Billing Determinants'!$I$41*$D11, VLOOKUP(L$4,'4. Billing Determinants'!$B$19:$P$41,3,0)/'4. Billing Determinants'!$D$41*$D11))))),0)</f>
        <v>0</v>
      </c>
      <c r="M11" s="70">
        <f>IFERROR(IF(M$4="",0,IF($E11="kWh",VLOOKUP(M$4,'4. Billing Determinants'!$B$19:$P$41,4,0)/'4. Billing Determinants'!$E$41*$D11,IF($E11="kW",VLOOKUP(M$4,'4. Billing Determinants'!$B$19:$P$41,5,0)/'4. Billing Determinants'!$F$41*$D11,IF($E11="Non-RPP kWh",VLOOKUP(M$4,'4. Billing Determinants'!$B$19:$P$41,6,0)/'4. Billing Determinants'!$G$41*$D11,IF($E11="Distribution Rev.",VLOOKUP(M$4,'4. Billing Determinants'!$B$19:$P$41,8,0)/'4. Billing Determinants'!$I$41*$D11, VLOOKUP(M$4,'4. Billing Determinants'!$B$19:$P$41,3,0)/'4. Billing Determinants'!$D$41*$D11))))),0)</f>
        <v>0</v>
      </c>
      <c r="N11" s="70">
        <f>IFERROR(IF(N$4="",0,IF($E11="kWh",VLOOKUP(N$4,'4. Billing Determinants'!$B$19:$P$41,4,0)/'4. Billing Determinants'!$E$41*$D11,IF($E11="kW",VLOOKUP(N$4,'4. Billing Determinants'!$B$19:$P$41,5,0)/'4. Billing Determinants'!$F$41*$D11,IF($E11="Non-RPP kWh",VLOOKUP(N$4,'4. Billing Determinants'!$B$19:$P$41,6,0)/'4. Billing Determinants'!$G$41*$D11,IF($E11="Distribution Rev.",VLOOKUP(N$4,'4. Billing Determinants'!$B$19:$P$41,8,0)/'4. Billing Determinants'!$I$41*$D11, VLOOKUP(N$4,'4. Billing Determinants'!$B$19:$P$41,3,0)/'4. Billing Determinants'!$D$41*$D11))))),0)</f>
        <v>0</v>
      </c>
      <c r="O11" s="70">
        <f>IFERROR(IF(O$4="",0,IF($E11="kWh",VLOOKUP(O$4,'4. Billing Determinants'!$B$19:$P$41,4,0)/'4. Billing Determinants'!$E$41*$D11,IF($E11="kW",VLOOKUP(O$4,'4. Billing Determinants'!$B$19:$P$41,5,0)/'4. Billing Determinants'!$F$41*$D11,IF($E11="Non-RPP kWh",VLOOKUP(O$4,'4. Billing Determinants'!$B$19:$P$41,6,0)/'4. Billing Determinants'!$G$41*$D11,IF($E11="Distribution Rev.",VLOOKUP(O$4,'4. Billing Determinants'!$B$19:$P$41,8,0)/'4. Billing Determinants'!$I$41*$D11, VLOOKUP(O$4,'4. Billing Determinants'!$B$19:$P$41,3,0)/'4. Billing Determinants'!$D$41*$D11))))),0)</f>
        <v>0</v>
      </c>
      <c r="P11" s="70">
        <f>IFERROR(IF(P$4="",0,IF($E11="kWh",VLOOKUP(P$4,'4. Billing Determinants'!$B$19:$P$41,4,0)/'4. Billing Determinants'!$E$41*$D11,IF($E11="kW",VLOOKUP(P$4,'4. Billing Determinants'!$B$19:$P$41,5,0)/'4. Billing Determinants'!$F$41*$D11,IF($E11="Non-RPP kWh",VLOOKUP(P$4,'4. Billing Determinants'!$B$19:$P$41,6,0)/'4. Billing Determinants'!$G$41*$D11,IF($E11="Distribution Rev.",VLOOKUP(P$4,'4. Billing Determinants'!$B$19:$P$41,8,0)/'4. Billing Determinants'!$I$41*$D11, VLOOKUP(P$4,'4. Billing Determinants'!$B$19:$P$41,3,0)/'4. Billing Determinants'!$D$41*$D11))))),0)</f>
        <v>0</v>
      </c>
      <c r="Q11" s="70">
        <f>IFERROR(IF(Q$4="",0,IF($E11="kWh",VLOOKUP(Q$4,'4. Billing Determinants'!$B$19:$P$41,4,0)/'4. Billing Determinants'!$E$41*$D11,IF($E11="kW",VLOOKUP(Q$4,'4. Billing Determinants'!$B$19:$P$41,5,0)/'4. Billing Determinants'!$F$41*$D11,IF($E11="Non-RPP kWh",VLOOKUP(Q$4,'4. Billing Determinants'!$B$19:$P$41,6,0)/'4. Billing Determinants'!$G$41*$D11,IF($E11="Distribution Rev.",VLOOKUP(Q$4,'4. Billing Determinants'!$B$19:$P$41,8,0)/'4. Billing Determinants'!$I$41*$D11, VLOOKUP(Q$4,'4. Billing Determinants'!$B$19:$P$41,3,0)/'4. Billing Determinants'!$D$41*$D11))))),0)</f>
        <v>0</v>
      </c>
      <c r="R11" s="70">
        <f>IFERROR(IF(R$4="",0,IF($E11="kWh",VLOOKUP(R$4,'4. Billing Determinants'!$B$19:$P$41,4,0)/'4. Billing Determinants'!$E$41*$D11,IF($E11="kW",VLOOKUP(R$4,'4. Billing Determinants'!$B$19:$P$41,5,0)/'4. Billing Determinants'!$F$41*$D11,IF($E11="Non-RPP kWh",VLOOKUP(R$4,'4. Billing Determinants'!$B$19:$P$41,6,0)/'4. Billing Determinants'!$G$41*$D11,IF($E11="Distribution Rev.",VLOOKUP(R$4,'4. Billing Determinants'!$B$19:$P$41,8,0)/'4. Billing Determinants'!$I$41*$D11, VLOOKUP(R$4,'4. Billing Determinants'!$B$19:$P$41,3,0)/'4. Billing Determinants'!$D$41*$D11))))),0)</f>
        <v>0</v>
      </c>
      <c r="S11" s="70">
        <f>IFERROR(IF(S$4="",0,IF($E11="kWh",VLOOKUP(S$4,'4. Billing Determinants'!$B$19:$P$41,4,0)/'4. Billing Determinants'!$E$41*$D11,IF($E11="kW",VLOOKUP(S$4,'4. Billing Determinants'!$B$19:$P$41,5,0)/'4. Billing Determinants'!$F$41*$D11,IF($E11="Non-RPP kWh",VLOOKUP(S$4,'4. Billing Determinants'!$B$19:$P$41,6,0)/'4. Billing Determinants'!$G$41*$D11,IF($E11="Distribution Rev.",VLOOKUP(S$4,'4. Billing Determinants'!$B$19:$P$41,8,0)/'4. Billing Determinants'!$I$41*$D11, VLOOKUP(S$4,'4. Billing Determinants'!$B$19:$P$41,3,0)/'4. Billing Determinants'!$D$41*$D11))))),0)</f>
        <v>0</v>
      </c>
      <c r="T11" s="70">
        <f>IFERROR(IF(T$4="",0,IF($E11="kWh",VLOOKUP(T$4,'4. Billing Determinants'!$B$19:$P$41,4,0)/'4. Billing Determinants'!$E$41*$D11,IF($E11="kW",VLOOKUP(T$4,'4. Billing Determinants'!$B$19:$P$41,5,0)/'4. Billing Determinants'!$F$41*$D11,IF($E11="Non-RPP kWh",VLOOKUP(T$4,'4. Billing Determinants'!$B$19:$P$41,6,0)/'4. Billing Determinants'!$G$41*$D11,IF($E11="Distribution Rev.",VLOOKUP(T$4,'4. Billing Determinants'!$B$19:$P$41,8,0)/'4. Billing Determinants'!$I$41*$D11, VLOOKUP(T$4,'4. Billing Determinants'!$B$19:$P$41,3,0)/'4. Billing Determinants'!$D$41*$D11))))),0)</f>
        <v>0</v>
      </c>
      <c r="U11" s="70">
        <f>IFERROR(IF(U$4="",0,IF($E11="kWh",VLOOKUP(U$4,'4. Billing Determinants'!$B$19:$P$41,4,0)/'4. Billing Determinants'!$E$41*$D11,IF($E11="kW",VLOOKUP(U$4,'4. Billing Determinants'!$B$19:$P$41,5,0)/'4. Billing Determinants'!$F$41*$D11,IF($E11="Non-RPP kWh",VLOOKUP(U$4,'4. Billing Determinants'!$B$19:$P$41,6,0)/'4. Billing Determinants'!$G$41*$D11,IF($E11="Distribution Rev.",VLOOKUP(U$4,'4. Billing Determinants'!$B$19:$P$41,8,0)/'4. Billing Determinants'!$I$41*$D11, VLOOKUP(U$4,'4. Billing Determinants'!$B$19:$P$41,3,0)/'4. Billing Determinants'!$D$41*$D11))))),0)</f>
        <v>0</v>
      </c>
      <c r="V11" s="70">
        <f>IFERROR(IF(V$4="",0,IF($E11="kWh",VLOOKUP(V$4,'4. Billing Determinants'!$B$19:$P$41,4,0)/'4. Billing Determinants'!$E$41*$D11,IF($E11="kW",VLOOKUP(V$4,'4. Billing Determinants'!$B$19:$P$41,5,0)/'4. Billing Determinants'!$F$41*$D11,IF($E11="Non-RPP kWh",VLOOKUP(V$4,'4. Billing Determinants'!$B$19:$P$41,6,0)/'4. Billing Determinants'!$G$41*$D11,IF($E11="Distribution Rev.",VLOOKUP(V$4,'4. Billing Determinants'!$B$19:$P$41,8,0)/'4. Billing Determinants'!$I$41*$D11, VLOOKUP(V$4,'4. Billing Determinants'!$B$19:$P$41,3,0)/'4. Billing Determinants'!$D$41*$D11))))),0)</f>
        <v>0</v>
      </c>
      <c r="W11" s="70">
        <f>IFERROR(IF(W$4="",0,IF($E11="kWh",VLOOKUP(W$4,'4. Billing Determinants'!$B$19:$P$41,4,0)/'4. Billing Determinants'!$E$41*$D11,IF($E11="kW",VLOOKUP(W$4,'4. Billing Determinants'!$B$19:$P$41,5,0)/'4. Billing Determinants'!$F$41*$D11,IF($E11="Non-RPP kWh",VLOOKUP(W$4,'4. Billing Determinants'!$B$19:$P$41,6,0)/'4. Billing Determinants'!$G$41*$D11,IF($E11="Distribution Rev.",VLOOKUP(W$4,'4. Billing Determinants'!$B$19:$P$41,8,0)/'4. Billing Determinants'!$I$41*$D11, VLOOKUP(W$4,'4. Billing Determinants'!$B$19:$P$41,3,0)/'4. Billing Determinants'!$D$41*$D11))))),0)</f>
        <v>0</v>
      </c>
      <c r="X11" s="70">
        <f>IFERROR(IF(X$4="",0,IF($E11="kWh",VLOOKUP(X$4,'4. Billing Determinants'!$B$19:$P$41,4,0)/'4. Billing Determinants'!$E$41*$D11,IF($E11="kW",VLOOKUP(X$4,'4. Billing Determinants'!$B$19:$P$41,5,0)/'4. Billing Determinants'!$F$41*$D11,IF($E11="Non-RPP kWh",VLOOKUP(X$4,'4. Billing Determinants'!$B$19:$P$41,6,0)/'4. Billing Determinants'!$G$41*$D11,IF($E11="Distribution Rev.",VLOOKUP(X$4,'4. Billing Determinants'!$B$19:$P$41,8,0)/'4. Billing Determinants'!$I$41*$D11, VLOOKUP(X$4,'4. Billing Determinants'!$B$19:$P$41,3,0)/'4. Billing Determinants'!$D$41*$D11))))),0)</f>
        <v>0</v>
      </c>
      <c r="Y11" s="70">
        <f>IFERROR(IF(Y$4="",0,IF($E11="kWh",VLOOKUP(Y$4,'4. Billing Determinants'!$B$19:$P$41,4,0)/'4. Billing Determinants'!$E$41*$D11,IF($E11="kW",VLOOKUP(Y$4,'4. Billing Determinants'!$B$19:$P$41,5,0)/'4. Billing Determinants'!$F$41*$D11,IF($E11="Non-RPP kWh",VLOOKUP(Y$4,'4. Billing Determinants'!$B$19:$P$41,6,0)/'4. Billing Determinants'!$G$41*$D11,IF($E11="Distribution Rev.",VLOOKUP(Y$4,'4. Billing Determinants'!$B$19:$P$41,8,0)/'4. Billing Determinants'!$I$41*$D11, VLOOKUP(Y$4,'4. Billing Determinants'!$B$19:$P$41,3,0)/'4. Billing Determinants'!$D$41*$D11))))),0)</f>
        <v>0</v>
      </c>
    </row>
    <row r="12" spans="2:25" x14ac:dyDescent="0.2">
      <c r="B12" s="72" t="s">
        <v>108</v>
      </c>
      <c r="C12" s="69">
        <v>1595</v>
      </c>
      <c r="D12" s="70">
        <f>'2. 2014 Continuity Schedule'!BO31</f>
        <v>0</v>
      </c>
      <c r="E12" s="130"/>
      <c r="F12" s="70">
        <f>IFERROR(IF(F$4="",0,IF($E12="kWh",VLOOKUP(F$4,'4. Billing Determinants'!$B$19:$P$41,4,0)/'4. Billing Determinants'!$E$41*$D12,IF($E12="kW",VLOOKUP(F$4,'4. Billing Determinants'!$B$19:$P$41,5,0)/'4. Billing Determinants'!$F$41*$D12,IF($E12="Non-RPP kWh",VLOOKUP(F$4,'4. Billing Determinants'!$B$19:$P$41,6,0)/'4. Billing Determinants'!$G$41*$D12,IF($E12="Distribution Rev.",VLOOKUP(F$4,'4. Billing Determinants'!$B$19:$P$41,8,0)/'4. Billing Determinants'!$I$41*$D12, VLOOKUP(F$4,'4. Billing Determinants'!$B$19:$P$41,3,0)/'4. Billing Determinants'!$D$41*$D12))))),0)</f>
        <v>0</v>
      </c>
      <c r="G12" s="70">
        <f>IFERROR(IF(G$4="",0,IF($E12="kWh",VLOOKUP(G$4,'4. Billing Determinants'!$B$19:$P$41,4,0)/'4. Billing Determinants'!$E$41*$D12,IF($E12="kW",VLOOKUP(G$4,'4. Billing Determinants'!$B$19:$P$41,5,0)/'4. Billing Determinants'!$F$41*$D12,IF($E12="Non-RPP kWh",VLOOKUP(G$4,'4. Billing Determinants'!$B$19:$P$41,6,0)/'4. Billing Determinants'!$G$41*$D12,IF($E12="Distribution Rev.",VLOOKUP(G$4,'4. Billing Determinants'!$B$19:$P$41,8,0)/'4. Billing Determinants'!$I$41*$D12, VLOOKUP(G$4,'4. Billing Determinants'!$B$19:$P$41,3,0)/'4. Billing Determinants'!$D$41*$D12))))),0)</f>
        <v>0</v>
      </c>
      <c r="H12" s="70">
        <f>IFERROR(IF(H$4="",0,IF($E12="kWh",VLOOKUP(H$4,'4. Billing Determinants'!$B$19:$P$41,4,0)/'4. Billing Determinants'!$E$41*$D12,IF($E12="kW",VLOOKUP(H$4,'4. Billing Determinants'!$B$19:$P$41,5,0)/'4. Billing Determinants'!$F$41*$D12,IF($E12="Non-RPP kWh",VLOOKUP(H$4,'4. Billing Determinants'!$B$19:$P$41,6,0)/'4. Billing Determinants'!$G$41*$D12,IF($E12="Distribution Rev.",VLOOKUP(H$4,'4. Billing Determinants'!$B$19:$P$41,8,0)/'4. Billing Determinants'!$I$41*$D12, VLOOKUP(H$4,'4. Billing Determinants'!$B$19:$P$41,3,0)/'4. Billing Determinants'!$D$41*$D12))))),0)</f>
        <v>0</v>
      </c>
      <c r="I12" s="70">
        <f>IFERROR(IF(I$4="",0,IF($E12="kWh",VLOOKUP(I$4,'4. Billing Determinants'!$B$19:$P$41,4,0)/'4. Billing Determinants'!$E$41*$D12,IF($E12="kW",VLOOKUP(I$4,'4. Billing Determinants'!$B$19:$P$41,5,0)/'4. Billing Determinants'!$F$41*$D12,IF($E12="Non-RPP kWh",VLOOKUP(I$4,'4. Billing Determinants'!$B$19:$P$41,6,0)/'4. Billing Determinants'!$G$41*$D12,IF($E12="Distribution Rev.",VLOOKUP(I$4,'4. Billing Determinants'!$B$19:$P$41,8,0)/'4. Billing Determinants'!$I$41*$D12, VLOOKUP(I$4,'4. Billing Determinants'!$B$19:$P$41,3,0)/'4. Billing Determinants'!$D$41*$D12))))),0)</f>
        <v>0</v>
      </c>
      <c r="J12" s="70">
        <f>IFERROR(IF(J$4="",0,IF($E12="kWh",VLOOKUP(J$4,'4. Billing Determinants'!$B$19:$P$41,4,0)/'4. Billing Determinants'!$E$41*$D12,IF($E12="kW",VLOOKUP(J$4,'4. Billing Determinants'!$B$19:$P$41,5,0)/'4. Billing Determinants'!$F$41*$D12,IF($E12="Non-RPP kWh",VLOOKUP(J$4,'4. Billing Determinants'!$B$19:$P$41,6,0)/'4. Billing Determinants'!$G$41*$D12,IF($E12="Distribution Rev.",VLOOKUP(J$4,'4. Billing Determinants'!$B$19:$P$41,8,0)/'4. Billing Determinants'!$I$41*$D12, VLOOKUP(J$4,'4. Billing Determinants'!$B$19:$P$41,3,0)/'4. Billing Determinants'!$D$41*$D12))))),0)</f>
        <v>0</v>
      </c>
      <c r="K12" s="70">
        <f>IFERROR(IF(K$4="",0,IF($E12="kWh",VLOOKUP(K$4,'4. Billing Determinants'!$B$19:$P$41,4,0)/'4. Billing Determinants'!$E$41*$D12,IF($E12="kW",VLOOKUP(K$4,'4. Billing Determinants'!$B$19:$P$41,5,0)/'4. Billing Determinants'!$F$41*$D12,IF($E12="Non-RPP kWh",VLOOKUP(K$4,'4. Billing Determinants'!$B$19:$P$41,6,0)/'4. Billing Determinants'!$G$41*$D12,IF($E12="Distribution Rev.",VLOOKUP(K$4,'4. Billing Determinants'!$B$19:$P$41,8,0)/'4. Billing Determinants'!$I$41*$D12, VLOOKUP(K$4,'4. Billing Determinants'!$B$19:$P$41,3,0)/'4. Billing Determinants'!$D$41*$D12))))),0)</f>
        <v>0</v>
      </c>
      <c r="L12" s="70">
        <f>IFERROR(IF(L$4="",0,IF($E12="kWh",VLOOKUP(L$4,'4. Billing Determinants'!$B$19:$P$41,4,0)/'4. Billing Determinants'!$E$41*$D12,IF($E12="kW",VLOOKUP(L$4,'4. Billing Determinants'!$B$19:$P$41,5,0)/'4. Billing Determinants'!$F$41*$D12,IF($E12="Non-RPP kWh",VLOOKUP(L$4,'4. Billing Determinants'!$B$19:$P$41,6,0)/'4. Billing Determinants'!$G$41*$D12,IF($E12="Distribution Rev.",VLOOKUP(L$4,'4. Billing Determinants'!$B$19:$P$41,8,0)/'4. Billing Determinants'!$I$41*$D12, VLOOKUP(L$4,'4. Billing Determinants'!$B$19:$P$41,3,0)/'4. Billing Determinants'!$D$41*$D12))))),0)</f>
        <v>0</v>
      </c>
      <c r="M12" s="70">
        <f>IFERROR(IF(M$4="",0,IF($E12="kWh",VLOOKUP(M$4,'4. Billing Determinants'!$B$19:$P$41,4,0)/'4. Billing Determinants'!$E$41*$D12,IF($E12="kW",VLOOKUP(M$4,'4. Billing Determinants'!$B$19:$P$41,5,0)/'4. Billing Determinants'!$F$41*$D12,IF($E12="Non-RPP kWh",VLOOKUP(M$4,'4. Billing Determinants'!$B$19:$P$41,6,0)/'4. Billing Determinants'!$G$41*$D12,IF($E12="Distribution Rev.",VLOOKUP(M$4,'4. Billing Determinants'!$B$19:$P$41,8,0)/'4. Billing Determinants'!$I$41*$D12, VLOOKUP(M$4,'4. Billing Determinants'!$B$19:$P$41,3,0)/'4. Billing Determinants'!$D$41*$D12))))),0)</f>
        <v>0</v>
      </c>
      <c r="N12" s="70">
        <f>IFERROR(IF(N$4="",0,IF($E12="kWh",VLOOKUP(N$4,'4. Billing Determinants'!$B$19:$P$41,4,0)/'4. Billing Determinants'!$E$41*$D12,IF($E12="kW",VLOOKUP(N$4,'4. Billing Determinants'!$B$19:$P$41,5,0)/'4. Billing Determinants'!$F$41*$D12,IF($E12="Non-RPP kWh",VLOOKUP(N$4,'4. Billing Determinants'!$B$19:$P$41,6,0)/'4. Billing Determinants'!$G$41*$D12,IF($E12="Distribution Rev.",VLOOKUP(N$4,'4. Billing Determinants'!$B$19:$P$41,8,0)/'4. Billing Determinants'!$I$41*$D12, VLOOKUP(N$4,'4. Billing Determinants'!$B$19:$P$41,3,0)/'4. Billing Determinants'!$D$41*$D12))))),0)</f>
        <v>0</v>
      </c>
      <c r="O12" s="70">
        <f>IFERROR(IF(O$4="",0,IF($E12="kWh",VLOOKUP(O$4,'4. Billing Determinants'!$B$19:$P$41,4,0)/'4. Billing Determinants'!$E$41*$D12,IF($E12="kW",VLOOKUP(O$4,'4. Billing Determinants'!$B$19:$P$41,5,0)/'4. Billing Determinants'!$F$41*$D12,IF($E12="Non-RPP kWh",VLOOKUP(O$4,'4. Billing Determinants'!$B$19:$P$41,6,0)/'4. Billing Determinants'!$G$41*$D12,IF($E12="Distribution Rev.",VLOOKUP(O$4,'4. Billing Determinants'!$B$19:$P$41,8,0)/'4. Billing Determinants'!$I$41*$D12, VLOOKUP(O$4,'4. Billing Determinants'!$B$19:$P$41,3,0)/'4. Billing Determinants'!$D$41*$D12))))),0)</f>
        <v>0</v>
      </c>
      <c r="P12" s="70">
        <f>IFERROR(IF(P$4="",0,IF($E12="kWh",VLOOKUP(P$4,'4. Billing Determinants'!$B$19:$P$41,4,0)/'4. Billing Determinants'!$E$41*$D12,IF($E12="kW",VLOOKUP(P$4,'4. Billing Determinants'!$B$19:$P$41,5,0)/'4. Billing Determinants'!$F$41*$D12,IF($E12="Non-RPP kWh",VLOOKUP(P$4,'4. Billing Determinants'!$B$19:$P$41,6,0)/'4. Billing Determinants'!$G$41*$D12,IF($E12="Distribution Rev.",VLOOKUP(P$4,'4. Billing Determinants'!$B$19:$P$41,8,0)/'4. Billing Determinants'!$I$41*$D12, VLOOKUP(P$4,'4. Billing Determinants'!$B$19:$P$41,3,0)/'4. Billing Determinants'!$D$41*$D12))))),0)</f>
        <v>0</v>
      </c>
      <c r="Q12" s="70">
        <f>IFERROR(IF(Q$4="",0,IF($E12="kWh",VLOOKUP(Q$4,'4. Billing Determinants'!$B$19:$P$41,4,0)/'4. Billing Determinants'!$E$41*$D12,IF($E12="kW",VLOOKUP(Q$4,'4. Billing Determinants'!$B$19:$P$41,5,0)/'4. Billing Determinants'!$F$41*$D12,IF($E12="Non-RPP kWh",VLOOKUP(Q$4,'4. Billing Determinants'!$B$19:$P$41,6,0)/'4. Billing Determinants'!$G$41*$D12,IF($E12="Distribution Rev.",VLOOKUP(Q$4,'4. Billing Determinants'!$B$19:$P$41,8,0)/'4. Billing Determinants'!$I$41*$D12, VLOOKUP(Q$4,'4. Billing Determinants'!$B$19:$P$41,3,0)/'4. Billing Determinants'!$D$41*$D12))))),0)</f>
        <v>0</v>
      </c>
      <c r="R12" s="70">
        <f>IFERROR(IF(R$4="",0,IF($E12="kWh",VLOOKUP(R$4,'4. Billing Determinants'!$B$19:$P$41,4,0)/'4. Billing Determinants'!$E$41*$D12,IF($E12="kW",VLOOKUP(R$4,'4. Billing Determinants'!$B$19:$P$41,5,0)/'4. Billing Determinants'!$F$41*$D12,IF($E12="Non-RPP kWh",VLOOKUP(R$4,'4. Billing Determinants'!$B$19:$P$41,6,0)/'4. Billing Determinants'!$G$41*$D12,IF($E12="Distribution Rev.",VLOOKUP(R$4,'4. Billing Determinants'!$B$19:$P$41,8,0)/'4. Billing Determinants'!$I$41*$D12, VLOOKUP(R$4,'4. Billing Determinants'!$B$19:$P$41,3,0)/'4. Billing Determinants'!$D$41*$D12))))),0)</f>
        <v>0</v>
      </c>
      <c r="S12" s="70">
        <f>IFERROR(IF(S$4="",0,IF($E12="kWh",VLOOKUP(S$4,'4. Billing Determinants'!$B$19:$P$41,4,0)/'4. Billing Determinants'!$E$41*$D12,IF($E12="kW",VLOOKUP(S$4,'4. Billing Determinants'!$B$19:$P$41,5,0)/'4. Billing Determinants'!$F$41*$D12,IF($E12="Non-RPP kWh",VLOOKUP(S$4,'4. Billing Determinants'!$B$19:$P$41,6,0)/'4. Billing Determinants'!$G$41*$D12,IF($E12="Distribution Rev.",VLOOKUP(S$4,'4. Billing Determinants'!$B$19:$P$41,8,0)/'4. Billing Determinants'!$I$41*$D12, VLOOKUP(S$4,'4. Billing Determinants'!$B$19:$P$41,3,0)/'4. Billing Determinants'!$D$41*$D12))))),0)</f>
        <v>0</v>
      </c>
      <c r="T12" s="70">
        <f>IFERROR(IF(T$4="",0,IF($E12="kWh",VLOOKUP(T$4,'4. Billing Determinants'!$B$19:$P$41,4,0)/'4. Billing Determinants'!$E$41*$D12,IF($E12="kW",VLOOKUP(T$4,'4. Billing Determinants'!$B$19:$P$41,5,0)/'4. Billing Determinants'!$F$41*$D12,IF($E12="Non-RPP kWh",VLOOKUP(T$4,'4. Billing Determinants'!$B$19:$P$41,6,0)/'4. Billing Determinants'!$G$41*$D12,IF($E12="Distribution Rev.",VLOOKUP(T$4,'4. Billing Determinants'!$B$19:$P$41,8,0)/'4. Billing Determinants'!$I$41*$D12, VLOOKUP(T$4,'4. Billing Determinants'!$B$19:$P$41,3,0)/'4. Billing Determinants'!$D$41*$D12))))),0)</f>
        <v>0</v>
      </c>
      <c r="U12" s="70">
        <f>IFERROR(IF(U$4="",0,IF($E12="kWh",VLOOKUP(U$4,'4. Billing Determinants'!$B$19:$P$41,4,0)/'4. Billing Determinants'!$E$41*$D12,IF($E12="kW",VLOOKUP(U$4,'4. Billing Determinants'!$B$19:$P$41,5,0)/'4. Billing Determinants'!$F$41*$D12,IF($E12="Non-RPP kWh",VLOOKUP(U$4,'4. Billing Determinants'!$B$19:$P$41,6,0)/'4. Billing Determinants'!$G$41*$D12,IF($E12="Distribution Rev.",VLOOKUP(U$4,'4. Billing Determinants'!$B$19:$P$41,8,0)/'4. Billing Determinants'!$I$41*$D12, VLOOKUP(U$4,'4. Billing Determinants'!$B$19:$P$41,3,0)/'4. Billing Determinants'!$D$41*$D12))))),0)</f>
        <v>0</v>
      </c>
      <c r="V12" s="70">
        <f>IFERROR(IF(V$4="",0,IF($E12="kWh",VLOOKUP(V$4,'4. Billing Determinants'!$B$19:$P$41,4,0)/'4. Billing Determinants'!$E$41*$D12,IF($E12="kW",VLOOKUP(V$4,'4. Billing Determinants'!$B$19:$P$41,5,0)/'4. Billing Determinants'!$F$41*$D12,IF($E12="Non-RPP kWh",VLOOKUP(V$4,'4. Billing Determinants'!$B$19:$P$41,6,0)/'4. Billing Determinants'!$G$41*$D12,IF($E12="Distribution Rev.",VLOOKUP(V$4,'4. Billing Determinants'!$B$19:$P$41,8,0)/'4. Billing Determinants'!$I$41*$D12, VLOOKUP(V$4,'4. Billing Determinants'!$B$19:$P$41,3,0)/'4. Billing Determinants'!$D$41*$D12))))),0)</f>
        <v>0</v>
      </c>
      <c r="W12" s="70">
        <f>IFERROR(IF(W$4="",0,IF($E12="kWh",VLOOKUP(W$4,'4. Billing Determinants'!$B$19:$P$41,4,0)/'4. Billing Determinants'!$E$41*$D12,IF($E12="kW",VLOOKUP(W$4,'4. Billing Determinants'!$B$19:$P$41,5,0)/'4. Billing Determinants'!$F$41*$D12,IF($E12="Non-RPP kWh",VLOOKUP(W$4,'4. Billing Determinants'!$B$19:$P$41,6,0)/'4. Billing Determinants'!$G$41*$D12,IF($E12="Distribution Rev.",VLOOKUP(W$4,'4. Billing Determinants'!$B$19:$P$41,8,0)/'4. Billing Determinants'!$I$41*$D12, VLOOKUP(W$4,'4. Billing Determinants'!$B$19:$P$41,3,0)/'4. Billing Determinants'!$D$41*$D12))))),0)</f>
        <v>0</v>
      </c>
      <c r="X12" s="70">
        <f>IFERROR(IF(X$4="",0,IF($E12="kWh",VLOOKUP(X$4,'4. Billing Determinants'!$B$19:$P$41,4,0)/'4. Billing Determinants'!$E$41*$D12,IF($E12="kW",VLOOKUP(X$4,'4. Billing Determinants'!$B$19:$P$41,5,0)/'4. Billing Determinants'!$F$41*$D12,IF($E12="Non-RPP kWh",VLOOKUP(X$4,'4. Billing Determinants'!$B$19:$P$41,6,0)/'4. Billing Determinants'!$G$41*$D12,IF($E12="Distribution Rev.",VLOOKUP(X$4,'4. Billing Determinants'!$B$19:$P$41,8,0)/'4. Billing Determinants'!$I$41*$D12, VLOOKUP(X$4,'4. Billing Determinants'!$B$19:$P$41,3,0)/'4. Billing Determinants'!$D$41*$D12))))),0)</f>
        <v>0</v>
      </c>
      <c r="Y12" s="70">
        <f>IFERROR(IF(Y$4="",0,IF($E12="kWh",VLOOKUP(Y$4,'4. Billing Determinants'!$B$19:$P$41,4,0)/'4. Billing Determinants'!$E$41*$D12,IF($E12="kW",VLOOKUP(Y$4,'4. Billing Determinants'!$B$19:$P$41,5,0)/'4. Billing Determinants'!$F$41*$D12,IF($E12="Non-RPP kWh",VLOOKUP(Y$4,'4. Billing Determinants'!$B$19:$P$41,6,0)/'4. Billing Determinants'!$G$41*$D12,IF($E12="Distribution Rev.",VLOOKUP(Y$4,'4. Billing Determinants'!$B$19:$P$41,8,0)/'4. Billing Determinants'!$I$41*$D12, VLOOKUP(Y$4,'4. Billing Determinants'!$B$19:$P$41,3,0)/'4. Billing Determinants'!$D$41*$D12))))),0)</f>
        <v>0</v>
      </c>
    </row>
    <row r="13" spans="2:25" x14ac:dyDescent="0.2">
      <c r="B13" s="72" t="s">
        <v>109</v>
      </c>
      <c r="C13" s="69">
        <v>1595</v>
      </c>
      <c r="D13" s="70">
        <f>'2. 2014 Continuity Schedule'!BO32</f>
        <v>0</v>
      </c>
      <c r="E13" s="130"/>
      <c r="F13" s="70">
        <f>IFERROR(IF(F$4="",0,IF($E13="kWh",VLOOKUP(F$4,'4. Billing Determinants'!$B$19:$P$41,4,0)/'4. Billing Determinants'!$E$41*$D13,IF($E13="kW",VLOOKUP(F$4,'4. Billing Determinants'!$B$19:$P$41,5,0)/'4. Billing Determinants'!$F$41*$D13,IF($E13="Non-RPP kWh",VLOOKUP(F$4,'4. Billing Determinants'!$B$19:$P$41,6,0)/'4. Billing Determinants'!$G$41*$D13,IF($E13="Distribution Rev.",VLOOKUP(F$4,'4. Billing Determinants'!$B$19:$P$41,8,0)/'4. Billing Determinants'!$I$41*$D13, VLOOKUP(F$4,'4. Billing Determinants'!$B$19:$P$41,3,0)/'4. Billing Determinants'!$D$41*$D13))))),0)</f>
        <v>0</v>
      </c>
      <c r="G13" s="70">
        <f>IFERROR(IF(G$4="",0,IF($E13="kWh",VLOOKUP(G$4,'4. Billing Determinants'!$B$19:$P$41,4,0)/'4. Billing Determinants'!$E$41*$D13,IF($E13="kW",VLOOKUP(G$4,'4. Billing Determinants'!$B$19:$P$41,5,0)/'4. Billing Determinants'!$F$41*$D13,IF($E13="Non-RPP kWh",VLOOKUP(G$4,'4. Billing Determinants'!$B$19:$P$41,6,0)/'4. Billing Determinants'!$G$41*$D13,IF($E13="Distribution Rev.",VLOOKUP(G$4,'4. Billing Determinants'!$B$19:$P$41,8,0)/'4. Billing Determinants'!$I$41*$D13, VLOOKUP(G$4,'4. Billing Determinants'!$B$19:$P$41,3,0)/'4. Billing Determinants'!$D$41*$D13))))),0)</f>
        <v>0</v>
      </c>
      <c r="H13" s="70">
        <f>IFERROR(IF(H$4="",0,IF($E13="kWh",VLOOKUP(H$4,'4. Billing Determinants'!$B$19:$P$41,4,0)/'4. Billing Determinants'!$E$41*$D13,IF($E13="kW",VLOOKUP(H$4,'4. Billing Determinants'!$B$19:$P$41,5,0)/'4. Billing Determinants'!$F$41*$D13,IF($E13="Non-RPP kWh",VLOOKUP(H$4,'4. Billing Determinants'!$B$19:$P$41,6,0)/'4. Billing Determinants'!$G$41*$D13,IF($E13="Distribution Rev.",VLOOKUP(H$4,'4. Billing Determinants'!$B$19:$P$41,8,0)/'4. Billing Determinants'!$I$41*$D13, VLOOKUP(H$4,'4. Billing Determinants'!$B$19:$P$41,3,0)/'4. Billing Determinants'!$D$41*$D13))))),0)</f>
        <v>0</v>
      </c>
      <c r="I13" s="70">
        <f>IFERROR(IF(I$4="",0,IF($E13="kWh",VLOOKUP(I$4,'4. Billing Determinants'!$B$19:$P$41,4,0)/'4. Billing Determinants'!$E$41*$D13,IF($E13="kW",VLOOKUP(I$4,'4. Billing Determinants'!$B$19:$P$41,5,0)/'4. Billing Determinants'!$F$41*$D13,IF($E13="Non-RPP kWh",VLOOKUP(I$4,'4. Billing Determinants'!$B$19:$P$41,6,0)/'4. Billing Determinants'!$G$41*$D13,IF($E13="Distribution Rev.",VLOOKUP(I$4,'4. Billing Determinants'!$B$19:$P$41,8,0)/'4. Billing Determinants'!$I$41*$D13, VLOOKUP(I$4,'4. Billing Determinants'!$B$19:$P$41,3,0)/'4. Billing Determinants'!$D$41*$D13))))),0)</f>
        <v>0</v>
      </c>
      <c r="J13" s="70">
        <f>IFERROR(IF(J$4="",0,IF($E13="kWh",VLOOKUP(J$4,'4. Billing Determinants'!$B$19:$P$41,4,0)/'4. Billing Determinants'!$E$41*$D13,IF($E13="kW",VLOOKUP(J$4,'4. Billing Determinants'!$B$19:$P$41,5,0)/'4. Billing Determinants'!$F$41*$D13,IF($E13="Non-RPP kWh",VLOOKUP(J$4,'4. Billing Determinants'!$B$19:$P$41,6,0)/'4. Billing Determinants'!$G$41*$D13,IF($E13="Distribution Rev.",VLOOKUP(J$4,'4. Billing Determinants'!$B$19:$P$41,8,0)/'4. Billing Determinants'!$I$41*$D13, VLOOKUP(J$4,'4. Billing Determinants'!$B$19:$P$41,3,0)/'4. Billing Determinants'!$D$41*$D13))))),0)</f>
        <v>0</v>
      </c>
      <c r="K13" s="70">
        <f>IFERROR(IF(K$4="",0,IF($E13="kWh",VLOOKUP(K$4,'4. Billing Determinants'!$B$19:$P$41,4,0)/'4. Billing Determinants'!$E$41*$D13,IF($E13="kW",VLOOKUP(K$4,'4. Billing Determinants'!$B$19:$P$41,5,0)/'4. Billing Determinants'!$F$41*$D13,IF($E13="Non-RPP kWh",VLOOKUP(K$4,'4. Billing Determinants'!$B$19:$P$41,6,0)/'4. Billing Determinants'!$G$41*$D13,IF($E13="Distribution Rev.",VLOOKUP(K$4,'4. Billing Determinants'!$B$19:$P$41,8,0)/'4. Billing Determinants'!$I$41*$D13, VLOOKUP(K$4,'4. Billing Determinants'!$B$19:$P$41,3,0)/'4. Billing Determinants'!$D$41*$D13))))),0)</f>
        <v>0</v>
      </c>
      <c r="L13" s="70">
        <f>IFERROR(IF(L$4="",0,IF($E13="kWh",VLOOKUP(L$4,'4. Billing Determinants'!$B$19:$P$41,4,0)/'4. Billing Determinants'!$E$41*$D13,IF($E13="kW",VLOOKUP(L$4,'4. Billing Determinants'!$B$19:$P$41,5,0)/'4. Billing Determinants'!$F$41*$D13,IF($E13="Non-RPP kWh",VLOOKUP(L$4,'4. Billing Determinants'!$B$19:$P$41,6,0)/'4. Billing Determinants'!$G$41*$D13,IF($E13="Distribution Rev.",VLOOKUP(L$4,'4. Billing Determinants'!$B$19:$P$41,8,0)/'4. Billing Determinants'!$I$41*$D13, VLOOKUP(L$4,'4. Billing Determinants'!$B$19:$P$41,3,0)/'4. Billing Determinants'!$D$41*$D13))))),0)</f>
        <v>0</v>
      </c>
      <c r="M13" s="70">
        <f>IFERROR(IF(M$4="",0,IF($E13="kWh",VLOOKUP(M$4,'4. Billing Determinants'!$B$19:$P$41,4,0)/'4. Billing Determinants'!$E$41*$D13,IF($E13="kW",VLOOKUP(M$4,'4. Billing Determinants'!$B$19:$P$41,5,0)/'4. Billing Determinants'!$F$41*$D13,IF($E13="Non-RPP kWh",VLOOKUP(M$4,'4. Billing Determinants'!$B$19:$P$41,6,0)/'4. Billing Determinants'!$G$41*$D13,IF($E13="Distribution Rev.",VLOOKUP(M$4,'4. Billing Determinants'!$B$19:$P$41,8,0)/'4. Billing Determinants'!$I$41*$D13, VLOOKUP(M$4,'4. Billing Determinants'!$B$19:$P$41,3,0)/'4. Billing Determinants'!$D$41*$D13))))),0)</f>
        <v>0</v>
      </c>
      <c r="N13" s="70">
        <f>IFERROR(IF(N$4="",0,IF($E13="kWh",VLOOKUP(N$4,'4. Billing Determinants'!$B$19:$P$41,4,0)/'4. Billing Determinants'!$E$41*$D13,IF($E13="kW",VLOOKUP(N$4,'4. Billing Determinants'!$B$19:$P$41,5,0)/'4. Billing Determinants'!$F$41*$D13,IF($E13="Non-RPP kWh",VLOOKUP(N$4,'4. Billing Determinants'!$B$19:$P$41,6,0)/'4. Billing Determinants'!$G$41*$D13,IF($E13="Distribution Rev.",VLOOKUP(N$4,'4. Billing Determinants'!$B$19:$P$41,8,0)/'4. Billing Determinants'!$I$41*$D13, VLOOKUP(N$4,'4. Billing Determinants'!$B$19:$P$41,3,0)/'4. Billing Determinants'!$D$41*$D13))))),0)</f>
        <v>0</v>
      </c>
      <c r="O13" s="70">
        <f>IFERROR(IF(O$4="",0,IF($E13="kWh",VLOOKUP(O$4,'4. Billing Determinants'!$B$19:$P$41,4,0)/'4. Billing Determinants'!$E$41*$D13,IF($E13="kW",VLOOKUP(O$4,'4. Billing Determinants'!$B$19:$P$41,5,0)/'4. Billing Determinants'!$F$41*$D13,IF($E13="Non-RPP kWh",VLOOKUP(O$4,'4. Billing Determinants'!$B$19:$P$41,6,0)/'4. Billing Determinants'!$G$41*$D13,IF($E13="Distribution Rev.",VLOOKUP(O$4,'4. Billing Determinants'!$B$19:$P$41,8,0)/'4. Billing Determinants'!$I$41*$D13, VLOOKUP(O$4,'4. Billing Determinants'!$B$19:$P$41,3,0)/'4. Billing Determinants'!$D$41*$D13))))),0)</f>
        <v>0</v>
      </c>
      <c r="P13" s="70">
        <f>IFERROR(IF(P$4="",0,IF($E13="kWh",VLOOKUP(P$4,'4. Billing Determinants'!$B$19:$P$41,4,0)/'4. Billing Determinants'!$E$41*$D13,IF($E13="kW",VLOOKUP(P$4,'4. Billing Determinants'!$B$19:$P$41,5,0)/'4. Billing Determinants'!$F$41*$D13,IF($E13="Non-RPP kWh",VLOOKUP(P$4,'4. Billing Determinants'!$B$19:$P$41,6,0)/'4. Billing Determinants'!$G$41*$D13,IF($E13="Distribution Rev.",VLOOKUP(P$4,'4. Billing Determinants'!$B$19:$P$41,8,0)/'4. Billing Determinants'!$I$41*$D13, VLOOKUP(P$4,'4. Billing Determinants'!$B$19:$P$41,3,0)/'4. Billing Determinants'!$D$41*$D13))))),0)</f>
        <v>0</v>
      </c>
      <c r="Q13" s="70">
        <f>IFERROR(IF(Q$4="",0,IF($E13="kWh",VLOOKUP(Q$4,'4. Billing Determinants'!$B$19:$P$41,4,0)/'4. Billing Determinants'!$E$41*$D13,IF($E13="kW",VLOOKUP(Q$4,'4. Billing Determinants'!$B$19:$P$41,5,0)/'4. Billing Determinants'!$F$41*$D13,IF($E13="Non-RPP kWh",VLOOKUP(Q$4,'4. Billing Determinants'!$B$19:$P$41,6,0)/'4. Billing Determinants'!$G$41*$D13,IF($E13="Distribution Rev.",VLOOKUP(Q$4,'4. Billing Determinants'!$B$19:$P$41,8,0)/'4. Billing Determinants'!$I$41*$D13, VLOOKUP(Q$4,'4. Billing Determinants'!$B$19:$P$41,3,0)/'4. Billing Determinants'!$D$41*$D13))))),0)</f>
        <v>0</v>
      </c>
      <c r="R13" s="70">
        <f>IFERROR(IF(R$4="",0,IF($E13="kWh",VLOOKUP(R$4,'4. Billing Determinants'!$B$19:$P$41,4,0)/'4. Billing Determinants'!$E$41*$D13,IF($E13="kW",VLOOKUP(R$4,'4. Billing Determinants'!$B$19:$P$41,5,0)/'4. Billing Determinants'!$F$41*$D13,IF($E13="Non-RPP kWh",VLOOKUP(R$4,'4. Billing Determinants'!$B$19:$P$41,6,0)/'4. Billing Determinants'!$G$41*$D13,IF($E13="Distribution Rev.",VLOOKUP(R$4,'4. Billing Determinants'!$B$19:$P$41,8,0)/'4. Billing Determinants'!$I$41*$D13, VLOOKUP(R$4,'4. Billing Determinants'!$B$19:$P$41,3,0)/'4. Billing Determinants'!$D$41*$D13))))),0)</f>
        <v>0</v>
      </c>
      <c r="S13" s="70">
        <f>IFERROR(IF(S$4="",0,IF($E13="kWh",VLOOKUP(S$4,'4. Billing Determinants'!$B$19:$P$41,4,0)/'4. Billing Determinants'!$E$41*$D13,IF($E13="kW",VLOOKUP(S$4,'4. Billing Determinants'!$B$19:$P$41,5,0)/'4. Billing Determinants'!$F$41*$D13,IF($E13="Non-RPP kWh",VLOOKUP(S$4,'4. Billing Determinants'!$B$19:$P$41,6,0)/'4. Billing Determinants'!$G$41*$D13,IF($E13="Distribution Rev.",VLOOKUP(S$4,'4. Billing Determinants'!$B$19:$P$41,8,0)/'4. Billing Determinants'!$I$41*$D13, VLOOKUP(S$4,'4. Billing Determinants'!$B$19:$P$41,3,0)/'4. Billing Determinants'!$D$41*$D13))))),0)</f>
        <v>0</v>
      </c>
      <c r="T13" s="70">
        <f>IFERROR(IF(T$4="",0,IF($E13="kWh",VLOOKUP(T$4,'4. Billing Determinants'!$B$19:$P$41,4,0)/'4. Billing Determinants'!$E$41*$D13,IF($E13="kW",VLOOKUP(T$4,'4. Billing Determinants'!$B$19:$P$41,5,0)/'4. Billing Determinants'!$F$41*$D13,IF($E13="Non-RPP kWh",VLOOKUP(T$4,'4. Billing Determinants'!$B$19:$P$41,6,0)/'4. Billing Determinants'!$G$41*$D13,IF($E13="Distribution Rev.",VLOOKUP(T$4,'4. Billing Determinants'!$B$19:$P$41,8,0)/'4. Billing Determinants'!$I$41*$D13, VLOOKUP(T$4,'4. Billing Determinants'!$B$19:$P$41,3,0)/'4. Billing Determinants'!$D$41*$D13))))),0)</f>
        <v>0</v>
      </c>
      <c r="U13" s="70">
        <f>IFERROR(IF(U$4="",0,IF($E13="kWh",VLOOKUP(U$4,'4. Billing Determinants'!$B$19:$P$41,4,0)/'4. Billing Determinants'!$E$41*$D13,IF($E13="kW",VLOOKUP(U$4,'4. Billing Determinants'!$B$19:$P$41,5,0)/'4. Billing Determinants'!$F$41*$D13,IF($E13="Non-RPP kWh",VLOOKUP(U$4,'4. Billing Determinants'!$B$19:$P$41,6,0)/'4. Billing Determinants'!$G$41*$D13,IF($E13="Distribution Rev.",VLOOKUP(U$4,'4. Billing Determinants'!$B$19:$P$41,8,0)/'4. Billing Determinants'!$I$41*$D13, VLOOKUP(U$4,'4. Billing Determinants'!$B$19:$P$41,3,0)/'4. Billing Determinants'!$D$41*$D13))))),0)</f>
        <v>0</v>
      </c>
      <c r="V13" s="70">
        <f>IFERROR(IF(V$4="",0,IF($E13="kWh",VLOOKUP(V$4,'4. Billing Determinants'!$B$19:$P$41,4,0)/'4. Billing Determinants'!$E$41*$D13,IF($E13="kW",VLOOKUP(V$4,'4. Billing Determinants'!$B$19:$P$41,5,0)/'4. Billing Determinants'!$F$41*$D13,IF($E13="Non-RPP kWh",VLOOKUP(V$4,'4. Billing Determinants'!$B$19:$P$41,6,0)/'4. Billing Determinants'!$G$41*$D13,IF($E13="Distribution Rev.",VLOOKUP(V$4,'4. Billing Determinants'!$B$19:$P$41,8,0)/'4. Billing Determinants'!$I$41*$D13, VLOOKUP(V$4,'4. Billing Determinants'!$B$19:$P$41,3,0)/'4. Billing Determinants'!$D$41*$D13))))),0)</f>
        <v>0</v>
      </c>
      <c r="W13" s="70">
        <f>IFERROR(IF(W$4="",0,IF($E13="kWh",VLOOKUP(W$4,'4. Billing Determinants'!$B$19:$P$41,4,0)/'4. Billing Determinants'!$E$41*$D13,IF($E13="kW",VLOOKUP(W$4,'4. Billing Determinants'!$B$19:$P$41,5,0)/'4. Billing Determinants'!$F$41*$D13,IF($E13="Non-RPP kWh",VLOOKUP(W$4,'4. Billing Determinants'!$B$19:$P$41,6,0)/'4. Billing Determinants'!$G$41*$D13,IF($E13="Distribution Rev.",VLOOKUP(W$4,'4. Billing Determinants'!$B$19:$P$41,8,0)/'4. Billing Determinants'!$I$41*$D13, VLOOKUP(W$4,'4. Billing Determinants'!$B$19:$P$41,3,0)/'4. Billing Determinants'!$D$41*$D13))))),0)</f>
        <v>0</v>
      </c>
      <c r="X13" s="70">
        <f>IFERROR(IF(X$4="",0,IF($E13="kWh",VLOOKUP(X$4,'4. Billing Determinants'!$B$19:$P$41,4,0)/'4. Billing Determinants'!$E$41*$D13,IF($E13="kW",VLOOKUP(X$4,'4. Billing Determinants'!$B$19:$P$41,5,0)/'4. Billing Determinants'!$F$41*$D13,IF($E13="Non-RPP kWh",VLOOKUP(X$4,'4. Billing Determinants'!$B$19:$P$41,6,0)/'4. Billing Determinants'!$G$41*$D13,IF($E13="Distribution Rev.",VLOOKUP(X$4,'4. Billing Determinants'!$B$19:$P$41,8,0)/'4. Billing Determinants'!$I$41*$D13, VLOOKUP(X$4,'4. Billing Determinants'!$B$19:$P$41,3,0)/'4. Billing Determinants'!$D$41*$D13))))),0)</f>
        <v>0</v>
      </c>
      <c r="Y13" s="70">
        <f>IFERROR(IF(Y$4="",0,IF($E13="kWh",VLOOKUP(Y$4,'4. Billing Determinants'!$B$19:$P$41,4,0)/'4. Billing Determinants'!$E$41*$D13,IF($E13="kW",VLOOKUP(Y$4,'4. Billing Determinants'!$B$19:$P$41,5,0)/'4. Billing Determinants'!$F$41*$D13,IF($E13="Non-RPP kWh",VLOOKUP(Y$4,'4. Billing Determinants'!$B$19:$P$41,6,0)/'4. Billing Determinants'!$G$41*$D13,IF($E13="Distribution Rev.",VLOOKUP(Y$4,'4. Billing Determinants'!$B$19:$P$41,8,0)/'4. Billing Determinants'!$I$41*$D13, VLOOKUP(Y$4,'4. Billing Determinants'!$B$19:$P$41,3,0)/'4. Billing Determinants'!$D$41*$D13))))),0)</f>
        <v>0</v>
      </c>
    </row>
    <row r="14" spans="2:25" x14ac:dyDescent="0.2">
      <c r="B14" s="72" t="s">
        <v>110</v>
      </c>
      <c r="C14" s="69">
        <v>1595</v>
      </c>
      <c r="D14" s="70">
        <f>'2. 2014 Continuity Schedule'!BO33</f>
        <v>0</v>
      </c>
      <c r="E14" s="130"/>
      <c r="F14" s="70">
        <f>IFERROR(IF(F$4="",0,IF($E14="kWh",VLOOKUP(F$4,'4. Billing Determinants'!$B$19:$P$41,4,0)/'4. Billing Determinants'!$E$41*$D14,IF($E14="kW",VLOOKUP(F$4,'4. Billing Determinants'!$B$19:$P$41,5,0)/'4. Billing Determinants'!$F$41*$D14,IF($E14="Non-RPP kWh",VLOOKUP(F$4,'4. Billing Determinants'!$B$19:$P$41,6,0)/'4. Billing Determinants'!$G$41*$D14,IF($E14="Distribution Rev.",VLOOKUP(F$4,'4. Billing Determinants'!$B$19:$P$41,8,0)/'4. Billing Determinants'!$I$41*$D14, VLOOKUP(F$4,'4. Billing Determinants'!$B$19:$P$41,3,0)/'4. Billing Determinants'!$D$41*$D14))))),0)</f>
        <v>0</v>
      </c>
      <c r="G14" s="70">
        <f>IFERROR(IF(G$4="",0,IF($E14="kWh",VLOOKUP(G$4,'4. Billing Determinants'!$B$19:$P$41,4,0)/'4. Billing Determinants'!$E$41*$D14,IF($E14="kW",VLOOKUP(G$4,'4. Billing Determinants'!$B$19:$P$41,5,0)/'4. Billing Determinants'!$F$41*$D14,IF($E14="Non-RPP kWh",VLOOKUP(G$4,'4. Billing Determinants'!$B$19:$P$41,6,0)/'4. Billing Determinants'!$G$41*$D14,IF($E14="Distribution Rev.",VLOOKUP(G$4,'4. Billing Determinants'!$B$19:$P$41,8,0)/'4. Billing Determinants'!$I$41*$D14, VLOOKUP(G$4,'4. Billing Determinants'!$B$19:$P$41,3,0)/'4. Billing Determinants'!$D$41*$D14))))),0)</f>
        <v>0</v>
      </c>
      <c r="H14" s="70">
        <f>IFERROR(IF(H$4="",0,IF($E14="kWh",VLOOKUP(H$4,'4. Billing Determinants'!$B$19:$P$41,4,0)/'4. Billing Determinants'!$E$41*$D14,IF($E14="kW",VLOOKUP(H$4,'4. Billing Determinants'!$B$19:$P$41,5,0)/'4. Billing Determinants'!$F$41*$D14,IF($E14="Non-RPP kWh",VLOOKUP(H$4,'4. Billing Determinants'!$B$19:$P$41,6,0)/'4. Billing Determinants'!$G$41*$D14,IF($E14="Distribution Rev.",VLOOKUP(H$4,'4. Billing Determinants'!$B$19:$P$41,8,0)/'4. Billing Determinants'!$I$41*$D14, VLOOKUP(H$4,'4. Billing Determinants'!$B$19:$P$41,3,0)/'4. Billing Determinants'!$D$41*$D14))))),0)</f>
        <v>0</v>
      </c>
      <c r="I14" s="70">
        <f>IFERROR(IF(I$4="",0,IF($E14="kWh",VLOOKUP(I$4,'4. Billing Determinants'!$B$19:$P$41,4,0)/'4. Billing Determinants'!$E$41*$D14,IF($E14="kW",VLOOKUP(I$4,'4. Billing Determinants'!$B$19:$P$41,5,0)/'4. Billing Determinants'!$F$41*$D14,IF($E14="Non-RPP kWh",VLOOKUP(I$4,'4. Billing Determinants'!$B$19:$P$41,6,0)/'4. Billing Determinants'!$G$41*$D14,IF($E14="Distribution Rev.",VLOOKUP(I$4,'4. Billing Determinants'!$B$19:$P$41,8,0)/'4. Billing Determinants'!$I$41*$D14, VLOOKUP(I$4,'4. Billing Determinants'!$B$19:$P$41,3,0)/'4. Billing Determinants'!$D$41*$D14))))),0)</f>
        <v>0</v>
      </c>
      <c r="J14" s="70">
        <f>IFERROR(IF(J$4="",0,IF($E14="kWh",VLOOKUP(J$4,'4. Billing Determinants'!$B$19:$P$41,4,0)/'4. Billing Determinants'!$E$41*$D14,IF($E14="kW",VLOOKUP(J$4,'4. Billing Determinants'!$B$19:$P$41,5,0)/'4. Billing Determinants'!$F$41*$D14,IF($E14="Non-RPP kWh",VLOOKUP(J$4,'4. Billing Determinants'!$B$19:$P$41,6,0)/'4. Billing Determinants'!$G$41*$D14,IF($E14="Distribution Rev.",VLOOKUP(J$4,'4. Billing Determinants'!$B$19:$P$41,8,0)/'4. Billing Determinants'!$I$41*$D14, VLOOKUP(J$4,'4. Billing Determinants'!$B$19:$P$41,3,0)/'4. Billing Determinants'!$D$41*$D14))))),0)</f>
        <v>0</v>
      </c>
      <c r="K14" s="70">
        <f>IFERROR(IF(K$4="",0,IF($E14="kWh",VLOOKUP(K$4,'4. Billing Determinants'!$B$19:$P$41,4,0)/'4. Billing Determinants'!$E$41*$D14,IF($E14="kW",VLOOKUP(K$4,'4. Billing Determinants'!$B$19:$P$41,5,0)/'4. Billing Determinants'!$F$41*$D14,IF($E14="Non-RPP kWh",VLOOKUP(K$4,'4. Billing Determinants'!$B$19:$P$41,6,0)/'4. Billing Determinants'!$G$41*$D14,IF($E14="Distribution Rev.",VLOOKUP(K$4,'4. Billing Determinants'!$B$19:$P$41,8,0)/'4. Billing Determinants'!$I$41*$D14, VLOOKUP(K$4,'4. Billing Determinants'!$B$19:$P$41,3,0)/'4. Billing Determinants'!$D$41*$D14))))),0)</f>
        <v>0</v>
      </c>
      <c r="L14" s="70">
        <f>IFERROR(IF(L$4="",0,IF($E14="kWh",VLOOKUP(L$4,'4. Billing Determinants'!$B$19:$P$41,4,0)/'4. Billing Determinants'!$E$41*$D14,IF($E14="kW",VLOOKUP(L$4,'4. Billing Determinants'!$B$19:$P$41,5,0)/'4. Billing Determinants'!$F$41*$D14,IF($E14="Non-RPP kWh",VLOOKUP(L$4,'4. Billing Determinants'!$B$19:$P$41,6,0)/'4. Billing Determinants'!$G$41*$D14,IF($E14="Distribution Rev.",VLOOKUP(L$4,'4. Billing Determinants'!$B$19:$P$41,8,0)/'4. Billing Determinants'!$I$41*$D14, VLOOKUP(L$4,'4. Billing Determinants'!$B$19:$P$41,3,0)/'4. Billing Determinants'!$D$41*$D14))))),0)</f>
        <v>0</v>
      </c>
      <c r="M14" s="70">
        <f>IFERROR(IF(M$4="",0,IF($E14="kWh",VLOOKUP(M$4,'4. Billing Determinants'!$B$19:$P$41,4,0)/'4. Billing Determinants'!$E$41*$D14,IF($E14="kW",VLOOKUP(M$4,'4. Billing Determinants'!$B$19:$P$41,5,0)/'4. Billing Determinants'!$F$41*$D14,IF($E14="Non-RPP kWh",VLOOKUP(M$4,'4. Billing Determinants'!$B$19:$P$41,6,0)/'4. Billing Determinants'!$G$41*$D14,IF($E14="Distribution Rev.",VLOOKUP(M$4,'4. Billing Determinants'!$B$19:$P$41,8,0)/'4. Billing Determinants'!$I$41*$D14, VLOOKUP(M$4,'4. Billing Determinants'!$B$19:$P$41,3,0)/'4. Billing Determinants'!$D$41*$D14))))),0)</f>
        <v>0</v>
      </c>
      <c r="N14" s="70">
        <f>IFERROR(IF(N$4="",0,IF($E14="kWh",VLOOKUP(N$4,'4. Billing Determinants'!$B$19:$P$41,4,0)/'4. Billing Determinants'!$E$41*$D14,IF($E14="kW",VLOOKUP(N$4,'4. Billing Determinants'!$B$19:$P$41,5,0)/'4. Billing Determinants'!$F$41*$D14,IF($E14="Non-RPP kWh",VLOOKUP(N$4,'4. Billing Determinants'!$B$19:$P$41,6,0)/'4. Billing Determinants'!$G$41*$D14,IF($E14="Distribution Rev.",VLOOKUP(N$4,'4. Billing Determinants'!$B$19:$P$41,8,0)/'4. Billing Determinants'!$I$41*$D14, VLOOKUP(N$4,'4. Billing Determinants'!$B$19:$P$41,3,0)/'4. Billing Determinants'!$D$41*$D14))))),0)</f>
        <v>0</v>
      </c>
      <c r="O14" s="70">
        <f>IFERROR(IF(O$4="",0,IF($E14="kWh",VLOOKUP(O$4,'4. Billing Determinants'!$B$19:$P$41,4,0)/'4. Billing Determinants'!$E$41*$D14,IF($E14="kW",VLOOKUP(O$4,'4. Billing Determinants'!$B$19:$P$41,5,0)/'4. Billing Determinants'!$F$41*$D14,IF($E14="Non-RPP kWh",VLOOKUP(O$4,'4. Billing Determinants'!$B$19:$P$41,6,0)/'4. Billing Determinants'!$G$41*$D14,IF($E14="Distribution Rev.",VLOOKUP(O$4,'4. Billing Determinants'!$B$19:$P$41,8,0)/'4. Billing Determinants'!$I$41*$D14, VLOOKUP(O$4,'4. Billing Determinants'!$B$19:$P$41,3,0)/'4. Billing Determinants'!$D$41*$D14))))),0)</f>
        <v>0</v>
      </c>
      <c r="P14" s="70">
        <f>IFERROR(IF(P$4="",0,IF($E14="kWh",VLOOKUP(P$4,'4. Billing Determinants'!$B$19:$P$41,4,0)/'4. Billing Determinants'!$E$41*$D14,IF($E14="kW",VLOOKUP(P$4,'4. Billing Determinants'!$B$19:$P$41,5,0)/'4. Billing Determinants'!$F$41*$D14,IF($E14="Non-RPP kWh",VLOOKUP(P$4,'4. Billing Determinants'!$B$19:$P$41,6,0)/'4. Billing Determinants'!$G$41*$D14,IF($E14="Distribution Rev.",VLOOKUP(P$4,'4. Billing Determinants'!$B$19:$P$41,8,0)/'4. Billing Determinants'!$I$41*$D14, VLOOKUP(P$4,'4. Billing Determinants'!$B$19:$P$41,3,0)/'4. Billing Determinants'!$D$41*$D14))))),0)</f>
        <v>0</v>
      </c>
      <c r="Q14" s="70">
        <f>IFERROR(IF(Q$4="",0,IF($E14="kWh",VLOOKUP(Q$4,'4. Billing Determinants'!$B$19:$P$41,4,0)/'4. Billing Determinants'!$E$41*$D14,IF($E14="kW",VLOOKUP(Q$4,'4. Billing Determinants'!$B$19:$P$41,5,0)/'4. Billing Determinants'!$F$41*$D14,IF($E14="Non-RPP kWh",VLOOKUP(Q$4,'4. Billing Determinants'!$B$19:$P$41,6,0)/'4. Billing Determinants'!$G$41*$D14,IF($E14="Distribution Rev.",VLOOKUP(Q$4,'4. Billing Determinants'!$B$19:$P$41,8,0)/'4. Billing Determinants'!$I$41*$D14, VLOOKUP(Q$4,'4. Billing Determinants'!$B$19:$P$41,3,0)/'4. Billing Determinants'!$D$41*$D14))))),0)</f>
        <v>0</v>
      </c>
      <c r="R14" s="70">
        <f>IFERROR(IF(R$4="",0,IF($E14="kWh",VLOOKUP(R$4,'4. Billing Determinants'!$B$19:$P$41,4,0)/'4. Billing Determinants'!$E$41*$D14,IF($E14="kW",VLOOKUP(R$4,'4. Billing Determinants'!$B$19:$P$41,5,0)/'4. Billing Determinants'!$F$41*$D14,IF($E14="Non-RPP kWh",VLOOKUP(R$4,'4. Billing Determinants'!$B$19:$P$41,6,0)/'4. Billing Determinants'!$G$41*$D14,IF($E14="Distribution Rev.",VLOOKUP(R$4,'4. Billing Determinants'!$B$19:$P$41,8,0)/'4. Billing Determinants'!$I$41*$D14, VLOOKUP(R$4,'4. Billing Determinants'!$B$19:$P$41,3,0)/'4. Billing Determinants'!$D$41*$D14))))),0)</f>
        <v>0</v>
      </c>
      <c r="S14" s="70">
        <f>IFERROR(IF(S$4="",0,IF($E14="kWh",VLOOKUP(S$4,'4. Billing Determinants'!$B$19:$P$41,4,0)/'4. Billing Determinants'!$E$41*$D14,IF($E14="kW",VLOOKUP(S$4,'4. Billing Determinants'!$B$19:$P$41,5,0)/'4. Billing Determinants'!$F$41*$D14,IF($E14="Non-RPP kWh",VLOOKUP(S$4,'4. Billing Determinants'!$B$19:$P$41,6,0)/'4. Billing Determinants'!$G$41*$D14,IF($E14="Distribution Rev.",VLOOKUP(S$4,'4. Billing Determinants'!$B$19:$P$41,8,0)/'4. Billing Determinants'!$I$41*$D14, VLOOKUP(S$4,'4. Billing Determinants'!$B$19:$P$41,3,0)/'4. Billing Determinants'!$D$41*$D14))))),0)</f>
        <v>0</v>
      </c>
      <c r="T14" s="70">
        <f>IFERROR(IF(T$4="",0,IF($E14="kWh",VLOOKUP(T$4,'4. Billing Determinants'!$B$19:$P$41,4,0)/'4. Billing Determinants'!$E$41*$D14,IF($E14="kW",VLOOKUP(T$4,'4. Billing Determinants'!$B$19:$P$41,5,0)/'4. Billing Determinants'!$F$41*$D14,IF($E14="Non-RPP kWh",VLOOKUP(T$4,'4. Billing Determinants'!$B$19:$P$41,6,0)/'4. Billing Determinants'!$G$41*$D14,IF($E14="Distribution Rev.",VLOOKUP(T$4,'4. Billing Determinants'!$B$19:$P$41,8,0)/'4. Billing Determinants'!$I$41*$D14, VLOOKUP(T$4,'4. Billing Determinants'!$B$19:$P$41,3,0)/'4. Billing Determinants'!$D$41*$D14))))),0)</f>
        <v>0</v>
      </c>
      <c r="U14" s="70">
        <f>IFERROR(IF(U$4="",0,IF($E14="kWh",VLOOKUP(U$4,'4. Billing Determinants'!$B$19:$P$41,4,0)/'4. Billing Determinants'!$E$41*$D14,IF($E14="kW",VLOOKUP(U$4,'4. Billing Determinants'!$B$19:$P$41,5,0)/'4. Billing Determinants'!$F$41*$D14,IF($E14="Non-RPP kWh",VLOOKUP(U$4,'4. Billing Determinants'!$B$19:$P$41,6,0)/'4. Billing Determinants'!$G$41*$D14,IF($E14="Distribution Rev.",VLOOKUP(U$4,'4. Billing Determinants'!$B$19:$P$41,8,0)/'4. Billing Determinants'!$I$41*$D14, VLOOKUP(U$4,'4. Billing Determinants'!$B$19:$P$41,3,0)/'4. Billing Determinants'!$D$41*$D14))))),0)</f>
        <v>0</v>
      </c>
      <c r="V14" s="70">
        <f>IFERROR(IF(V$4="",0,IF($E14="kWh",VLOOKUP(V$4,'4. Billing Determinants'!$B$19:$P$41,4,0)/'4. Billing Determinants'!$E$41*$D14,IF($E14="kW",VLOOKUP(V$4,'4. Billing Determinants'!$B$19:$P$41,5,0)/'4. Billing Determinants'!$F$41*$D14,IF($E14="Non-RPP kWh",VLOOKUP(V$4,'4. Billing Determinants'!$B$19:$P$41,6,0)/'4. Billing Determinants'!$G$41*$D14,IF($E14="Distribution Rev.",VLOOKUP(V$4,'4. Billing Determinants'!$B$19:$P$41,8,0)/'4. Billing Determinants'!$I$41*$D14, VLOOKUP(V$4,'4. Billing Determinants'!$B$19:$P$41,3,0)/'4. Billing Determinants'!$D$41*$D14))))),0)</f>
        <v>0</v>
      </c>
      <c r="W14" s="70">
        <f>IFERROR(IF(W$4="",0,IF($E14="kWh",VLOOKUP(W$4,'4. Billing Determinants'!$B$19:$P$41,4,0)/'4. Billing Determinants'!$E$41*$D14,IF($E14="kW",VLOOKUP(W$4,'4. Billing Determinants'!$B$19:$P$41,5,0)/'4. Billing Determinants'!$F$41*$D14,IF($E14="Non-RPP kWh",VLOOKUP(W$4,'4. Billing Determinants'!$B$19:$P$41,6,0)/'4. Billing Determinants'!$G$41*$D14,IF($E14="Distribution Rev.",VLOOKUP(W$4,'4. Billing Determinants'!$B$19:$P$41,8,0)/'4. Billing Determinants'!$I$41*$D14, VLOOKUP(W$4,'4. Billing Determinants'!$B$19:$P$41,3,0)/'4. Billing Determinants'!$D$41*$D14))))),0)</f>
        <v>0</v>
      </c>
      <c r="X14" s="70">
        <f>IFERROR(IF(X$4="",0,IF($E14="kWh",VLOOKUP(X$4,'4. Billing Determinants'!$B$19:$P$41,4,0)/'4. Billing Determinants'!$E$41*$D14,IF($E14="kW",VLOOKUP(X$4,'4. Billing Determinants'!$B$19:$P$41,5,0)/'4. Billing Determinants'!$F$41*$D14,IF($E14="Non-RPP kWh",VLOOKUP(X$4,'4. Billing Determinants'!$B$19:$P$41,6,0)/'4. Billing Determinants'!$G$41*$D14,IF($E14="Distribution Rev.",VLOOKUP(X$4,'4. Billing Determinants'!$B$19:$P$41,8,0)/'4. Billing Determinants'!$I$41*$D14, VLOOKUP(X$4,'4. Billing Determinants'!$B$19:$P$41,3,0)/'4. Billing Determinants'!$D$41*$D14))))),0)</f>
        <v>0</v>
      </c>
      <c r="Y14" s="70">
        <f>IFERROR(IF(Y$4="",0,IF($E14="kWh",VLOOKUP(Y$4,'4. Billing Determinants'!$B$19:$P$41,4,0)/'4. Billing Determinants'!$E$41*$D14,IF($E14="kW",VLOOKUP(Y$4,'4. Billing Determinants'!$B$19:$P$41,5,0)/'4. Billing Determinants'!$F$41*$D14,IF($E14="Non-RPP kWh",VLOOKUP(Y$4,'4. Billing Determinants'!$B$19:$P$41,6,0)/'4. Billing Determinants'!$G$41*$D14,IF($E14="Distribution Rev.",VLOOKUP(Y$4,'4. Billing Determinants'!$B$19:$P$41,8,0)/'4. Billing Determinants'!$I$41*$D14, VLOOKUP(Y$4,'4. Billing Determinants'!$B$19:$P$41,3,0)/'4. Billing Determinants'!$D$41*$D14))))),0)</f>
        <v>0</v>
      </c>
    </row>
    <row r="15" spans="2:25" x14ac:dyDescent="0.2">
      <c r="B15" s="72" t="s">
        <v>227</v>
      </c>
      <c r="C15" s="69">
        <v>1595</v>
      </c>
      <c r="D15" s="70">
        <f>'2. 2014 Continuity Schedule'!BO34</f>
        <v>0.47000000002299203</v>
      </c>
      <c r="E15" s="130"/>
      <c r="F15" s="70">
        <f>IFERROR(IF(F$4="",0,IF($E15="kWh",VLOOKUP(F$4,'4. Billing Determinants'!$B$19:$P$41,4,0)/'4. Billing Determinants'!$E$41*$D15,IF($E15="kW",VLOOKUP(F$4,'4. Billing Determinants'!$B$19:$P$41,5,0)/'4. Billing Determinants'!$F$41*$D15,IF($E15="Non-RPP kWh",VLOOKUP(F$4,'4. Billing Determinants'!$B$19:$P$41,6,0)/'4. Billing Determinants'!$G$41*$D15,IF($E15="Distribution Rev.",VLOOKUP(F$4,'4. Billing Determinants'!$B$19:$P$41,8,0)/'4. Billing Determinants'!$I$41*$D15, VLOOKUP(F$4,'4. Billing Determinants'!$B$19:$P$41,3,0)/'4. Billing Determinants'!$D$41*$D15))))),0)</f>
        <v>0.41977147711999252</v>
      </c>
      <c r="G15" s="70">
        <f>IFERROR(IF(G$4="",0,IF($E15="kWh",VLOOKUP(G$4,'4. Billing Determinants'!$B$19:$P$41,4,0)/'4. Billing Determinants'!$E$41*$D15,IF($E15="kW",VLOOKUP(G$4,'4. Billing Determinants'!$B$19:$P$41,5,0)/'4. Billing Determinants'!$F$41*$D15,IF($E15="Non-RPP kWh",VLOOKUP(G$4,'4. Billing Determinants'!$B$19:$P$41,6,0)/'4. Billing Determinants'!$G$41*$D15,IF($E15="Distribution Rev.",VLOOKUP(G$4,'4. Billing Determinants'!$B$19:$P$41,8,0)/'4. Billing Determinants'!$I$41*$D15, VLOOKUP(G$4,'4. Billing Determinants'!$B$19:$P$41,3,0)/'4. Billing Determinants'!$D$41*$D15))))),0)</f>
        <v>3.9143232134087561E-2</v>
      </c>
      <c r="H15" s="70">
        <f>IFERROR(IF(H$4="",0,IF($E15="kWh",VLOOKUP(H$4,'4. Billing Determinants'!$B$19:$P$41,4,0)/'4. Billing Determinants'!$E$41*$D15,IF($E15="kW",VLOOKUP(H$4,'4. Billing Determinants'!$B$19:$P$41,5,0)/'4. Billing Determinants'!$F$41*$D15,IF($E15="Non-RPP kWh",VLOOKUP(H$4,'4. Billing Determinants'!$B$19:$P$41,6,0)/'4. Billing Determinants'!$G$41*$D15,IF($E15="Distribution Rev.",VLOOKUP(H$4,'4. Billing Determinants'!$B$19:$P$41,8,0)/'4. Billing Determinants'!$I$41*$D15, VLOOKUP(H$4,'4. Billing Determinants'!$B$19:$P$41,3,0)/'4. Billing Determinants'!$D$41*$D15))))),0)</f>
        <v>7.8286464268175118E-3</v>
      </c>
      <c r="I15" s="70">
        <f>IFERROR(IF(I$4="",0,IF($E15="kWh",VLOOKUP(I$4,'4. Billing Determinants'!$B$19:$P$41,4,0)/'4. Billing Determinants'!$E$41*$D15,IF($E15="kW",VLOOKUP(I$4,'4. Billing Determinants'!$B$19:$P$41,5,0)/'4. Billing Determinants'!$F$41*$D15,IF($E15="Non-RPP kWh",VLOOKUP(I$4,'4. Billing Determinants'!$B$19:$P$41,6,0)/'4. Billing Determinants'!$G$41*$D15,IF($E15="Distribution Rev.",VLOOKUP(I$4,'4. Billing Determinants'!$B$19:$P$41,8,0)/'4. Billing Determinants'!$I$41*$D15, VLOOKUP(I$4,'4. Billing Determinants'!$B$19:$P$41,3,0)/'4. Billing Determinants'!$D$41*$D15))))),0)</f>
        <v>1.5421435603232643E-4</v>
      </c>
      <c r="J15" s="70">
        <f>IFERROR(IF(J$4="",0,IF($E15="kWh",VLOOKUP(J$4,'4. Billing Determinants'!$B$19:$P$41,4,0)/'4. Billing Determinants'!$E$41*$D15,IF($E15="kW",VLOOKUP(J$4,'4. Billing Determinants'!$B$19:$P$41,5,0)/'4. Billing Determinants'!$F$41*$D15,IF($E15="Non-RPP kWh",VLOOKUP(J$4,'4. Billing Determinants'!$B$19:$P$41,6,0)/'4. Billing Determinants'!$G$41*$D15,IF($E15="Distribution Rev.",VLOOKUP(J$4,'4. Billing Determinants'!$B$19:$P$41,8,0)/'4. Billing Determinants'!$I$41*$D15, VLOOKUP(J$4,'4. Billing Determinants'!$B$19:$P$41,3,0)/'4. Billing Determinants'!$D$41*$D15))))),0)</f>
        <v>3.0570728225231768E-3</v>
      </c>
      <c r="K15" s="70">
        <f>IFERROR(IF(K$4="",0,IF($E15="kWh",VLOOKUP(K$4,'4. Billing Determinants'!$B$19:$P$41,4,0)/'4. Billing Determinants'!$E$41*$D15,IF($E15="kW",VLOOKUP(K$4,'4. Billing Determinants'!$B$19:$P$41,5,0)/'4. Billing Determinants'!$F$41*$D15,IF($E15="Non-RPP kWh",VLOOKUP(K$4,'4. Billing Determinants'!$B$19:$P$41,6,0)/'4. Billing Determinants'!$G$41*$D15,IF($E15="Distribution Rev.",VLOOKUP(K$4,'4. Billing Determinants'!$B$19:$P$41,8,0)/'4. Billing Determinants'!$I$41*$D15, VLOOKUP(K$4,'4. Billing Determinants'!$B$19:$P$41,3,0)/'4. Billing Determinants'!$D$41*$D15))))),0)</f>
        <v>4.5357163538919534E-5</v>
      </c>
      <c r="L15" s="70">
        <f>IFERROR(IF(L$4="",0,IF($E15="kWh",VLOOKUP(L$4,'4. Billing Determinants'!$B$19:$P$41,4,0)/'4. Billing Determinants'!$E$41*$D15,IF($E15="kW",VLOOKUP(L$4,'4. Billing Determinants'!$B$19:$P$41,5,0)/'4. Billing Determinants'!$F$41*$D15,IF($E15="Non-RPP kWh",VLOOKUP(L$4,'4. Billing Determinants'!$B$19:$P$41,6,0)/'4. Billing Determinants'!$G$41*$D15,IF($E15="Distribution Rev.",VLOOKUP(L$4,'4. Billing Determinants'!$B$19:$P$41,8,0)/'4. Billing Determinants'!$I$41*$D15, VLOOKUP(L$4,'4. Billing Determinants'!$B$19:$P$41,3,0)/'4. Billing Determinants'!$D$41*$D15))))),0)</f>
        <v>0</v>
      </c>
      <c r="M15" s="70">
        <f>IFERROR(IF(M$4="",0,IF($E15="kWh",VLOOKUP(M$4,'4. Billing Determinants'!$B$19:$P$41,4,0)/'4. Billing Determinants'!$E$41*$D15,IF($E15="kW",VLOOKUP(M$4,'4. Billing Determinants'!$B$19:$P$41,5,0)/'4. Billing Determinants'!$F$41*$D15,IF($E15="Non-RPP kWh",VLOOKUP(M$4,'4. Billing Determinants'!$B$19:$P$41,6,0)/'4. Billing Determinants'!$G$41*$D15,IF($E15="Distribution Rev.",VLOOKUP(M$4,'4. Billing Determinants'!$B$19:$P$41,8,0)/'4. Billing Determinants'!$I$41*$D15, VLOOKUP(M$4,'4. Billing Determinants'!$B$19:$P$41,3,0)/'4. Billing Determinants'!$D$41*$D15))))),0)</f>
        <v>0</v>
      </c>
      <c r="N15" s="70">
        <f>IFERROR(IF(N$4="",0,IF($E15="kWh",VLOOKUP(N$4,'4. Billing Determinants'!$B$19:$P$41,4,0)/'4. Billing Determinants'!$E$41*$D15,IF($E15="kW",VLOOKUP(N$4,'4. Billing Determinants'!$B$19:$P$41,5,0)/'4. Billing Determinants'!$F$41*$D15,IF($E15="Non-RPP kWh",VLOOKUP(N$4,'4. Billing Determinants'!$B$19:$P$41,6,0)/'4. Billing Determinants'!$G$41*$D15,IF($E15="Distribution Rev.",VLOOKUP(N$4,'4. Billing Determinants'!$B$19:$P$41,8,0)/'4. Billing Determinants'!$I$41*$D15, VLOOKUP(N$4,'4. Billing Determinants'!$B$19:$P$41,3,0)/'4. Billing Determinants'!$D$41*$D15))))),0)</f>
        <v>0</v>
      </c>
      <c r="O15" s="70">
        <f>IFERROR(IF(O$4="",0,IF($E15="kWh",VLOOKUP(O$4,'4. Billing Determinants'!$B$19:$P$41,4,0)/'4. Billing Determinants'!$E$41*$D15,IF($E15="kW",VLOOKUP(O$4,'4. Billing Determinants'!$B$19:$P$41,5,0)/'4. Billing Determinants'!$F$41*$D15,IF($E15="Non-RPP kWh",VLOOKUP(O$4,'4. Billing Determinants'!$B$19:$P$41,6,0)/'4. Billing Determinants'!$G$41*$D15,IF($E15="Distribution Rev.",VLOOKUP(O$4,'4. Billing Determinants'!$B$19:$P$41,8,0)/'4. Billing Determinants'!$I$41*$D15, VLOOKUP(O$4,'4. Billing Determinants'!$B$19:$P$41,3,0)/'4. Billing Determinants'!$D$41*$D15))))),0)</f>
        <v>0</v>
      </c>
      <c r="P15" s="70">
        <f>IFERROR(IF(P$4="",0,IF($E15="kWh",VLOOKUP(P$4,'4. Billing Determinants'!$B$19:$P$41,4,0)/'4. Billing Determinants'!$E$41*$D15,IF($E15="kW",VLOOKUP(P$4,'4. Billing Determinants'!$B$19:$P$41,5,0)/'4. Billing Determinants'!$F$41*$D15,IF($E15="Non-RPP kWh",VLOOKUP(P$4,'4. Billing Determinants'!$B$19:$P$41,6,0)/'4. Billing Determinants'!$G$41*$D15,IF($E15="Distribution Rev.",VLOOKUP(P$4,'4. Billing Determinants'!$B$19:$P$41,8,0)/'4. Billing Determinants'!$I$41*$D15, VLOOKUP(P$4,'4. Billing Determinants'!$B$19:$P$41,3,0)/'4. Billing Determinants'!$D$41*$D15))))),0)</f>
        <v>0</v>
      </c>
      <c r="Q15" s="70">
        <f>IFERROR(IF(Q$4="",0,IF($E15="kWh",VLOOKUP(Q$4,'4. Billing Determinants'!$B$19:$P$41,4,0)/'4. Billing Determinants'!$E$41*$D15,IF($E15="kW",VLOOKUP(Q$4,'4. Billing Determinants'!$B$19:$P$41,5,0)/'4. Billing Determinants'!$F$41*$D15,IF($E15="Non-RPP kWh",VLOOKUP(Q$4,'4. Billing Determinants'!$B$19:$P$41,6,0)/'4. Billing Determinants'!$G$41*$D15,IF($E15="Distribution Rev.",VLOOKUP(Q$4,'4. Billing Determinants'!$B$19:$P$41,8,0)/'4. Billing Determinants'!$I$41*$D15, VLOOKUP(Q$4,'4. Billing Determinants'!$B$19:$P$41,3,0)/'4. Billing Determinants'!$D$41*$D15))))),0)</f>
        <v>0</v>
      </c>
      <c r="R15" s="70">
        <f>IFERROR(IF(R$4="",0,IF($E15="kWh",VLOOKUP(R$4,'4. Billing Determinants'!$B$19:$P$41,4,0)/'4. Billing Determinants'!$E$41*$D15,IF($E15="kW",VLOOKUP(R$4,'4. Billing Determinants'!$B$19:$P$41,5,0)/'4. Billing Determinants'!$F$41*$D15,IF($E15="Non-RPP kWh",VLOOKUP(R$4,'4. Billing Determinants'!$B$19:$P$41,6,0)/'4. Billing Determinants'!$G$41*$D15,IF($E15="Distribution Rev.",VLOOKUP(R$4,'4. Billing Determinants'!$B$19:$P$41,8,0)/'4. Billing Determinants'!$I$41*$D15, VLOOKUP(R$4,'4. Billing Determinants'!$B$19:$P$41,3,0)/'4. Billing Determinants'!$D$41*$D15))))),0)</f>
        <v>0</v>
      </c>
      <c r="S15" s="70">
        <f>IFERROR(IF(S$4="",0,IF($E15="kWh",VLOOKUP(S$4,'4. Billing Determinants'!$B$19:$P$41,4,0)/'4. Billing Determinants'!$E$41*$D15,IF($E15="kW",VLOOKUP(S$4,'4. Billing Determinants'!$B$19:$P$41,5,0)/'4. Billing Determinants'!$F$41*$D15,IF($E15="Non-RPP kWh",VLOOKUP(S$4,'4. Billing Determinants'!$B$19:$P$41,6,0)/'4. Billing Determinants'!$G$41*$D15,IF($E15="Distribution Rev.",VLOOKUP(S$4,'4. Billing Determinants'!$B$19:$P$41,8,0)/'4. Billing Determinants'!$I$41*$D15, VLOOKUP(S$4,'4. Billing Determinants'!$B$19:$P$41,3,0)/'4. Billing Determinants'!$D$41*$D15))))),0)</f>
        <v>0</v>
      </c>
      <c r="T15" s="70">
        <f>IFERROR(IF(T$4="",0,IF($E15="kWh",VLOOKUP(T$4,'4. Billing Determinants'!$B$19:$P$41,4,0)/'4. Billing Determinants'!$E$41*$D15,IF($E15="kW",VLOOKUP(T$4,'4. Billing Determinants'!$B$19:$P$41,5,0)/'4. Billing Determinants'!$F$41*$D15,IF($E15="Non-RPP kWh",VLOOKUP(T$4,'4. Billing Determinants'!$B$19:$P$41,6,0)/'4. Billing Determinants'!$G$41*$D15,IF($E15="Distribution Rev.",VLOOKUP(T$4,'4. Billing Determinants'!$B$19:$P$41,8,0)/'4. Billing Determinants'!$I$41*$D15, VLOOKUP(T$4,'4. Billing Determinants'!$B$19:$P$41,3,0)/'4. Billing Determinants'!$D$41*$D15))))),0)</f>
        <v>0</v>
      </c>
      <c r="U15" s="70">
        <f>IFERROR(IF(U$4="",0,IF($E15="kWh",VLOOKUP(U$4,'4. Billing Determinants'!$B$19:$P$41,4,0)/'4. Billing Determinants'!$E$41*$D15,IF($E15="kW",VLOOKUP(U$4,'4. Billing Determinants'!$B$19:$P$41,5,0)/'4. Billing Determinants'!$F$41*$D15,IF($E15="Non-RPP kWh",VLOOKUP(U$4,'4. Billing Determinants'!$B$19:$P$41,6,0)/'4. Billing Determinants'!$G$41*$D15,IF($E15="Distribution Rev.",VLOOKUP(U$4,'4. Billing Determinants'!$B$19:$P$41,8,0)/'4. Billing Determinants'!$I$41*$D15, VLOOKUP(U$4,'4. Billing Determinants'!$B$19:$P$41,3,0)/'4. Billing Determinants'!$D$41*$D15))))),0)</f>
        <v>0</v>
      </c>
      <c r="V15" s="70">
        <f>IFERROR(IF(V$4="",0,IF($E15="kWh",VLOOKUP(V$4,'4. Billing Determinants'!$B$19:$P$41,4,0)/'4. Billing Determinants'!$E$41*$D15,IF($E15="kW",VLOOKUP(V$4,'4. Billing Determinants'!$B$19:$P$41,5,0)/'4. Billing Determinants'!$F$41*$D15,IF($E15="Non-RPP kWh",VLOOKUP(V$4,'4. Billing Determinants'!$B$19:$P$41,6,0)/'4. Billing Determinants'!$G$41*$D15,IF($E15="Distribution Rev.",VLOOKUP(V$4,'4. Billing Determinants'!$B$19:$P$41,8,0)/'4. Billing Determinants'!$I$41*$D15, VLOOKUP(V$4,'4. Billing Determinants'!$B$19:$P$41,3,0)/'4. Billing Determinants'!$D$41*$D15))))),0)</f>
        <v>0</v>
      </c>
      <c r="W15" s="70">
        <f>IFERROR(IF(W$4="",0,IF($E15="kWh",VLOOKUP(W$4,'4. Billing Determinants'!$B$19:$P$41,4,0)/'4. Billing Determinants'!$E$41*$D15,IF($E15="kW",VLOOKUP(W$4,'4. Billing Determinants'!$B$19:$P$41,5,0)/'4. Billing Determinants'!$F$41*$D15,IF($E15="Non-RPP kWh",VLOOKUP(W$4,'4. Billing Determinants'!$B$19:$P$41,6,0)/'4. Billing Determinants'!$G$41*$D15,IF($E15="Distribution Rev.",VLOOKUP(W$4,'4. Billing Determinants'!$B$19:$P$41,8,0)/'4. Billing Determinants'!$I$41*$D15, VLOOKUP(W$4,'4. Billing Determinants'!$B$19:$P$41,3,0)/'4. Billing Determinants'!$D$41*$D15))))),0)</f>
        <v>0</v>
      </c>
      <c r="X15" s="70">
        <f>IFERROR(IF(X$4="",0,IF($E15="kWh",VLOOKUP(X$4,'4. Billing Determinants'!$B$19:$P$41,4,0)/'4. Billing Determinants'!$E$41*$D15,IF($E15="kW",VLOOKUP(X$4,'4. Billing Determinants'!$B$19:$P$41,5,0)/'4. Billing Determinants'!$F$41*$D15,IF($E15="Non-RPP kWh",VLOOKUP(X$4,'4. Billing Determinants'!$B$19:$P$41,6,0)/'4. Billing Determinants'!$G$41*$D15,IF($E15="Distribution Rev.",VLOOKUP(X$4,'4. Billing Determinants'!$B$19:$P$41,8,0)/'4. Billing Determinants'!$I$41*$D15, VLOOKUP(X$4,'4. Billing Determinants'!$B$19:$P$41,3,0)/'4. Billing Determinants'!$D$41*$D15))))),0)</f>
        <v>0</v>
      </c>
      <c r="Y15" s="70">
        <f>IFERROR(IF(Y$4="",0,IF($E15="kWh",VLOOKUP(Y$4,'4. Billing Determinants'!$B$19:$P$41,4,0)/'4. Billing Determinants'!$E$41*$D15,IF($E15="kW",VLOOKUP(Y$4,'4. Billing Determinants'!$B$19:$P$41,5,0)/'4. Billing Determinants'!$F$41*$D15,IF($E15="Non-RPP kWh",VLOOKUP(Y$4,'4. Billing Determinants'!$B$19:$P$41,6,0)/'4. Billing Determinants'!$G$41*$D15,IF($E15="Distribution Rev.",VLOOKUP(Y$4,'4. Billing Determinants'!$B$19:$P$41,8,0)/'4. Billing Determinants'!$I$41*$D15, VLOOKUP(Y$4,'4. Billing Determinants'!$B$19:$P$41,3,0)/'4. Billing Determinants'!$D$41*$D15))))),0)</f>
        <v>0</v>
      </c>
    </row>
    <row r="16" spans="2:25" x14ac:dyDescent="0.2">
      <c r="B16" s="72" t="s">
        <v>274</v>
      </c>
      <c r="C16" s="69">
        <v>1595</v>
      </c>
      <c r="D16" s="70">
        <f>'2. 2014 Continuity Schedule'!BO35</f>
        <v>0</v>
      </c>
      <c r="E16" s="130"/>
      <c r="F16" s="70">
        <f>IFERROR(IF(F$4="",0,IF($E16="kWh",VLOOKUP(F$4,'4. Billing Determinants'!$B$19:$P$41,4,0)/'4. Billing Determinants'!$E$41*$D16,IF($E16="kW",VLOOKUP(F$4,'4. Billing Determinants'!$B$19:$P$41,5,0)/'4. Billing Determinants'!$F$41*$D16,IF($E16="Non-RPP kWh",VLOOKUP(F$4,'4. Billing Determinants'!$B$19:$P$41,6,0)/'4. Billing Determinants'!$G$41*$D16,IF($E16="Distribution Rev.",VLOOKUP(F$4,'4. Billing Determinants'!$B$19:$P$41,8,0)/'4. Billing Determinants'!$I$41*$D16, VLOOKUP(F$4,'4. Billing Determinants'!$B$19:$P$41,3,0)/'4. Billing Determinants'!$D$41*$D16))))),0)</f>
        <v>0</v>
      </c>
      <c r="G16" s="70">
        <f>IFERROR(IF(G$4="",0,IF($E16="kWh",VLOOKUP(G$4,'4. Billing Determinants'!$B$19:$P$41,4,0)/'4. Billing Determinants'!$E$41*$D16,IF($E16="kW",VLOOKUP(G$4,'4. Billing Determinants'!$B$19:$P$41,5,0)/'4. Billing Determinants'!$F$41*$D16,IF($E16="Non-RPP kWh",VLOOKUP(G$4,'4. Billing Determinants'!$B$19:$P$41,6,0)/'4. Billing Determinants'!$G$41*$D16,IF($E16="Distribution Rev.",VLOOKUP(G$4,'4. Billing Determinants'!$B$19:$P$41,8,0)/'4. Billing Determinants'!$I$41*$D16, VLOOKUP(G$4,'4. Billing Determinants'!$B$19:$P$41,3,0)/'4. Billing Determinants'!$D$41*$D16))))),0)</f>
        <v>0</v>
      </c>
      <c r="H16" s="70">
        <f>IFERROR(IF(H$4="",0,IF($E16="kWh",VLOOKUP(H$4,'4. Billing Determinants'!$B$19:$P$41,4,0)/'4. Billing Determinants'!$E$41*$D16,IF($E16="kW",VLOOKUP(H$4,'4. Billing Determinants'!$B$19:$P$41,5,0)/'4. Billing Determinants'!$F$41*$D16,IF($E16="Non-RPP kWh",VLOOKUP(H$4,'4. Billing Determinants'!$B$19:$P$41,6,0)/'4. Billing Determinants'!$G$41*$D16,IF($E16="Distribution Rev.",VLOOKUP(H$4,'4. Billing Determinants'!$B$19:$P$41,8,0)/'4. Billing Determinants'!$I$41*$D16, VLOOKUP(H$4,'4. Billing Determinants'!$B$19:$P$41,3,0)/'4. Billing Determinants'!$D$41*$D16))))),0)</f>
        <v>0</v>
      </c>
      <c r="I16" s="70">
        <f>IFERROR(IF(I$4="",0,IF($E16="kWh",VLOOKUP(I$4,'4. Billing Determinants'!$B$19:$P$41,4,0)/'4. Billing Determinants'!$E$41*$D16,IF($E16="kW",VLOOKUP(I$4,'4. Billing Determinants'!$B$19:$P$41,5,0)/'4. Billing Determinants'!$F$41*$D16,IF($E16="Non-RPP kWh",VLOOKUP(I$4,'4. Billing Determinants'!$B$19:$P$41,6,0)/'4. Billing Determinants'!$G$41*$D16,IF($E16="Distribution Rev.",VLOOKUP(I$4,'4. Billing Determinants'!$B$19:$P$41,8,0)/'4. Billing Determinants'!$I$41*$D16, VLOOKUP(I$4,'4. Billing Determinants'!$B$19:$P$41,3,0)/'4. Billing Determinants'!$D$41*$D16))))),0)</f>
        <v>0</v>
      </c>
      <c r="J16" s="70">
        <f>IFERROR(IF(J$4="",0,IF($E16="kWh",VLOOKUP(J$4,'4. Billing Determinants'!$B$19:$P$41,4,0)/'4. Billing Determinants'!$E$41*$D16,IF($E16="kW",VLOOKUP(J$4,'4. Billing Determinants'!$B$19:$P$41,5,0)/'4. Billing Determinants'!$F$41*$D16,IF($E16="Non-RPP kWh",VLOOKUP(J$4,'4. Billing Determinants'!$B$19:$P$41,6,0)/'4. Billing Determinants'!$G$41*$D16,IF($E16="Distribution Rev.",VLOOKUP(J$4,'4. Billing Determinants'!$B$19:$P$41,8,0)/'4. Billing Determinants'!$I$41*$D16, VLOOKUP(J$4,'4. Billing Determinants'!$B$19:$P$41,3,0)/'4. Billing Determinants'!$D$41*$D16))))),0)</f>
        <v>0</v>
      </c>
      <c r="K16" s="70">
        <f>IFERROR(IF(K$4="",0,IF($E16="kWh",VLOOKUP(K$4,'4. Billing Determinants'!$B$19:$P$41,4,0)/'4. Billing Determinants'!$E$41*$D16,IF($E16="kW",VLOOKUP(K$4,'4. Billing Determinants'!$B$19:$P$41,5,0)/'4. Billing Determinants'!$F$41*$D16,IF($E16="Non-RPP kWh",VLOOKUP(K$4,'4. Billing Determinants'!$B$19:$P$41,6,0)/'4. Billing Determinants'!$G$41*$D16,IF($E16="Distribution Rev.",VLOOKUP(K$4,'4. Billing Determinants'!$B$19:$P$41,8,0)/'4. Billing Determinants'!$I$41*$D16, VLOOKUP(K$4,'4. Billing Determinants'!$B$19:$P$41,3,0)/'4. Billing Determinants'!$D$41*$D16))))),0)</f>
        <v>0</v>
      </c>
      <c r="L16" s="70">
        <f>IFERROR(IF(L$4="",0,IF($E16="kWh",VLOOKUP(L$4,'4. Billing Determinants'!$B$19:$P$41,4,0)/'4. Billing Determinants'!$E$41*$D16,IF($E16="kW",VLOOKUP(L$4,'4. Billing Determinants'!$B$19:$P$41,5,0)/'4. Billing Determinants'!$F$41*$D16,IF($E16="Non-RPP kWh",VLOOKUP(L$4,'4. Billing Determinants'!$B$19:$P$41,6,0)/'4. Billing Determinants'!$G$41*$D16,IF($E16="Distribution Rev.",VLOOKUP(L$4,'4. Billing Determinants'!$B$19:$P$41,8,0)/'4. Billing Determinants'!$I$41*$D16, VLOOKUP(L$4,'4. Billing Determinants'!$B$19:$P$41,3,0)/'4. Billing Determinants'!$D$41*$D16))))),0)</f>
        <v>0</v>
      </c>
      <c r="M16" s="70">
        <f>IFERROR(IF(M$4="",0,IF($E16="kWh",VLOOKUP(M$4,'4. Billing Determinants'!$B$19:$P$41,4,0)/'4. Billing Determinants'!$E$41*$D16,IF($E16="kW",VLOOKUP(M$4,'4. Billing Determinants'!$B$19:$P$41,5,0)/'4. Billing Determinants'!$F$41*$D16,IF($E16="Non-RPP kWh",VLOOKUP(M$4,'4. Billing Determinants'!$B$19:$P$41,6,0)/'4. Billing Determinants'!$G$41*$D16,IF($E16="Distribution Rev.",VLOOKUP(M$4,'4. Billing Determinants'!$B$19:$P$41,8,0)/'4. Billing Determinants'!$I$41*$D16, VLOOKUP(M$4,'4. Billing Determinants'!$B$19:$P$41,3,0)/'4. Billing Determinants'!$D$41*$D16))))),0)</f>
        <v>0</v>
      </c>
      <c r="N16" s="70">
        <f>IFERROR(IF(N$4="",0,IF($E16="kWh",VLOOKUP(N$4,'4. Billing Determinants'!$B$19:$P$41,4,0)/'4. Billing Determinants'!$E$41*$D16,IF($E16="kW",VLOOKUP(N$4,'4. Billing Determinants'!$B$19:$P$41,5,0)/'4. Billing Determinants'!$F$41*$D16,IF($E16="Non-RPP kWh",VLOOKUP(N$4,'4. Billing Determinants'!$B$19:$P$41,6,0)/'4. Billing Determinants'!$G$41*$D16,IF($E16="Distribution Rev.",VLOOKUP(N$4,'4. Billing Determinants'!$B$19:$P$41,8,0)/'4. Billing Determinants'!$I$41*$D16, VLOOKUP(N$4,'4. Billing Determinants'!$B$19:$P$41,3,0)/'4. Billing Determinants'!$D$41*$D16))))),0)</f>
        <v>0</v>
      </c>
      <c r="O16" s="70">
        <f>IFERROR(IF(O$4="",0,IF($E16="kWh",VLOOKUP(O$4,'4. Billing Determinants'!$B$19:$P$41,4,0)/'4. Billing Determinants'!$E$41*$D16,IF($E16="kW",VLOOKUP(O$4,'4. Billing Determinants'!$B$19:$P$41,5,0)/'4. Billing Determinants'!$F$41*$D16,IF($E16="Non-RPP kWh",VLOOKUP(O$4,'4. Billing Determinants'!$B$19:$P$41,6,0)/'4. Billing Determinants'!$G$41*$D16,IF($E16="Distribution Rev.",VLOOKUP(O$4,'4. Billing Determinants'!$B$19:$P$41,8,0)/'4. Billing Determinants'!$I$41*$D16, VLOOKUP(O$4,'4. Billing Determinants'!$B$19:$P$41,3,0)/'4. Billing Determinants'!$D$41*$D16))))),0)</f>
        <v>0</v>
      </c>
      <c r="P16" s="70">
        <f>IFERROR(IF(P$4="",0,IF($E16="kWh",VLOOKUP(P$4,'4. Billing Determinants'!$B$19:$P$41,4,0)/'4. Billing Determinants'!$E$41*$D16,IF($E16="kW",VLOOKUP(P$4,'4. Billing Determinants'!$B$19:$P$41,5,0)/'4. Billing Determinants'!$F$41*$D16,IF($E16="Non-RPP kWh",VLOOKUP(P$4,'4. Billing Determinants'!$B$19:$P$41,6,0)/'4. Billing Determinants'!$G$41*$D16,IF($E16="Distribution Rev.",VLOOKUP(P$4,'4. Billing Determinants'!$B$19:$P$41,8,0)/'4. Billing Determinants'!$I$41*$D16, VLOOKUP(P$4,'4. Billing Determinants'!$B$19:$P$41,3,0)/'4. Billing Determinants'!$D$41*$D16))))),0)</f>
        <v>0</v>
      </c>
      <c r="Q16" s="70">
        <f>IFERROR(IF(Q$4="",0,IF($E16="kWh",VLOOKUP(Q$4,'4. Billing Determinants'!$B$19:$P$41,4,0)/'4. Billing Determinants'!$E$41*$D16,IF($E16="kW",VLOOKUP(Q$4,'4. Billing Determinants'!$B$19:$P$41,5,0)/'4. Billing Determinants'!$F$41*$D16,IF($E16="Non-RPP kWh",VLOOKUP(Q$4,'4. Billing Determinants'!$B$19:$P$41,6,0)/'4. Billing Determinants'!$G$41*$D16,IF($E16="Distribution Rev.",VLOOKUP(Q$4,'4. Billing Determinants'!$B$19:$P$41,8,0)/'4. Billing Determinants'!$I$41*$D16, VLOOKUP(Q$4,'4. Billing Determinants'!$B$19:$P$41,3,0)/'4. Billing Determinants'!$D$41*$D16))))),0)</f>
        <v>0</v>
      </c>
      <c r="R16" s="70">
        <f>IFERROR(IF(R$4="",0,IF($E16="kWh",VLOOKUP(R$4,'4. Billing Determinants'!$B$19:$P$41,4,0)/'4. Billing Determinants'!$E$41*$D16,IF($E16="kW",VLOOKUP(R$4,'4. Billing Determinants'!$B$19:$P$41,5,0)/'4. Billing Determinants'!$F$41*$D16,IF($E16="Non-RPP kWh",VLOOKUP(R$4,'4. Billing Determinants'!$B$19:$P$41,6,0)/'4. Billing Determinants'!$G$41*$D16,IF($E16="Distribution Rev.",VLOOKUP(R$4,'4. Billing Determinants'!$B$19:$P$41,8,0)/'4. Billing Determinants'!$I$41*$D16, VLOOKUP(R$4,'4. Billing Determinants'!$B$19:$P$41,3,0)/'4. Billing Determinants'!$D$41*$D16))))),0)</f>
        <v>0</v>
      </c>
      <c r="S16" s="70">
        <f>IFERROR(IF(S$4="",0,IF($E16="kWh",VLOOKUP(S$4,'4. Billing Determinants'!$B$19:$P$41,4,0)/'4. Billing Determinants'!$E$41*$D16,IF($E16="kW",VLOOKUP(S$4,'4. Billing Determinants'!$B$19:$P$41,5,0)/'4. Billing Determinants'!$F$41*$D16,IF($E16="Non-RPP kWh",VLOOKUP(S$4,'4. Billing Determinants'!$B$19:$P$41,6,0)/'4. Billing Determinants'!$G$41*$D16,IF($E16="Distribution Rev.",VLOOKUP(S$4,'4. Billing Determinants'!$B$19:$P$41,8,0)/'4. Billing Determinants'!$I$41*$D16, VLOOKUP(S$4,'4. Billing Determinants'!$B$19:$P$41,3,0)/'4. Billing Determinants'!$D$41*$D16))))),0)</f>
        <v>0</v>
      </c>
      <c r="T16" s="70">
        <f>IFERROR(IF(T$4="",0,IF($E16="kWh",VLOOKUP(T$4,'4. Billing Determinants'!$B$19:$P$41,4,0)/'4. Billing Determinants'!$E$41*$D16,IF($E16="kW",VLOOKUP(T$4,'4. Billing Determinants'!$B$19:$P$41,5,0)/'4. Billing Determinants'!$F$41*$D16,IF($E16="Non-RPP kWh",VLOOKUP(T$4,'4. Billing Determinants'!$B$19:$P$41,6,0)/'4. Billing Determinants'!$G$41*$D16,IF($E16="Distribution Rev.",VLOOKUP(T$4,'4. Billing Determinants'!$B$19:$P$41,8,0)/'4. Billing Determinants'!$I$41*$D16, VLOOKUP(T$4,'4. Billing Determinants'!$B$19:$P$41,3,0)/'4. Billing Determinants'!$D$41*$D16))))),0)</f>
        <v>0</v>
      </c>
      <c r="U16" s="70">
        <f>IFERROR(IF(U$4="",0,IF($E16="kWh",VLOOKUP(U$4,'4. Billing Determinants'!$B$19:$P$41,4,0)/'4. Billing Determinants'!$E$41*$D16,IF($E16="kW",VLOOKUP(U$4,'4. Billing Determinants'!$B$19:$P$41,5,0)/'4. Billing Determinants'!$F$41*$D16,IF($E16="Non-RPP kWh",VLOOKUP(U$4,'4. Billing Determinants'!$B$19:$P$41,6,0)/'4. Billing Determinants'!$G$41*$D16,IF($E16="Distribution Rev.",VLOOKUP(U$4,'4. Billing Determinants'!$B$19:$P$41,8,0)/'4. Billing Determinants'!$I$41*$D16, VLOOKUP(U$4,'4. Billing Determinants'!$B$19:$P$41,3,0)/'4. Billing Determinants'!$D$41*$D16))))),0)</f>
        <v>0</v>
      </c>
      <c r="V16" s="70">
        <f>IFERROR(IF(V$4="",0,IF($E16="kWh",VLOOKUP(V$4,'4. Billing Determinants'!$B$19:$P$41,4,0)/'4. Billing Determinants'!$E$41*$D16,IF($E16="kW",VLOOKUP(V$4,'4. Billing Determinants'!$B$19:$P$41,5,0)/'4. Billing Determinants'!$F$41*$D16,IF($E16="Non-RPP kWh",VLOOKUP(V$4,'4. Billing Determinants'!$B$19:$P$41,6,0)/'4. Billing Determinants'!$G$41*$D16,IF($E16="Distribution Rev.",VLOOKUP(V$4,'4. Billing Determinants'!$B$19:$P$41,8,0)/'4. Billing Determinants'!$I$41*$D16, VLOOKUP(V$4,'4. Billing Determinants'!$B$19:$P$41,3,0)/'4. Billing Determinants'!$D$41*$D16))))),0)</f>
        <v>0</v>
      </c>
      <c r="W16" s="70">
        <f>IFERROR(IF(W$4="",0,IF($E16="kWh",VLOOKUP(W$4,'4. Billing Determinants'!$B$19:$P$41,4,0)/'4. Billing Determinants'!$E$41*$D16,IF($E16="kW",VLOOKUP(W$4,'4. Billing Determinants'!$B$19:$P$41,5,0)/'4. Billing Determinants'!$F$41*$D16,IF($E16="Non-RPP kWh",VLOOKUP(W$4,'4. Billing Determinants'!$B$19:$P$41,6,0)/'4. Billing Determinants'!$G$41*$D16,IF($E16="Distribution Rev.",VLOOKUP(W$4,'4. Billing Determinants'!$B$19:$P$41,8,0)/'4. Billing Determinants'!$I$41*$D16, VLOOKUP(W$4,'4. Billing Determinants'!$B$19:$P$41,3,0)/'4. Billing Determinants'!$D$41*$D16))))),0)</f>
        <v>0</v>
      </c>
      <c r="X16" s="70">
        <f>IFERROR(IF(X$4="",0,IF($E16="kWh",VLOOKUP(X$4,'4. Billing Determinants'!$B$19:$P$41,4,0)/'4. Billing Determinants'!$E$41*$D16,IF($E16="kW",VLOOKUP(X$4,'4. Billing Determinants'!$B$19:$P$41,5,0)/'4. Billing Determinants'!$F$41*$D16,IF($E16="Non-RPP kWh",VLOOKUP(X$4,'4. Billing Determinants'!$B$19:$P$41,6,0)/'4. Billing Determinants'!$G$41*$D16,IF($E16="Distribution Rev.",VLOOKUP(X$4,'4. Billing Determinants'!$B$19:$P$41,8,0)/'4. Billing Determinants'!$I$41*$D16, VLOOKUP(X$4,'4. Billing Determinants'!$B$19:$P$41,3,0)/'4. Billing Determinants'!$D$41*$D16))))),0)</f>
        <v>0</v>
      </c>
      <c r="Y16" s="70">
        <f>IFERROR(IF(Y$4="",0,IF($E16="kWh",VLOOKUP(Y$4,'4. Billing Determinants'!$B$19:$P$41,4,0)/'4. Billing Determinants'!$E$41*$D16,IF($E16="kW",VLOOKUP(Y$4,'4. Billing Determinants'!$B$19:$P$41,5,0)/'4. Billing Determinants'!$F$41*$D16,IF($E16="Non-RPP kWh",VLOOKUP(Y$4,'4. Billing Determinants'!$B$19:$P$41,6,0)/'4. Billing Determinants'!$G$41*$D16,IF($E16="Distribution Rev.",VLOOKUP(Y$4,'4. Billing Determinants'!$B$19:$P$41,8,0)/'4. Billing Determinants'!$I$41*$D16, VLOOKUP(Y$4,'4. Billing Determinants'!$B$19:$P$41,3,0)/'4. Billing Determinants'!$D$41*$D16))))),0)</f>
        <v>0</v>
      </c>
    </row>
    <row r="17" spans="2:25" s="57" customFormat="1" x14ac:dyDescent="0.2">
      <c r="B17" s="88" t="s">
        <v>148</v>
      </c>
      <c r="C17" s="88"/>
      <c r="D17" s="89">
        <f>SUM(D5:D16)-D11</f>
        <v>-1381324.1002719998</v>
      </c>
      <c r="E17" s="101"/>
      <c r="F17" s="89">
        <f>SUM(F5:F16)-F11</f>
        <v>-473687.71772681084</v>
      </c>
      <c r="G17" s="89">
        <f t="shared" ref="G17:Y17" si="0">SUM(G5:G16)-G11</f>
        <v>-142669.84587182084</v>
      </c>
      <c r="H17" s="89">
        <f t="shared" si="0"/>
        <v>-753640.39786188526</v>
      </c>
      <c r="I17" s="89">
        <f t="shared" si="0"/>
        <v>-2582.5783484667513</v>
      </c>
      <c r="J17" s="89">
        <f t="shared" si="0"/>
        <v>-305.16573966456707</v>
      </c>
      <c r="K17" s="89">
        <f t="shared" si="0"/>
        <v>-8438.3947233515555</v>
      </c>
      <c r="L17" s="89">
        <f t="shared" si="0"/>
        <v>0</v>
      </c>
      <c r="M17" s="89">
        <f t="shared" si="0"/>
        <v>0</v>
      </c>
      <c r="N17" s="89">
        <f t="shared" si="0"/>
        <v>0</v>
      </c>
      <c r="O17" s="89">
        <f t="shared" si="0"/>
        <v>0</v>
      </c>
      <c r="P17" s="89">
        <f t="shared" si="0"/>
        <v>0</v>
      </c>
      <c r="Q17" s="89">
        <f t="shared" si="0"/>
        <v>0</v>
      </c>
      <c r="R17" s="89">
        <f t="shared" si="0"/>
        <v>0</v>
      </c>
      <c r="S17" s="89">
        <f t="shared" si="0"/>
        <v>0</v>
      </c>
      <c r="T17" s="89">
        <f t="shared" si="0"/>
        <v>0</v>
      </c>
      <c r="U17" s="89">
        <f t="shared" si="0"/>
        <v>0</v>
      </c>
      <c r="V17" s="89">
        <f t="shared" si="0"/>
        <v>0</v>
      </c>
      <c r="W17" s="89">
        <f t="shared" si="0"/>
        <v>0</v>
      </c>
      <c r="X17" s="89">
        <f t="shared" si="0"/>
        <v>0</v>
      </c>
      <c r="Y17" s="89">
        <f t="shared" si="0"/>
        <v>0</v>
      </c>
    </row>
    <row r="18" spans="2:25" ht="8.4499999999999993" customHeight="1" x14ac:dyDescent="0.2">
      <c r="B18" s="73"/>
      <c r="C18" s="73"/>
      <c r="D18" s="74"/>
      <c r="E18" s="87"/>
    </row>
    <row r="19" spans="2:25" x14ac:dyDescent="0.2">
      <c r="B19" s="68" t="s">
        <v>44</v>
      </c>
      <c r="C19" s="69">
        <v>1508</v>
      </c>
      <c r="D19" s="70">
        <f>'2. 2014 Continuity Schedule'!BO42</f>
        <v>16991.555199999999</v>
      </c>
      <c r="E19" s="130" t="s">
        <v>297</v>
      </c>
      <c r="F19" s="70">
        <f>IFERROR(IF(F$4="",0,IF($E19="kWh",VLOOKUP(F$4,'4. Billing Determinants'!$B$19:$P$41,4,0)/'4. Billing Determinants'!$E$41*$D19,IF($E19="kW",VLOOKUP(F$4,'4. Billing Determinants'!$B$19:$P$41,5,0)/'4. Billing Determinants'!$F$41*$D19,IF($E19="Non-RPP kWh",VLOOKUP(F$4,'4. Billing Determinants'!$B$19:$P$41,6,0)/'4. Billing Determinants'!$G$41*$D19,IF($E19="Distribution Rev.",VLOOKUP(F$4,'4. Billing Determinants'!$B$19:$P$41,8,0)/'4. Billing Determinants'!$I$41*$D19, VLOOKUP(F$4,'4. Billing Determinants'!$B$19:$P$41,3,0)/'4. Billing Determinants'!$D$41*$D19))))),0)</f>
        <v>9543.5402406887897</v>
      </c>
      <c r="G19" s="70">
        <f>IFERROR(IF(G$4="",0,IF($E19="kWh",VLOOKUP(G$4,'4. Billing Determinants'!$B$19:$P$41,4,0)/'4. Billing Determinants'!$E$41*$D19,IF($E19="kW",VLOOKUP(G$4,'4. Billing Determinants'!$B$19:$P$41,5,0)/'4. Billing Determinants'!$F$41*$D19,IF($E19="Non-RPP kWh",VLOOKUP(G$4,'4. Billing Determinants'!$B$19:$P$41,6,0)/'4. Billing Determinants'!$G$41*$D19,IF($E19="Distribution Rev.",VLOOKUP(G$4,'4. Billing Determinants'!$B$19:$P$41,8,0)/'4. Billing Determinants'!$I$41*$D19, VLOOKUP(G$4,'4. Billing Determinants'!$B$19:$P$41,3,0)/'4. Billing Determinants'!$D$41*$D19))))),0)</f>
        <v>2088.4570362914483</v>
      </c>
      <c r="H19" s="70">
        <f>IFERROR(IF(H$4="",0,IF($E19="kWh",VLOOKUP(H$4,'4. Billing Determinants'!$B$19:$P$41,4,0)/'4. Billing Determinants'!$E$41*$D19,IF($E19="kW",VLOOKUP(H$4,'4. Billing Determinants'!$B$19:$P$41,5,0)/'4. Billing Determinants'!$F$41*$D19,IF($E19="Non-RPP kWh",VLOOKUP(H$4,'4. Billing Determinants'!$B$19:$P$41,6,0)/'4. Billing Determinants'!$G$41*$D19,IF($E19="Distribution Rev.",VLOOKUP(H$4,'4. Billing Determinants'!$B$19:$P$41,8,0)/'4. Billing Determinants'!$I$41*$D19, VLOOKUP(H$4,'4. Billing Determinants'!$B$19:$P$41,3,0)/'4. Billing Determinants'!$D$41*$D19))))),0)</f>
        <v>5145.3254584800261</v>
      </c>
      <c r="I19" s="70">
        <f>IFERROR(IF(I$4="",0,IF($E19="kWh",VLOOKUP(I$4,'4. Billing Determinants'!$B$19:$P$41,4,0)/'4. Billing Determinants'!$E$41*$D19,IF($E19="kW",VLOOKUP(I$4,'4. Billing Determinants'!$B$19:$P$41,5,0)/'4. Billing Determinants'!$F$41*$D19,IF($E19="Non-RPP kWh",VLOOKUP(I$4,'4. Billing Determinants'!$B$19:$P$41,6,0)/'4. Billing Determinants'!$G$41*$D19,IF($E19="Distribution Rev.",VLOOKUP(I$4,'4. Billing Determinants'!$B$19:$P$41,8,0)/'4. Billing Determinants'!$I$41*$D19, VLOOKUP(I$4,'4. Billing Determinants'!$B$19:$P$41,3,0)/'4. Billing Determinants'!$D$41*$D19))))),0)</f>
        <v>80.548943396944154</v>
      </c>
      <c r="J19" s="70">
        <f>IFERROR(IF(J$4="",0,IF($E19="kWh",VLOOKUP(J$4,'4. Billing Determinants'!$B$19:$P$41,4,0)/'4. Billing Determinants'!$E$41*$D19,IF($E19="kW",VLOOKUP(J$4,'4. Billing Determinants'!$B$19:$P$41,5,0)/'4. Billing Determinants'!$F$41*$D19,IF($E19="Non-RPP kWh",VLOOKUP(J$4,'4. Billing Determinants'!$B$19:$P$41,6,0)/'4. Billing Determinants'!$G$41*$D19,IF($E19="Distribution Rev.",VLOOKUP(J$4,'4. Billing Determinants'!$B$19:$P$41,8,0)/'4. Billing Determinants'!$I$41*$D19, VLOOKUP(J$4,'4. Billing Determinants'!$B$19:$P$41,3,0)/'4. Billing Determinants'!$D$41*$D19))))),0)</f>
        <v>31.225765480669029</v>
      </c>
      <c r="K19" s="70">
        <f>IFERROR(IF(K$4="",0,IF($E19="kWh",VLOOKUP(K$4,'4. Billing Determinants'!$B$19:$P$41,4,0)/'4. Billing Determinants'!$E$41*$D19,IF($E19="kW",VLOOKUP(K$4,'4. Billing Determinants'!$B$19:$P$41,5,0)/'4. Billing Determinants'!$F$41*$D19,IF($E19="Non-RPP kWh",VLOOKUP(K$4,'4. Billing Determinants'!$B$19:$P$41,6,0)/'4. Billing Determinants'!$G$41*$D19,IF($E19="Distribution Rev.",VLOOKUP(K$4,'4. Billing Determinants'!$B$19:$P$41,8,0)/'4. Billing Determinants'!$I$41*$D19, VLOOKUP(K$4,'4. Billing Determinants'!$B$19:$P$41,3,0)/'4. Billing Determinants'!$D$41*$D19))))),0)</f>
        <v>102.45775566212168</v>
      </c>
      <c r="L19" s="70">
        <f>IFERROR(IF(L$4="",0,IF($E19="kWh",VLOOKUP(L$4,'4. Billing Determinants'!$B$19:$P$41,4,0)/'4. Billing Determinants'!$E$41*$D19,IF($E19="kW",VLOOKUP(L$4,'4. Billing Determinants'!$B$19:$P$41,5,0)/'4. Billing Determinants'!$F$41*$D19,IF($E19="Non-RPP kWh",VLOOKUP(L$4,'4. Billing Determinants'!$B$19:$P$41,6,0)/'4. Billing Determinants'!$G$41*$D19,IF($E19="Distribution Rev.",VLOOKUP(L$4,'4. Billing Determinants'!$B$19:$P$41,8,0)/'4. Billing Determinants'!$I$41*$D19, VLOOKUP(L$4,'4. Billing Determinants'!$B$19:$P$41,3,0)/'4. Billing Determinants'!$D$41*$D19))))),0)</f>
        <v>0</v>
      </c>
      <c r="M19" s="70">
        <f>IFERROR(IF(M$4="",0,IF($E19="kWh",VLOOKUP(M$4,'4. Billing Determinants'!$B$19:$P$41,4,0)/'4. Billing Determinants'!$E$41*$D19,IF($E19="kW",VLOOKUP(M$4,'4. Billing Determinants'!$B$19:$P$41,5,0)/'4. Billing Determinants'!$F$41*$D19,IF($E19="Non-RPP kWh",VLOOKUP(M$4,'4. Billing Determinants'!$B$19:$P$41,6,0)/'4. Billing Determinants'!$G$41*$D19,IF($E19="Distribution Rev.",VLOOKUP(M$4,'4. Billing Determinants'!$B$19:$P$41,8,0)/'4. Billing Determinants'!$I$41*$D19, VLOOKUP(M$4,'4. Billing Determinants'!$B$19:$P$41,3,0)/'4. Billing Determinants'!$D$41*$D19))))),0)</f>
        <v>0</v>
      </c>
      <c r="N19" s="70">
        <f>IFERROR(IF(N$4="",0,IF($E19="kWh",VLOOKUP(N$4,'4. Billing Determinants'!$B$19:$P$41,4,0)/'4. Billing Determinants'!$E$41*$D19,IF($E19="kW",VLOOKUP(N$4,'4. Billing Determinants'!$B$19:$P$41,5,0)/'4. Billing Determinants'!$F$41*$D19,IF($E19="Non-RPP kWh",VLOOKUP(N$4,'4. Billing Determinants'!$B$19:$P$41,6,0)/'4. Billing Determinants'!$G$41*$D19,IF($E19="Distribution Rev.",VLOOKUP(N$4,'4. Billing Determinants'!$B$19:$P$41,8,0)/'4. Billing Determinants'!$I$41*$D19, VLOOKUP(N$4,'4. Billing Determinants'!$B$19:$P$41,3,0)/'4. Billing Determinants'!$D$41*$D19))))),0)</f>
        <v>0</v>
      </c>
      <c r="O19" s="70">
        <f>IFERROR(IF(O$4="",0,IF($E19="kWh",VLOOKUP(O$4,'4. Billing Determinants'!$B$19:$P$41,4,0)/'4. Billing Determinants'!$E$41*$D19,IF($E19="kW",VLOOKUP(O$4,'4. Billing Determinants'!$B$19:$P$41,5,0)/'4. Billing Determinants'!$F$41*$D19,IF($E19="Non-RPP kWh",VLOOKUP(O$4,'4. Billing Determinants'!$B$19:$P$41,6,0)/'4. Billing Determinants'!$G$41*$D19,IF($E19="Distribution Rev.",VLOOKUP(O$4,'4. Billing Determinants'!$B$19:$P$41,8,0)/'4. Billing Determinants'!$I$41*$D19, VLOOKUP(O$4,'4. Billing Determinants'!$B$19:$P$41,3,0)/'4. Billing Determinants'!$D$41*$D19))))),0)</f>
        <v>0</v>
      </c>
      <c r="P19" s="70">
        <f>IFERROR(IF(P$4="",0,IF($E19="kWh",VLOOKUP(P$4,'4. Billing Determinants'!$B$19:$P$41,4,0)/'4. Billing Determinants'!$E$41*$D19,IF($E19="kW",VLOOKUP(P$4,'4. Billing Determinants'!$B$19:$P$41,5,0)/'4. Billing Determinants'!$F$41*$D19,IF($E19="Non-RPP kWh",VLOOKUP(P$4,'4. Billing Determinants'!$B$19:$P$41,6,0)/'4. Billing Determinants'!$G$41*$D19,IF($E19="Distribution Rev.",VLOOKUP(P$4,'4. Billing Determinants'!$B$19:$P$41,8,0)/'4. Billing Determinants'!$I$41*$D19, VLOOKUP(P$4,'4. Billing Determinants'!$B$19:$P$41,3,0)/'4. Billing Determinants'!$D$41*$D19))))),0)</f>
        <v>0</v>
      </c>
      <c r="Q19" s="70">
        <f>IFERROR(IF(Q$4="",0,IF($E19="kWh",VLOOKUP(Q$4,'4. Billing Determinants'!$B$19:$P$41,4,0)/'4. Billing Determinants'!$E$41*$D19,IF($E19="kW",VLOOKUP(Q$4,'4. Billing Determinants'!$B$19:$P$41,5,0)/'4. Billing Determinants'!$F$41*$D19,IF($E19="Non-RPP kWh",VLOOKUP(Q$4,'4. Billing Determinants'!$B$19:$P$41,6,0)/'4. Billing Determinants'!$G$41*$D19,IF($E19="Distribution Rev.",VLOOKUP(Q$4,'4. Billing Determinants'!$B$19:$P$41,8,0)/'4. Billing Determinants'!$I$41*$D19, VLOOKUP(Q$4,'4. Billing Determinants'!$B$19:$P$41,3,0)/'4. Billing Determinants'!$D$41*$D19))))),0)</f>
        <v>0</v>
      </c>
      <c r="R19" s="70">
        <f>IFERROR(IF(R$4="",0,IF($E19="kWh",VLOOKUP(R$4,'4. Billing Determinants'!$B$19:$P$41,4,0)/'4. Billing Determinants'!$E$41*$D19,IF($E19="kW",VLOOKUP(R$4,'4. Billing Determinants'!$B$19:$P$41,5,0)/'4. Billing Determinants'!$F$41*$D19,IF($E19="Non-RPP kWh",VLOOKUP(R$4,'4. Billing Determinants'!$B$19:$P$41,6,0)/'4. Billing Determinants'!$G$41*$D19,IF($E19="Distribution Rev.",VLOOKUP(R$4,'4. Billing Determinants'!$B$19:$P$41,8,0)/'4. Billing Determinants'!$I$41*$D19, VLOOKUP(R$4,'4. Billing Determinants'!$B$19:$P$41,3,0)/'4. Billing Determinants'!$D$41*$D19))))),0)</f>
        <v>0</v>
      </c>
      <c r="S19" s="70">
        <f>IFERROR(IF(S$4="",0,IF($E19="kWh",VLOOKUP(S$4,'4. Billing Determinants'!$B$19:$P$41,4,0)/'4. Billing Determinants'!$E$41*$D19,IF($E19="kW",VLOOKUP(S$4,'4. Billing Determinants'!$B$19:$P$41,5,0)/'4. Billing Determinants'!$F$41*$D19,IF($E19="Non-RPP kWh",VLOOKUP(S$4,'4. Billing Determinants'!$B$19:$P$41,6,0)/'4. Billing Determinants'!$G$41*$D19,IF($E19="Distribution Rev.",VLOOKUP(S$4,'4. Billing Determinants'!$B$19:$P$41,8,0)/'4. Billing Determinants'!$I$41*$D19, VLOOKUP(S$4,'4. Billing Determinants'!$B$19:$P$41,3,0)/'4. Billing Determinants'!$D$41*$D19))))),0)</f>
        <v>0</v>
      </c>
      <c r="T19" s="70">
        <f>IFERROR(IF(T$4="",0,IF($E19="kWh",VLOOKUP(T$4,'4. Billing Determinants'!$B$19:$P$41,4,0)/'4. Billing Determinants'!$E$41*$D19,IF($E19="kW",VLOOKUP(T$4,'4. Billing Determinants'!$B$19:$P$41,5,0)/'4. Billing Determinants'!$F$41*$D19,IF($E19="Non-RPP kWh",VLOOKUP(T$4,'4. Billing Determinants'!$B$19:$P$41,6,0)/'4. Billing Determinants'!$G$41*$D19,IF($E19="Distribution Rev.",VLOOKUP(T$4,'4. Billing Determinants'!$B$19:$P$41,8,0)/'4. Billing Determinants'!$I$41*$D19, VLOOKUP(T$4,'4. Billing Determinants'!$B$19:$P$41,3,0)/'4. Billing Determinants'!$D$41*$D19))))),0)</f>
        <v>0</v>
      </c>
      <c r="U19" s="70">
        <f>IFERROR(IF(U$4="",0,IF($E19="kWh",VLOOKUP(U$4,'4. Billing Determinants'!$B$19:$P$41,4,0)/'4. Billing Determinants'!$E$41*$D19,IF($E19="kW",VLOOKUP(U$4,'4. Billing Determinants'!$B$19:$P$41,5,0)/'4. Billing Determinants'!$F$41*$D19,IF($E19="Non-RPP kWh",VLOOKUP(U$4,'4. Billing Determinants'!$B$19:$P$41,6,0)/'4. Billing Determinants'!$G$41*$D19,IF($E19="Distribution Rev.",VLOOKUP(U$4,'4. Billing Determinants'!$B$19:$P$41,8,0)/'4. Billing Determinants'!$I$41*$D19, VLOOKUP(U$4,'4. Billing Determinants'!$B$19:$P$41,3,0)/'4. Billing Determinants'!$D$41*$D19))))),0)</f>
        <v>0</v>
      </c>
      <c r="V19" s="70">
        <f>IFERROR(IF(V$4="",0,IF($E19="kWh",VLOOKUP(V$4,'4. Billing Determinants'!$B$19:$P$41,4,0)/'4. Billing Determinants'!$E$41*$D19,IF($E19="kW",VLOOKUP(V$4,'4. Billing Determinants'!$B$19:$P$41,5,0)/'4. Billing Determinants'!$F$41*$D19,IF($E19="Non-RPP kWh",VLOOKUP(V$4,'4. Billing Determinants'!$B$19:$P$41,6,0)/'4. Billing Determinants'!$G$41*$D19,IF($E19="Distribution Rev.",VLOOKUP(V$4,'4. Billing Determinants'!$B$19:$P$41,8,0)/'4. Billing Determinants'!$I$41*$D19, VLOOKUP(V$4,'4. Billing Determinants'!$B$19:$P$41,3,0)/'4. Billing Determinants'!$D$41*$D19))))),0)</f>
        <v>0</v>
      </c>
      <c r="W19" s="70">
        <f>IFERROR(IF(W$4="",0,IF($E19="kWh",VLOOKUP(W$4,'4. Billing Determinants'!$B$19:$P$41,4,0)/'4. Billing Determinants'!$E$41*$D19,IF($E19="kW",VLOOKUP(W$4,'4. Billing Determinants'!$B$19:$P$41,5,0)/'4. Billing Determinants'!$F$41*$D19,IF($E19="Non-RPP kWh",VLOOKUP(W$4,'4. Billing Determinants'!$B$19:$P$41,6,0)/'4. Billing Determinants'!$G$41*$D19,IF($E19="Distribution Rev.",VLOOKUP(W$4,'4. Billing Determinants'!$B$19:$P$41,8,0)/'4. Billing Determinants'!$I$41*$D19, VLOOKUP(W$4,'4. Billing Determinants'!$B$19:$P$41,3,0)/'4. Billing Determinants'!$D$41*$D19))))),0)</f>
        <v>0</v>
      </c>
      <c r="X19" s="70">
        <f>IFERROR(IF(X$4="",0,IF($E19="kWh",VLOOKUP(X$4,'4. Billing Determinants'!$B$19:$P$41,4,0)/'4. Billing Determinants'!$E$41*$D19,IF($E19="kW",VLOOKUP(X$4,'4. Billing Determinants'!$B$19:$P$41,5,0)/'4. Billing Determinants'!$F$41*$D19,IF($E19="Non-RPP kWh",VLOOKUP(X$4,'4. Billing Determinants'!$B$19:$P$41,6,0)/'4. Billing Determinants'!$G$41*$D19,IF($E19="Distribution Rev.",VLOOKUP(X$4,'4. Billing Determinants'!$B$19:$P$41,8,0)/'4. Billing Determinants'!$I$41*$D19, VLOOKUP(X$4,'4. Billing Determinants'!$B$19:$P$41,3,0)/'4. Billing Determinants'!$D$41*$D19))))),0)</f>
        <v>0</v>
      </c>
      <c r="Y19" s="70">
        <f>IFERROR(IF(Y$4="",0,IF($E19="kWh",VLOOKUP(Y$4,'4. Billing Determinants'!$B$19:$P$41,4,0)/'4. Billing Determinants'!$E$41*$D19,IF($E19="kW",VLOOKUP(Y$4,'4. Billing Determinants'!$B$19:$P$41,5,0)/'4. Billing Determinants'!$F$41*$D19,IF($E19="Non-RPP kWh",VLOOKUP(Y$4,'4. Billing Determinants'!$B$19:$P$41,6,0)/'4. Billing Determinants'!$G$41*$D19,IF($E19="Distribution Rev.",VLOOKUP(Y$4,'4. Billing Determinants'!$B$19:$P$41,8,0)/'4. Billing Determinants'!$I$41*$D19, VLOOKUP(Y$4,'4. Billing Determinants'!$B$19:$P$41,3,0)/'4. Billing Determinants'!$D$41*$D19))))),0)</f>
        <v>0</v>
      </c>
    </row>
    <row r="20" spans="2:25" x14ac:dyDescent="0.2">
      <c r="B20" s="68" t="s">
        <v>45</v>
      </c>
      <c r="C20" s="69">
        <v>1508</v>
      </c>
      <c r="D20" s="70">
        <f>'2. 2014 Continuity Schedule'!BO43</f>
        <v>6868.9907720000001</v>
      </c>
      <c r="E20" s="130" t="s">
        <v>297</v>
      </c>
      <c r="F20" s="70">
        <f>IFERROR(IF(F$4="",0,IF($E20="kWh",VLOOKUP(F$4,'4. Billing Determinants'!$B$19:$P$41,4,0)/'4. Billing Determinants'!$E$41*$D20,IF($E20="kW",VLOOKUP(F$4,'4. Billing Determinants'!$B$19:$P$41,5,0)/'4. Billing Determinants'!$F$41*$D20,IF($E20="Non-RPP kWh",VLOOKUP(F$4,'4. Billing Determinants'!$B$19:$P$41,6,0)/'4. Billing Determinants'!$G$41*$D20,IF($E20="Distribution Rev.",VLOOKUP(F$4,'4. Billing Determinants'!$B$19:$P$41,8,0)/'4. Billing Determinants'!$I$41*$D20, VLOOKUP(F$4,'4. Billing Determinants'!$B$19:$P$41,3,0)/'4. Billing Determinants'!$D$41*$D20))))),0)</f>
        <v>3858.0629656255337</v>
      </c>
      <c r="G20" s="70">
        <f>IFERROR(IF(G$4="",0,IF($E20="kWh",VLOOKUP(G$4,'4. Billing Determinants'!$B$19:$P$41,4,0)/'4. Billing Determinants'!$E$41*$D20,IF($E20="kW",VLOOKUP(G$4,'4. Billing Determinants'!$B$19:$P$41,5,0)/'4. Billing Determinants'!$F$41*$D20,IF($E20="Non-RPP kWh",VLOOKUP(G$4,'4. Billing Determinants'!$B$19:$P$41,6,0)/'4. Billing Determinants'!$G$41*$D20,IF($E20="Distribution Rev.",VLOOKUP(G$4,'4. Billing Determinants'!$B$19:$P$41,8,0)/'4. Billing Determinants'!$I$41*$D20, VLOOKUP(G$4,'4. Billing Determinants'!$B$19:$P$41,3,0)/'4. Billing Determinants'!$D$41*$D20))))),0)</f>
        <v>844.27775687092071</v>
      </c>
      <c r="H20" s="70">
        <f>IFERROR(IF(H$4="",0,IF($E20="kWh",VLOOKUP(H$4,'4. Billing Determinants'!$B$19:$P$41,4,0)/'4. Billing Determinants'!$E$41*$D20,IF($E20="kW",VLOOKUP(H$4,'4. Billing Determinants'!$B$19:$P$41,5,0)/'4. Billing Determinants'!$F$41*$D20,IF($E20="Non-RPP kWh",VLOOKUP(H$4,'4. Billing Determinants'!$B$19:$P$41,6,0)/'4. Billing Determinants'!$G$41*$D20,IF($E20="Distribution Rev.",VLOOKUP(H$4,'4. Billing Determinants'!$B$19:$P$41,8,0)/'4. Billing Determinants'!$I$41*$D20, VLOOKUP(H$4,'4. Billing Determinants'!$B$19:$P$41,3,0)/'4. Billing Determinants'!$D$41*$D20))))),0)</f>
        <v>2080.0446267117427</v>
      </c>
      <c r="I20" s="70">
        <f>IFERROR(IF(I$4="",0,IF($E20="kWh",VLOOKUP(I$4,'4. Billing Determinants'!$B$19:$P$41,4,0)/'4. Billing Determinants'!$E$41*$D20,IF($E20="kW",VLOOKUP(I$4,'4. Billing Determinants'!$B$19:$P$41,5,0)/'4. Billing Determinants'!$F$41*$D20,IF($E20="Non-RPP kWh",VLOOKUP(I$4,'4. Billing Determinants'!$B$19:$P$41,6,0)/'4. Billing Determinants'!$G$41*$D20,IF($E20="Distribution Rev.",VLOOKUP(I$4,'4. Billing Determinants'!$B$19:$P$41,8,0)/'4. Billing Determinants'!$I$41*$D20, VLOOKUP(I$4,'4. Billing Determinants'!$B$19:$P$41,3,0)/'4. Billing Determinants'!$D$41*$D20))))),0)</f>
        <v>32.562643170412073</v>
      </c>
      <c r="J20" s="70">
        <f>IFERROR(IF(J$4="",0,IF($E20="kWh",VLOOKUP(J$4,'4. Billing Determinants'!$B$19:$P$41,4,0)/'4. Billing Determinants'!$E$41*$D20,IF($E20="kW",VLOOKUP(J$4,'4. Billing Determinants'!$B$19:$P$41,5,0)/'4. Billing Determinants'!$F$41*$D20,IF($E20="Non-RPP kWh",VLOOKUP(J$4,'4. Billing Determinants'!$B$19:$P$41,6,0)/'4. Billing Determinants'!$G$41*$D20,IF($E20="Distribution Rev.",VLOOKUP(J$4,'4. Billing Determinants'!$B$19:$P$41,8,0)/'4. Billing Determinants'!$I$41*$D20, VLOOKUP(J$4,'4. Billing Determinants'!$B$19:$P$41,3,0)/'4. Billing Determinants'!$D$41*$D20))))),0)</f>
        <v>12.623299775134869</v>
      </c>
      <c r="K20" s="70">
        <f>IFERROR(IF(K$4="",0,IF($E20="kWh",VLOOKUP(K$4,'4. Billing Determinants'!$B$19:$P$41,4,0)/'4. Billing Determinants'!$E$41*$D20,IF($E20="kW",VLOOKUP(K$4,'4. Billing Determinants'!$B$19:$P$41,5,0)/'4. Billing Determinants'!$F$41*$D20,IF($E20="Non-RPP kWh",VLOOKUP(K$4,'4. Billing Determinants'!$B$19:$P$41,6,0)/'4. Billing Determinants'!$G$41*$D20,IF($E20="Distribution Rev.",VLOOKUP(K$4,'4. Billing Determinants'!$B$19:$P$41,8,0)/'4. Billing Determinants'!$I$41*$D20, VLOOKUP(K$4,'4. Billing Determinants'!$B$19:$P$41,3,0)/'4. Billing Determinants'!$D$41*$D20))))),0)</f>
        <v>41.419479846255904</v>
      </c>
      <c r="L20" s="70">
        <f>IFERROR(IF(L$4="",0,IF($E20="kWh",VLOOKUP(L$4,'4. Billing Determinants'!$B$19:$P$41,4,0)/'4. Billing Determinants'!$E$41*$D20,IF($E20="kW",VLOOKUP(L$4,'4. Billing Determinants'!$B$19:$P$41,5,0)/'4. Billing Determinants'!$F$41*$D20,IF($E20="Non-RPP kWh",VLOOKUP(L$4,'4. Billing Determinants'!$B$19:$P$41,6,0)/'4. Billing Determinants'!$G$41*$D20,IF($E20="Distribution Rev.",VLOOKUP(L$4,'4. Billing Determinants'!$B$19:$P$41,8,0)/'4. Billing Determinants'!$I$41*$D20, VLOOKUP(L$4,'4. Billing Determinants'!$B$19:$P$41,3,0)/'4. Billing Determinants'!$D$41*$D20))))),0)</f>
        <v>0</v>
      </c>
      <c r="M20" s="70">
        <f>IFERROR(IF(M$4="",0,IF($E20="kWh",VLOOKUP(M$4,'4. Billing Determinants'!$B$19:$P$41,4,0)/'4. Billing Determinants'!$E$41*$D20,IF($E20="kW",VLOOKUP(M$4,'4. Billing Determinants'!$B$19:$P$41,5,0)/'4. Billing Determinants'!$F$41*$D20,IF($E20="Non-RPP kWh",VLOOKUP(M$4,'4. Billing Determinants'!$B$19:$P$41,6,0)/'4. Billing Determinants'!$G$41*$D20,IF($E20="Distribution Rev.",VLOOKUP(M$4,'4. Billing Determinants'!$B$19:$P$41,8,0)/'4. Billing Determinants'!$I$41*$D20, VLOOKUP(M$4,'4. Billing Determinants'!$B$19:$P$41,3,0)/'4. Billing Determinants'!$D$41*$D20))))),0)</f>
        <v>0</v>
      </c>
      <c r="N20" s="70">
        <f>IFERROR(IF(N$4="",0,IF($E20="kWh",VLOOKUP(N$4,'4. Billing Determinants'!$B$19:$P$41,4,0)/'4. Billing Determinants'!$E$41*$D20,IF($E20="kW",VLOOKUP(N$4,'4. Billing Determinants'!$B$19:$P$41,5,0)/'4. Billing Determinants'!$F$41*$D20,IF($E20="Non-RPP kWh",VLOOKUP(N$4,'4. Billing Determinants'!$B$19:$P$41,6,0)/'4. Billing Determinants'!$G$41*$D20,IF($E20="Distribution Rev.",VLOOKUP(N$4,'4. Billing Determinants'!$B$19:$P$41,8,0)/'4. Billing Determinants'!$I$41*$D20, VLOOKUP(N$4,'4. Billing Determinants'!$B$19:$P$41,3,0)/'4. Billing Determinants'!$D$41*$D20))))),0)</f>
        <v>0</v>
      </c>
      <c r="O20" s="70">
        <f>IFERROR(IF(O$4="",0,IF($E20="kWh",VLOOKUP(O$4,'4. Billing Determinants'!$B$19:$P$41,4,0)/'4. Billing Determinants'!$E$41*$D20,IF($E20="kW",VLOOKUP(O$4,'4. Billing Determinants'!$B$19:$P$41,5,0)/'4. Billing Determinants'!$F$41*$D20,IF($E20="Non-RPP kWh",VLOOKUP(O$4,'4. Billing Determinants'!$B$19:$P$41,6,0)/'4. Billing Determinants'!$G$41*$D20,IF($E20="Distribution Rev.",VLOOKUP(O$4,'4. Billing Determinants'!$B$19:$P$41,8,0)/'4. Billing Determinants'!$I$41*$D20, VLOOKUP(O$4,'4. Billing Determinants'!$B$19:$P$41,3,0)/'4. Billing Determinants'!$D$41*$D20))))),0)</f>
        <v>0</v>
      </c>
      <c r="P20" s="70">
        <f>IFERROR(IF(P$4="",0,IF($E20="kWh",VLOOKUP(P$4,'4. Billing Determinants'!$B$19:$P$41,4,0)/'4. Billing Determinants'!$E$41*$D20,IF($E20="kW",VLOOKUP(P$4,'4. Billing Determinants'!$B$19:$P$41,5,0)/'4. Billing Determinants'!$F$41*$D20,IF($E20="Non-RPP kWh",VLOOKUP(P$4,'4. Billing Determinants'!$B$19:$P$41,6,0)/'4. Billing Determinants'!$G$41*$D20,IF($E20="Distribution Rev.",VLOOKUP(P$4,'4. Billing Determinants'!$B$19:$P$41,8,0)/'4. Billing Determinants'!$I$41*$D20, VLOOKUP(P$4,'4. Billing Determinants'!$B$19:$P$41,3,0)/'4. Billing Determinants'!$D$41*$D20))))),0)</f>
        <v>0</v>
      </c>
      <c r="Q20" s="70">
        <f>IFERROR(IF(Q$4="",0,IF($E20="kWh",VLOOKUP(Q$4,'4. Billing Determinants'!$B$19:$P$41,4,0)/'4. Billing Determinants'!$E$41*$D20,IF($E20="kW",VLOOKUP(Q$4,'4. Billing Determinants'!$B$19:$P$41,5,0)/'4. Billing Determinants'!$F$41*$D20,IF($E20="Non-RPP kWh",VLOOKUP(Q$4,'4. Billing Determinants'!$B$19:$P$41,6,0)/'4. Billing Determinants'!$G$41*$D20,IF($E20="Distribution Rev.",VLOOKUP(Q$4,'4. Billing Determinants'!$B$19:$P$41,8,0)/'4. Billing Determinants'!$I$41*$D20, VLOOKUP(Q$4,'4. Billing Determinants'!$B$19:$P$41,3,0)/'4. Billing Determinants'!$D$41*$D20))))),0)</f>
        <v>0</v>
      </c>
      <c r="R20" s="70">
        <f>IFERROR(IF(R$4="",0,IF($E20="kWh",VLOOKUP(R$4,'4. Billing Determinants'!$B$19:$P$41,4,0)/'4. Billing Determinants'!$E$41*$D20,IF($E20="kW",VLOOKUP(R$4,'4. Billing Determinants'!$B$19:$P$41,5,0)/'4. Billing Determinants'!$F$41*$D20,IF($E20="Non-RPP kWh",VLOOKUP(R$4,'4. Billing Determinants'!$B$19:$P$41,6,0)/'4. Billing Determinants'!$G$41*$D20,IF($E20="Distribution Rev.",VLOOKUP(R$4,'4. Billing Determinants'!$B$19:$P$41,8,0)/'4. Billing Determinants'!$I$41*$D20, VLOOKUP(R$4,'4. Billing Determinants'!$B$19:$P$41,3,0)/'4. Billing Determinants'!$D$41*$D20))))),0)</f>
        <v>0</v>
      </c>
      <c r="S20" s="70">
        <f>IFERROR(IF(S$4="",0,IF($E20="kWh",VLOOKUP(S$4,'4. Billing Determinants'!$B$19:$P$41,4,0)/'4. Billing Determinants'!$E$41*$D20,IF($E20="kW",VLOOKUP(S$4,'4. Billing Determinants'!$B$19:$P$41,5,0)/'4. Billing Determinants'!$F$41*$D20,IF($E20="Non-RPP kWh",VLOOKUP(S$4,'4. Billing Determinants'!$B$19:$P$41,6,0)/'4. Billing Determinants'!$G$41*$D20,IF($E20="Distribution Rev.",VLOOKUP(S$4,'4. Billing Determinants'!$B$19:$P$41,8,0)/'4. Billing Determinants'!$I$41*$D20, VLOOKUP(S$4,'4. Billing Determinants'!$B$19:$P$41,3,0)/'4. Billing Determinants'!$D$41*$D20))))),0)</f>
        <v>0</v>
      </c>
      <c r="T20" s="70">
        <f>IFERROR(IF(T$4="",0,IF($E20="kWh",VLOOKUP(T$4,'4. Billing Determinants'!$B$19:$P$41,4,0)/'4. Billing Determinants'!$E$41*$D20,IF($E20="kW",VLOOKUP(T$4,'4. Billing Determinants'!$B$19:$P$41,5,0)/'4. Billing Determinants'!$F$41*$D20,IF($E20="Non-RPP kWh",VLOOKUP(T$4,'4. Billing Determinants'!$B$19:$P$41,6,0)/'4. Billing Determinants'!$G$41*$D20,IF($E20="Distribution Rev.",VLOOKUP(T$4,'4. Billing Determinants'!$B$19:$P$41,8,0)/'4. Billing Determinants'!$I$41*$D20, VLOOKUP(T$4,'4. Billing Determinants'!$B$19:$P$41,3,0)/'4. Billing Determinants'!$D$41*$D20))))),0)</f>
        <v>0</v>
      </c>
      <c r="U20" s="70">
        <f>IFERROR(IF(U$4="",0,IF($E20="kWh",VLOOKUP(U$4,'4. Billing Determinants'!$B$19:$P$41,4,0)/'4. Billing Determinants'!$E$41*$D20,IF($E20="kW",VLOOKUP(U$4,'4. Billing Determinants'!$B$19:$P$41,5,0)/'4. Billing Determinants'!$F$41*$D20,IF($E20="Non-RPP kWh",VLOOKUP(U$4,'4. Billing Determinants'!$B$19:$P$41,6,0)/'4. Billing Determinants'!$G$41*$D20,IF($E20="Distribution Rev.",VLOOKUP(U$4,'4. Billing Determinants'!$B$19:$P$41,8,0)/'4. Billing Determinants'!$I$41*$D20, VLOOKUP(U$4,'4. Billing Determinants'!$B$19:$P$41,3,0)/'4. Billing Determinants'!$D$41*$D20))))),0)</f>
        <v>0</v>
      </c>
      <c r="V20" s="70">
        <f>IFERROR(IF(V$4="",0,IF($E20="kWh",VLOOKUP(V$4,'4. Billing Determinants'!$B$19:$P$41,4,0)/'4. Billing Determinants'!$E$41*$D20,IF($E20="kW",VLOOKUP(V$4,'4. Billing Determinants'!$B$19:$P$41,5,0)/'4. Billing Determinants'!$F$41*$D20,IF($E20="Non-RPP kWh",VLOOKUP(V$4,'4. Billing Determinants'!$B$19:$P$41,6,0)/'4. Billing Determinants'!$G$41*$D20,IF($E20="Distribution Rev.",VLOOKUP(V$4,'4. Billing Determinants'!$B$19:$P$41,8,0)/'4. Billing Determinants'!$I$41*$D20, VLOOKUP(V$4,'4. Billing Determinants'!$B$19:$P$41,3,0)/'4. Billing Determinants'!$D$41*$D20))))),0)</f>
        <v>0</v>
      </c>
      <c r="W20" s="70">
        <f>IFERROR(IF(W$4="",0,IF($E20="kWh",VLOOKUP(W$4,'4. Billing Determinants'!$B$19:$P$41,4,0)/'4. Billing Determinants'!$E$41*$D20,IF($E20="kW",VLOOKUP(W$4,'4. Billing Determinants'!$B$19:$P$41,5,0)/'4. Billing Determinants'!$F$41*$D20,IF($E20="Non-RPP kWh",VLOOKUP(W$4,'4. Billing Determinants'!$B$19:$P$41,6,0)/'4. Billing Determinants'!$G$41*$D20,IF($E20="Distribution Rev.",VLOOKUP(W$4,'4. Billing Determinants'!$B$19:$P$41,8,0)/'4. Billing Determinants'!$I$41*$D20, VLOOKUP(W$4,'4. Billing Determinants'!$B$19:$P$41,3,0)/'4. Billing Determinants'!$D$41*$D20))))),0)</f>
        <v>0</v>
      </c>
      <c r="X20" s="70">
        <f>IFERROR(IF(X$4="",0,IF($E20="kWh",VLOOKUP(X$4,'4. Billing Determinants'!$B$19:$P$41,4,0)/'4. Billing Determinants'!$E$41*$D20,IF($E20="kW",VLOOKUP(X$4,'4. Billing Determinants'!$B$19:$P$41,5,0)/'4. Billing Determinants'!$F$41*$D20,IF($E20="Non-RPP kWh",VLOOKUP(X$4,'4. Billing Determinants'!$B$19:$P$41,6,0)/'4. Billing Determinants'!$G$41*$D20,IF($E20="Distribution Rev.",VLOOKUP(X$4,'4. Billing Determinants'!$B$19:$P$41,8,0)/'4. Billing Determinants'!$I$41*$D20, VLOOKUP(X$4,'4. Billing Determinants'!$B$19:$P$41,3,0)/'4. Billing Determinants'!$D$41*$D20))))),0)</f>
        <v>0</v>
      </c>
      <c r="Y20" s="70">
        <f>IFERROR(IF(Y$4="",0,IF($E20="kWh",VLOOKUP(Y$4,'4. Billing Determinants'!$B$19:$P$41,4,0)/'4. Billing Determinants'!$E$41*$D20,IF($E20="kW",VLOOKUP(Y$4,'4. Billing Determinants'!$B$19:$P$41,5,0)/'4. Billing Determinants'!$F$41*$D20,IF($E20="Non-RPP kWh",VLOOKUP(Y$4,'4. Billing Determinants'!$B$19:$P$41,6,0)/'4. Billing Determinants'!$G$41*$D20,IF($E20="Distribution Rev.",VLOOKUP(Y$4,'4. Billing Determinants'!$B$19:$P$41,8,0)/'4. Billing Determinants'!$I$41*$D20, VLOOKUP(Y$4,'4. Billing Determinants'!$B$19:$P$41,3,0)/'4. Billing Determinants'!$D$41*$D20))))),0)</f>
        <v>0</v>
      </c>
    </row>
    <row r="21" spans="2:25" ht="27" x14ac:dyDescent="0.2">
      <c r="B21" s="206" t="s">
        <v>284</v>
      </c>
      <c r="C21" s="69">
        <v>1508</v>
      </c>
      <c r="D21" s="70">
        <f>'2. 2014 Continuity Schedule'!BO44</f>
        <v>0</v>
      </c>
      <c r="E21" s="130"/>
      <c r="F21" s="70">
        <f>IFERROR(IF(F$4="",0,IF($E21="kWh",VLOOKUP(F$4,'4. Billing Determinants'!$B$19:$P$41,4,0)/'4. Billing Determinants'!$E$41*$D21,IF($E21="kW",VLOOKUP(F$4,'4. Billing Determinants'!$B$19:$P$41,5,0)/'4. Billing Determinants'!$F$41*$D21,IF($E21="Non-RPP kWh",VLOOKUP(F$4,'4. Billing Determinants'!$B$19:$P$41,6,0)/'4. Billing Determinants'!$G$41*$D21,IF($E21="Distribution Rev.",VLOOKUP(F$4,'4. Billing Determinants'!$B$19:$P$41,8,0)/'4. Billing Determinants'!$I$41*$D21, VLOOKUP(F$4,'4. Billing Determinants'!$B$19:$P$41,3,0)/'4. Billing Determinants'!$D$41*$D21))))),0)</f>
        <v>0</v>
      </c>
      <c r="G21" s="70">
        <f>IFERROR(IF(G$4="",0,IF($E21="kWh",VLOOKUP(G$4,'4. Billing Determinants'!$B$19:$P$41,4,0)/'4. Billing Determinants'!$E$41*$D21,IF($E21="kW",VLOOKUP(G$4,'4. Billing Determinants'!$B$19:$P$41,5,0)/'4. Billing Determinants'!$F$41*$D21,IF($E21="Non-RPP kWh",VLOOKUP(G$4,'4. Billing Determinants'!$B$19:$P$41,6,0)/'4. Billing Determinants'!$G$41*$D21,IF($E21="Distribution Rev.",VLOOKUP(G$4,'4. Billing Determinants'!$B$19:$P$41,8,0)/'4. Billing Determinants'!$I$41*$D21, VLOOKUP(G$4,'4. Billing Determinants'!$B$19:$P$41,3,0)/'4. Billing Determinants'!$D$41*$D21))))),0)</f>
        <v>0</v>
      </c>
      <c r="H21" s="70">
        <f>IFERROR(IF(H$4="",0,IF($E21="kWh",VLOOKUP(H$4,'4. Billing Determinants'!$B$19:$P$41,4,0)/'4. Billing Determinants'!$E$41*$D21,IF($E21="kW",VLOOKUP(H$4,'4. Billing Determinants'!$B$19:$P$41,5,0)/'4. Billing Determinants'!$F$41*$D21,IF($E21="Non-RPP kWh",VLOOKUP(H$4,'4. Billing Determinants'!$B$19:$P$41,6,0)/'4. Billing Determinants'!$G$41*$D21,IF($E21="Distribution Rev.",VLOOKUP(H$4,'4. Billing Determinants'!$B$19:$P$41,8,0)/'4. Billing Determinants'!$I$41*$D21, VLOOKUP(H$4,'4. Billing Determinants'!$B$19:$P$41,3,0)/'4. Billing Determinants'!$D$41*$D21))))),0)</f>
        <v>0</v>
      </c>
      <c r="I21" s="70">
        <f>IFERROR(IF(I$4="",0,IF($E21="kWh",VLOOKUP(I$4,'4. Billing Determinants'!$B$19:$P$41,4,0)/'4. Billing Determinants'!$E$41*$D21,IF($E21="kW",VLOOKUP(I$4,'4. Billing Determinants'!$B$19:$P$41,5,0)/'4. Billing Determinants'!$F$41*$D21,IF($E21="Non-RPP kWh",VLOOKUP(I$4,'4. Billing Determinants'!$B$19:$P$41,6,0)/'4. Billing Determinants'!$G$41*$D21,IF($E21="Distribution Rev.",VLOOKUP(I$4,'4. Billing Determinants'!$B$19:$P$41,8,0)/'4. Billing Determinants'!$I$41*$D21, VLOOKUP(I$4,'4. Billing Determinants'!$B$19:$P$41,3,0)/'4. Billing Determinants'!$D$41*$D21))))),0)</f>
        <v>0</v>
      </c>
      <c r="J21" s="70">
        <f>IFERROR(IF(J$4="",0,IF($E21="kWh",VLOOKUP(J$4,'4. Billing Determinants'!$B$19:$P$41,4,0)/'4. Billing Determinants'!$E$41*$D21,IF($E21="kW",VLOOKUP(J$4,'4. Billing Determinants'!$B$19:$P$41,5,0)/'4. Billing Determinants'!$F$41*$D21,IF($E21="Non-RPP kWh",VLOOKUP(J$4,'4. Billing Determinants'!$B$19:$P$41,6,0)/'4. Billing Determinants'!$G$41*$D21,IF($E21="Distribution Rev.",VLOOKUP(J$4,'4. Billing Determinants'!$B$19:$P$41,8,0)/'4. Billing Determinants'!$I$41*$D21, VLOOKUP(J$4,'4. Billing Determinants'!$B$19:$P$41,3,0)/'4. Billing Determinants'!$D$41*$D21))))),0)</f>
        <v>0</v>
      </c>
      <c r="K21" s="70">
        <f>IFERROR(IF(K$4="",0,IF($E21="kWh",VLOOKUP(K$4,'4. Billing Determinants'!$B$19:$P$41,4,0)/'4. Billing Determinants'!$E$41*$D21,IF($E21="kW",VLOOKUP(K$4,'4. Billing Determinants'!$B$19:$P$41,5,0)/'4. Billing Determinants'!$F$41*$D21,IF($E21="Non-RPP kWh",VLOOKUP(K$4,'4. Billing Determinants'!$B$19:$P$41,6,0)/'4. Billing Determinants'!$G$41*$D21,IF($E21="Distribution Rev.",VLOOKUP(K$4,'4. Billing Determinants'!$B$19:$P$41,8,0)/'4. Billing Determinants'!$I$41*$D21, VLOOKUP(K$4,'4. Billing Determinants'!$B$19:$P$41,3,0)/'4. Billing Determinants'!$D$41*$D21))))),0)</f>
        <v>0</v>
      </c>
      <c r="L21" s="70">
        <f>IFERROR(IF(L$4="",0,IF($E21="kWh",VLOOKUP(L$4,'4. Billing Determinants'!$B$19:$P$41,4,0)/'4. Billing Determinants'!$E$41*$D21,IF($E21="kW",VLOOKUP(L$4,'4. Billing Determinants'!$B$19:$P$41,5,0)/'4. Billing Determinants'!$F$41*$D21,IF($E21="Non-RPP kWh",VLOOKUP(L$4,'4. Billing Determinants'!$B$19:$P$41,6,0)/'4. Billing Determinants'!$G$41*$D21,IF($E21="Distribution Rev.",VLOOKUP(L$4,'4. Billing Determinants'!$B$19:$P$41,8,0)/'4. Billing Determinants'!$I$41*$D21, VLOOKUP(L$4,'4. Billing Determinants'!$B$19:$P$41,3,0)/'4. Billing Determinants'!$D$41*$D21))))),0)</f>
        <v>0</v>
      </c>
      <c r="M21" s="70">
        <f>IFERROR(IF(M$4="",0,IF($E21="kWh",VLOOKUP(M$4,'4. Billing Determinants'!$B$19:$P$41,4,0)/'4. Billing Determinants'!$E$41*$D21,IF($E21="kW",VLOOKUP(M$4,'4. Billing Determinants'!$B$19:$P$41,5,0)/'4. Billing Determinants'!$F$41*$D21,IF($E21="Non-RPP kWh",VLOOKUP(M$4,'4. Billing Determinants'!$B$19:$P$41,6,0)/'4. Billing Determinants'!$G$41*$D21,IF($E21="Distribution Rev.",VLOOKUP(M$4,'4. Billing Determinants'!$B$19:$P$41,8,0)/'4. Billing Determinants'!$I$41*$D21, VLOOKUP(M$4,'4. Billing Determinants'!$B$19:$P$41,3,0)/'4. Billing Determinants'!$D$41*$D21))))),0)</f>
        <v>0</v>
      </c>
      <c r="N21" s="70">
        <f>IFERROR(IF(N$4="",0,IF($E21="kWh",VLOOKUP(N$4,'4. Billing Determinants'!$B$19:$P$41,4,0)/'4. Billing Determinants'!$E$41*$D21,IF($E21="kW",VLOOKUP(N$4,'4. Billing Determinants'!$B$19:$P$41,5,0)/'4. Billing Determinants'!$F$41*$D21,IF($E21="Non-RPP kWh",VLOOKUP(N$4,'4. Billing Determinants'!$B$19:$P$41,6,0)/'4. Billing Determinants'!$G$41*$D21,IF($E21="Distribution Rev.",VLOOKUP(N$4,'4. Billing Determinants'!$B$19:$P$41,8,0)/'4. Billing Determinants'!$I$41*$D21, VLOOKUP(N$4,'4. Billing Determinants'!$B$19:$P$41,3,0)/'4. Billing Determinants'!$D$41*$D21))))),0)</f>
        <v>0</v>
      </c>
      <c r="O21" s="70">
        <f>IFERROR(IF(O$4="",0,IF($E21="kWh",VLOOKUP(O$4,'4. Billing Determinants'!$B$19:$P$41,4,0)/'4. Billing Determinants'!$E$41*$D21,IF($E21="kW",VLOOKUP(O$4,'4. Billing Determinants'!$B$19:$P$41,5,0)/'4. Billing Determinants'!$F$41*$D21,IF($E21="Non-RPP kWh",VLOOKUP(O$4,'4. Billing Determinants'!$B$19:$P$41,6,0)/'4. Billing Determinants'!$G$41*$D21,IF($E21="Distribution Rev.",VLOOKUP(O$4,'4. Billing Determinants'!$B$19:$P$41,8,0)/'4. Billing Determinants'!$I$41*$D21, VLOOKUP(O$4,'4. Billing Determinants'!$B$19:$P$41,3,0)/'4. Billing Determinants'!$D$41*$D21))))),0)</f>
        <v>0</v>
      </c>
      <c r="P21" s="70">
        <f>IFERROR(IF(P$4="",0,IF($E21="kWh",VLOOKUP(P$4,'4. Billing Determinants'!$B$19:$P$41,4,0)/'4. Billing Determinants'!$E$41*$D21,IF($E21="kW",VLOOKUP(P$4,'4. Billing Determinants'!$B$19:$P$41,5,0)/'4. Billing Determinants'!$F$41*$D21,IF($E21="Non-RPP kWh",VLOOKUP(P$4,'4. Billing Determinants'!$B$19:$P$41,6,0)/'4. Billing Determinants'!$G$41*$D21,IF($E21="Distribution Rev.",VLOOKUP(P$4,'4. Billing Determinants'!$B$19:$P$41,8,0)/'4. Billing Determinants'!$I$41*$D21, VLOOKUP(P$4,'4. Billing Determinants'!$B$19:$P$41,3,0)/'4. Billing Determinants'!$D$41*$D21))))),0)</f>
        <v>0</v>
      </c>
      <c r="Q21" s="70">
        <f>IFERROR(IF(Q$4="",0,IF($E21="kWh",VLOOKUP(Q$4,'4. Billing Determinants'!$B$19:$P$41,4,0)/'4. Billing Determinants'!$E$41*$D21,IF($E21="kW",VLOOKUP(Q$4,'4. Billing Determinants'!$B$19:$P$41,5,0)/'4. Billing Determinants'!$F$41*$D21,IF($E21="Non-RPP kWh",VLOOKUP(Q$4,'4. Billing Determinants'!$B$19:$P$41,6,0)/'4. Billing Determinants'!$G$41*$D21,IF($E21="Distribution Rev.",VLOOKUP(Q$4,'4. Billing Determinants'!$B$19:$P$41,8,0)/'4. Billing Determinants'!$I$41*$D21, VLOOKUP(Q$4,'4. Billing Determinants'!$B$19:$P$41,3,0)/'4. Billing Determinants'!$D$41*$D21))))),0)</f>
        <v>0</v>
      </c>
      <c r="R21" s="70">
        <f>IFERROR(IF(R$4="",0,IF($E21="kWh",VLOOKUP(R$4,'4. Billing Determinants'!$B$19:$P$41,4,0)/'4. Billing Determinants'!$E$41*$D21,IF($E21="kW",VLOOKUP(R$4,'4. Billing Determinants'!$B$19:$P$41,5,0)/'4. Billing Determinants'!$F$41*$D21,IF($E21="Non-RPP kWh",VLOOKUP(R$4,'4. Billing Determinants'!$B$19:$P$41,6,0)/'4. Billing Determinants'!$G$41*$D21,IF($E21="Distribution Rev.",VLOOKUP(R$4,'4. Billing Determinants'!$B$19:$P$41,8,0)/'4. Billing Determinants'!$I$41*$D21, VLOOKUP(R$4,'4. Billing Determinants'!$B$19:$P$41,3,0)/'4. Billing Determinants'!$D$41*$D21))))),0)</f>
        <v>0</v>
      </c>
      <c r="S21" s="70">
        <f>IFERROR(IF(S$4="",0,IF($E21="kWh",VLOOKUP(S$4,'4. Billing Determinants'!$B$19:$P$41,4,0)/'4. Billing Determinants'!$E$41*$D21,IF($E21="kW",VLOOKUP(S$4,'4. Billing Determinants'!$B$19:$P$41,5,0)/'4. Billing Determinants'!$F$41*$D21,IF($E21="Non-RPP kWh",VLOOKUP(S$4,'4. Billing Determinants'!$B$19:$P$41,6,0)/'4. Billing Determinants'!$G$41*$D21,IF($E21="Distribution Rev.",VLOOKUP(S$4,'4. Billing Determinants'!$B$19:$P$41,8,0)/'4. Billing Determinants'!$I$41*$D21, VLOOKUP(S$4,'4. Billing Determinants'!$B$19:$P$41,3,0)/'4. Billing Determinants'!$D$41*$D21))))),0)</f>
        <v>0</v>
      </c>
      <c r="T21" s="70">
        <f>IFERROR(IF(T$4="",0,IF($E21="kWh",VLOOKUP(T$4,'4. Billing Determinants'!$B$19:$P$41,4,0)/'4. Billing Determinants'!$E$41*$D21,IF($E21="kW",VLOOKUP(T$4,'4. Billing Determinants'!$B$19:$P$41,5,0)/'4. Billing Determinants'!$F$41*$D21,IF($E21="Non-RPP kWh",VLOOKUP(T$4,'4. Billing Determinants'!$B$19:$P$41,6,0)/'4. Billing Determinants'!$G$41*$D21,IF($E21="Distribution Rev.",VLOOKUP(T$4,'4. Billing Determinants'!$B$19:$P$41,8,0)/'4. Billing Determinants'!$I$41*$D21, VLOOKUP(T$4,'4. Billing Determinants'!$B$19:$P$41,3,0)/'4. Billing Determinants'!$D$41*$D21))))),0)</f>
        <v>0</v>
      </c>
      <c r="U21" s="70">
        <f>IFERROR(IF(U$4="",0,IF($E21="kWh",VLOOKUP(U$4,'4. Billing Determinants'!$B$19:$P$41,4,0)/'4. Billing Determinants'!$E$41*$D21,IF($E21="kW",VLOOKUP(U$4,'4. Billing Determinants'!$B$19:$P$41,5,0)/'4. Billing Determinants'!$F$41*$D21,IF($E21="Non-RPP kWh",VLOOKUP(U$4,'4. Billing Determinants'!$B$19:$P$41,6,0)/'4. Billing Determinants'!$G$41*$D21,IF($E21="Distribution Rev.",VLOOKUP(U$4,'4. Billing Determinants'!$B$19:$P$41,8,0)/'4. Billing Determinants'!$I$41*$D21, VLOOKUP(U$4,'4. Billing Determinants'!$B$19:$P$41,3,0)/'4. Billing Determinants'!$D$41*$D21))))),0)</f>
        <v>0</v>
      </c>
      <c r="V21" s="70">
        <f>IFERROR(IF(V$4="",0,IF($E21="kWh",VLOOKUP(V$4,'4. Billing Determinants'!$B$19:$P$41,4,0)/'4. Billing Determinants'!$E$41*$D21,IF($E21="kW",VLOOKUP(V$4,'4. Billing Determinants'!$B$19:$P$41,5,0)/'4. Billing Determinants'!$F$41*$D21,IF($E21="Non-RPP kWh",VLOOKUP(V$4,'4. Billing Determinants'!$B$19:$P$41,6,0)/'4. Billing Determinants'!$G$41*$D21,IF($E21="Distribution Rev.",VLOOKUP(V$4,'4. Billing Determinants'!$B$19:$P$41,8,0)/'4. Billing Determinants'!$I$41*$D21, VLOOKUP(V$4,'4. Billing Determinants'!$B$19:$P$41,3,0)/'4. Billing Determinants'!$D$41*$D21))))),0)</f>
        <v>0</v>
      </c>
      <c r="W21" s="70">
        <f>IFERROR(IF(W$4="",0,IF($E21="kWh",VLOOKUP(W$4,'4. Billing Determinants'!$B$19:$P$41,4,0)/'4. Billing Determinants'!$E$41*$D21,IF($E21="kW",VLOOKUP(W$4,'4. Billing Determinants'!$B$19:$P$41,5,0)/'4. Billing Determinants'!$F$41*$D21,IF($E21="Non-RPP kWh",VLOOKUP(W$4,'4. Billing Determinants'!$B$19:$P$41,6,0)/'4. Billing Determinants'!$G$41*$D21,IF($E21="Distribution Rev.",VLOOKUP(W$4,'4. Billing Determinants'!$B$19:$P$41,8,0)/'4. Billing Determinants'!$I$41*$D21, VLOOKUP(W$4,'4. Billing Determinants'!$B$19:$P$41,3,0)/'4. Billing Determinants'!$D$41*$D21))))),0)</f>
        <v>0</v>
      </c>
      <c r="X21" s="70">
        <f>IFERROR(IF(X$4="",0,IF($E21="kWh",VLOOKUP(X$4,'4. Billing Determinants'!$B$19:$P$41,4,0)/'4. Billing Determinants'!$E$41*$D21,IF($E21="kW",VLOOKUP(X$4,'4. Billing Determinants'!$B$19:$P$41,5,0)/'4. Billing Determinants'!$F$41*$D21,IF($E21="Non-RPP kWh",VLOOKUP(X$4,'4. Billing Determinants'!$B$19:$P$41,6,0)/'4. Billing Determinants'!$G$41*$D21,IF($E21="Distribution Rev.",VLOOKUP(X$4,'4. Billing Determinants'!$B$19:$P$41,8,0)/'4. Billing Determinants'!$I$41*$D21, VLOOKUP(X$4,'4. Billing Determinants'!$B$19:$P$41,3,0)/'4. Billing Determinants'!$D$41*$D21))))),0)</f>
        <v>0</v>
      </c>
      <c r="Y21" s="70">
        <f>IFERROR(IF(Y$4="",0,IF($E21="kWh",VLOOKUP(Y$4,'4. Billing Determinants'!$B$19:$P$41,4,0)/'4. Billing Determinants'!$E$41*$D21,IF($E21="kW",VLOOKUP(Y$4,'4. Billing Determinants'!$B$19:$P$41,5,0)/'4. Billing Determinants'!$F$41*$D21,IF($E21="Non-RPP kWh",VLOOKUP(Y$4,'4. Billing Determinants'!$B$19:$P$41,6,0)/'4. Billing Determinants'!$G$41*$D21,IF($E21="Distribution Rev.",VLOOKUP(Y$4,'4. Billing Determinants'!$B$19:$P$41,8,0)/'4. Billing Determinants'!$I$41*$D21, VLOOKUP(Y$4,'4. Billing Determinants'!$B$19:$P$41,3,0)/'4. Billing Determinants'!$D$41*$D21))))),0)</f>
        <v>0</v>
      </c>
    </row>
    <row r="22" spans="2:25" ht="25.5" x14ac:dyDescent="0.2">
      <c r="B22" s="206" t="s">
        <v>58</v>
      </c>
      <c r="C22" s="69">
        <v>1508</v>
      </c>
      <c r="D22" s="70">
        <f>'2. 2014 Continuity Schedule'!BO45</f>
        <v>0</v>
      </c>
      <c r="E22" s="130"/>
      <c r="F22" s="70">
        <f>IFERROR(IF(F$4="",0,IF($E22="kWh",VLOOKUP(F$4,'4. Billing Determinants'!$B$19:$P$41,4,0)/'4. Billing Determinants'!$E$41*$D22,IF($E22="kW",VLOOKUP(F$4,'4. Billing Determinants'!$B$19:$P$41,5,0)/'4. Billing Determinants'!$F$41*$D22,IF($E22="Non-RPP kWh",VLOOKUP(F$4,'4. Billing Determinants'!$B$19:$P$41,6,0)/'4. Billing Determinants'!$G$41*$D22,IF($E22="Distribution Rev.",VLOOKUP(F$4,'4. Billing Determinants'!$B$19:$P$41,8,0)/'4. Billing Determinants'!$I$41*$D22, VLOOKUP(F$4,'4. Billing Determinants'!$B$19:$P$41,3,0)/'4. Billing Determinants'!$D$41*$D22))))),0)</f>
        <v>0</v>
      </c>
      <c r="G22" s="70">
        <f>IFERROR(IF(G$4="",0,IF($E22="kWh",VLOOKUP(G$4,'4. Billing Determinants'!$B$19:$P$41,4,0)/'4. Billing Determinants'!$E$41*$D22,IF($E22="kW",VLOOKUP(G$4,'4. Billing Determinants'!$B$19:$P$41,5,0)/'4. Billing Determinants'!$F$41*$D22,IF($E22="Non-RPP kWh",VLOOKUP(G$4,'4. Billing Determinants'!$B$19:$P$41,6,0)/'4. Billing Determinants'!$G$41*$D22,IF($E22="Distribution Rev.",VLOOKUP(G$4,'4. Billing Determinants'!$B$19:$P$41,8,0)/'4. Billing Determinants'!$I$41*$D22, VLOOKUP(G$4,'4. Billing Determinants'!$B$19:$P$41,3,0)/'4. Billing Determinants'!$D$41*$D22))))),0)</f>
        <v>0</v>
      </c>
      <c r="H22" s="70">
        <f>IFERROR(IF(H$4="",0,IF($E22="kWh",VLOOKUP(H$4,'4. Billing Determinants'!$B$19:$P$41,4,0)/'4. Billing Determinants'!$E$41*$D22,IF($E22="kW",VLOOKUP(H$4,'4. Billing Determinants'!$B$19:$P$41,5,0)/'4. Billing Determinants'!$F$41*$D22,IF($E22="Non-RPP kWh",VLOOKUP(H$4,'4. Billing Determinants'!$B$19:$P$41,6,0)/'4. Billing Determinants'!$G$41*$D22,IF($E22="Distribution Rev.",VLOOKUP(H$4,'4. Billing Determinants'!$B$19:$P$41,8,0)/'4. Billing Determinants'!$I$41*$D22, VLOOKUP(H$4,'4. Billing Determinants'!$B$19:$P$41,3,0)/'4. Billing Determinants'!$D$41*$D22))))),0)</f>
        <v>0</v>
      </c>
      <c r="I22" s="70">
        <f>IFERROR(IF(I$4="",0,IF($E22="kWh",VLOOKUP(I$4,'4. Billing Determinants'!$B$19:$P$41,4,0)/'4. Billing Determinants'!$E$41*$D22,IF($E22="kW",VLOOKUP(I$4,'4. Billing Determinants'!$B$19:$P$41,5,0)/'4. Billing Determinants'!$F$41*$D22,IF($E22="Non-RPP kWh",VLOOKUP(I$4,'4. Billing Determinants'!$B$19:$P$41,6,0)/'4. Billing Determinants'!$G$41*$D22,IF($E22="Distribution Rev.",VLOOKUP(I$4,'4. Billing Determinants'!$B$19:$P$41,8,0)/'4. Billing Determinants'!$I$41*$D22, VLOOKUP(I$4,'4. Billing Determinants'!$B$19:$P$41,3,0)/'4. Billing Determinants'!$D$41*$D22))))),0)</f>
        <v>0</v>
      </c>
      <c r="J22" s="70">
        <f>IFERROR(IF(J$4="",0,IF($E22="kWh",VLOOKUP(J$4,'4. Billing Determinants'!$B$19:$P$41,4,0)/'4. Billing Determinants'!$E$41*$D22,IF($E22="kW",VLOOKUP(J$4,'4. Billing Determinants'!$B$19:$P$41,5,0)/'4. Billing Determinants'!$F$41*$D22,IF($E22="Non-RPP kWh",VLOOKUP(J$4,'4. Billing Determinants'!$B$19:$P$41,6,0)/'4. Billing Determinants'!$G$41*$D22,IF($E22="Distribution Rev.",VLOOKUP(J$4,'4. Billing Determinants'!$B$19:$P$41,8,0)/'4. Billing Determinants'!$I$41*$D22, VLOOKUP(J$4,'4. Billing Determinants'!$B$19:$P$41,3,0)/'4. Billing Determinants'!$D$41*$D22))))),0)</f>
        <v>0</v>
      </c>
      <c r="K22" s="70">
        <f>IFERROR(IF(K$4="",0,IF($E22="kWh",VLOOKUP(K$4,'4. Billing Determinants'!$B$19:$P$41,4,0)/'4. Billing Determinants'!$E$41*$D22,IF($E22="kW",VLOOKUP(K$4,'4. Billing Determinants'!$B$19:$P$41,5,0)/'4. Billing Determinants'!$F$41*$D22,IF($E22="Non-RPP kWh",VLOOKUP(K$4,'4. Billing Determinants'!$B$19:$P$41,6,0)/'4. Billing Determinants'!$G$41*$D22,IF($E22="Distribution Rev.",VLOOKUP(K$4,'4. Billing Determinants'!$B$19:$P$41,8,0)/'4. Billing Determinants'!$I$41*$D22, VLOOKUP(K$4,'4. Billing Determinants'!$B$19:$P$41,3,0)/'4. Billing Determinants'!$D$41*$D22))))),0)</f>
        <v>0</v>
      </c>
      <c r="L22" s="70">
        <f>IFERROR(IF(L$4="",0,IF($E22="kWh",VLOOKUP(L$4,'4. Billing Determinants'!$B$19:$P$41,4,0)/'4. Billing Determinants'!$E$41*$D22,IF($E22="kW",VLOOKUP(L$4,'4. Billing Determinants'!$B$19:$P$41,5,0)/'4. Billing Determinants'!$F$41*$D22,IF($E22="Non-RPP kWh",VLOOKUP(L$4,'4. Billing Determinants'!$B$19:$P$41,6,0)/'4. Billing Determinants'!$G$41*$D22,IF($E22="Distribution Rev.",VLOOKUP(L$4,'4. Billing Determinants'!$B$19:$P$41,8,0)/'4. Billing Determinants'!$I$41*$D22, VLOOKUP(L$4,'4. Billing Determinants'!$B$19:$P$41,3,0)/'4. Billing Determinants'!$D$41*$D22))))),0)</f>
        <v>0</v>
      </c>
      <c r="M22" s="70">
        <f>IFERROR(IF(M$4="",0,IF($E22="kWh",VLOOKUP(M$4,'4. Billing Determinants'!$B$19:$P$41,4,0)/'4. Billing Determinants'!$E$41*$D22,IF($E22="kW",VLOOKUP(M$4,'4. Billing Determinants'!$B$19:$P$41,5,0)/'4. Billing Determinants'!$F$41*$D22,IF($E22="Non-RPP kWh",VLOOKUP(M$4,'4. Billing Determinants'!$B$19:$P$41,6,0)/'4. Billing Determinants'!$G$41*$D22,IF($E22="Distribution Rev.",VLOOKUP(M$4,'4. Billing Determinants'!$B$19:$P$41,8,0)/'4. Billing Determinants'!$I$41*$D22, VLOOKUP(M$4,'4. Billing Determinants'!$B$19:$P$41,3,0)/'4. Billing Determinants'!$D$41*$D22))))),0)</f>
        <v>0</v>
      </c>
      <c r="N22" s="70">
        <f>IFERROR(IF(N$4="",0,IF($E22="kWh",VLOOKUP(N$4,'4. Billing Determinants'!$B$19:$P$41,4,0)/'4. Billing Determinants'!$E$41*$D22,IF($E22="kW",VLOOKUP(N$4,'4. Billing Determinants'!$B$19:$P$41,5,0)/'4. Billing Determinants'!$F$41*$D22,IF($E22="Non-RPP kWh",VLOOKUP(N$4,'4. Billing Determinants'!$B$19:$P$41,6,0)/'4. Billing Determinants'!$G$41*$D22,IF($E22="Distribution Rev.",VLOOKUP(N$4,'4. Billing Determinants'!$B$19:$P$41,8,0)/'4. Billing Determinants'!$I$41*$D22, VLOOKUP(N$4,'4. Billing Determinants'!$B$19:$P$41,3,0)/'4. Billing Determinants'!$D$41*$D22))))),0)</f>
        <v>0</v>
      </c>
      <c r="O22" s="70">
        <f>IFERROR(IF(O$4="",0,IF($E22="kWh",VLOOKUP(O$4,'4. Billing Determinants'!$B$19:$P$41,4,0)/'4. Billing Determinants'!$E$41*$D22,IF($E22="kW",VLOOKUP(O$4,'4. Billing Determinants'!$B$19:$P$41,5,0)/'4. Billing Determinants'!$F$41*$D22,IF($E22="Non-RPP kWh",VLOOKUP(O$4,'4. Billing Determinants'!$B$19:$P$41,6,0)/'4. Billing Determinants'!$G$41*$D22,IF($E22="Distribution Rev.",VLOOKUP(O$4,'4. Billing Determinants'!$B$19:$P$41,8,0)/'4. Billing Determinants'!$I$41*$D22, VLOOKUP(O$4,'4. Billing Determinants'!$B$19:$P$41,3,0)/'4. Billing Determinants'!$D$41*$D22))))),0)</f>
        <v>0</v>
      </c>
      <c r="P22" s="70">
        <f>IFERROR(IF(P$4="",0,IF($E22="kWh",VLOOKUP(P$4,'4. Billing Determinants'!$B$19:$P$41,4,0)/'4. Billing Determinants'!$E$41*$D22,IF($E22="kW",VLOOKUP(P$4,'4. Billing Determinants'!$B$19:$P$41,5,0)/'4. Billing Determinants'!$F$41*$D22,IF($E22="Non-RPP kWh",VLOOKUP(P$4,'4. Billing Determinants'!$B$19:$P$41,6,0)/'4. Billing Determinants'!$G$41*$D22,IF($E22="Distribution Rev.",VLOOKUP(P$4,'4. Billing Determinants'!$B$19:$P$41,8,0)/'4. Billing Determinants'!$I$41*$D22, VLOOKUP(P$4,'4. Billing Determinants'!$B$19:$P$41,3,0)/'4. Billing Determinants'!$D$41*$D22))))),0)</f>
        <v>0</v>
      </c>
      <c r="Q22" s="70">
        <f>IFERROR(IF(Q$4="",0,IF($E22="kWh",VLOOKUP(Q$4,'4. Billing Determinants'!$B$19:$P$41,4,0)/'4. Billing Determinants'!$E$41*$D22,IF($E22="kW",VLOOKUP(Q$4,'4. Billing Determinants'!$B$19:$P$41,5,0)/'4. Billing Determinants'!$F$41*$D22,IF($E22="Non-RPP kWh",VLOOKUP(Q$4,'4. Billing Determinants'!$B$19:$P$41,6,0)/'4. Billing Determinants'!$G$41*$D22,IF($E22="Distribution Rev.",VLOOKUP(Q$4,'4. Billing Determinants'!$B$19:$P$41,8,0)/'4. Billing Determinants'!$I$41*$D22, VLOOKUP(Q$4,'4. Billing Determinants'!$B$19:$P$41,3,0)/'4. Billing Determinants'!$D$41*$D22))))),0)</f>
        <v>0</v>
      </c>
      <c r="R22" s="70">
        <f>IFERROR(IF(R$4="",0,IF($E22="kWh",VLOOKUP(R$4,'4. Billing Determinants'!$B$19:$P$41,4,0)/'4. Billing Determinants'!$E$41*$D22,IF($E22="kW",VLOOKUP(R$4,'4. Billing Determinants'!$B$19:$P$41,5,0)/'4. Billing Determinants'!$F$41*$D22,IF($E22="Non-RPP kWh",VLOOKUP(R$4,'4. Billing Determinants'!$B$19:$P$41,6,0)/'4. Billing Determinants'!$G$41*$D22,IF($E22="Distribution Rev.",VLOOKUP(R$4,'4. Billing Determinants'!$B$19:$P$41,8,0)/'4. Billing Determinants'!$I$41*$D22, VLOOKUP(R$4,'4. Billing Determinants'!$B$19:$P$41,3,0)/'4. Billing Determinants'!$D$41*$D22))))),0)</f>
        <v>0</v>
      </c>
      <c r="S22" s="70">
        <f>IFERROR(IF(S$4="",0,IF($E22="kWh",VLOOKUP(S$4,'4. Billing Determinants'!$B$19:$P$41,4,0)/'4. Billing Determinants'!$E$41*$D22,IF($E22="kW",VLOOKUP(S$4,'4. Billing Determinants'!$B$19:$P$41,5,0)/'4. Billing Determinants'!$F$41*$D22,IF($E22="Non-RPP kWh",VLOOKUP(S$4,'4. Billing Determinants'!$B$19:$P$41,6,0)/'4. Billing Determinants'!$G$41*$D22,IF($E22="Distribution Rev.",VLOOKUP(S$4,'4. Billing Determinants'!$B$19:$P$41,8,0)/'4. Billing Determinants'!$I$41*$D22, VLOOKUP(S$4,'4. Billing Determinants'!$B$19:$P$41,3,0)/'4. Billing Determinants'!$D$41*$D22))))),0)</f>
        <v>0</v>
      </c>
      <c r="T22" s="70">
        <f>IFERROR(IF(T$4="",0,IF($E22="kWh",VLOOKUP(T$4,'4. Billing Determinants'!$B$19:$P$41,4,0)/'4. Billing Determinants'!$E$41*$D22,IF($E22="kW",VLOOKUP(T$4,'4. Billing Determinants'!$B$19:$P$41,5,0)/'4. Billing Determinants'!$F$41*$D22,IF($E22="Non-RPP kWh",VLOOKUP(T$4,'4. Billing Determinants'!$B$19:$P$41,6,0)/'4. Billing Determinants'!$G$41*$D22,IF($E22="Distribution Rev.",VLOOKUP(T$4,'4. Billing Determinants'!$B$19:$P$41,8,0)/'4. Billing Determinants'!$I$41*$D22, VLOOKUP(T$4,'4. Billing Determinants'!$B$19:$P$41,3,0)/'4. Billing Determinants'!$D$41*$D22))))),0)</f>
        <v>0</v>
      </c>
      <c r="U22" s="70">
        <f>IFERROR(IF(U$4="",0,IF($E22="kWh",VLOOKUP(U$4,'4. Billing Determinants'!$B$19:$P$41,4,0)/'4. Billing Determinants'!$E$41*$D22,IF($E22="kW",VLOOKUP(U$4,'4. Billing Determinants'!$B$19:$P$41,5,0)/'4. Billing Determinants'!$F$41*$D22,IF($E22="Non-RPP kWh",VLOOKUP(U$4,'4. Billing Determinants'!$B$19:$P$41,6,0)/'4. Billing Determinants'!$G$41*$D22,IF($E22="Distribution Rev.",VLOOKUP(U$4,'4. Billing Determinants'!$B$19:$P$41,8,0)/'4. Billing Determinants'!$I$41*$D22, VLOOKUP(U$4,'4. Billing Determinants'!$B$19:$P$41,3,0)/'4. Billing Determinants'!$D$41*$D22))))),0)</f>
        <v>0</v>
      </c>
      <c r="V22" s="70">
        <f>IFERROR(IF(V$4="",0,IF($E22="kWh",VLOOKUP(V$4,'4. Billing Determinants'!$B$19:$P$41,4,0)/'4. Billing Determinants'!$E$41*$D22,IF($E22="kW",VLOOKUP(V$4,'4. Billing Determinants'!$B$19:$P$41,5,0)/'4. Billing Determinants'!$F$41*$D22,IF($E22="Non-RPP kWh",VLOOKUP(V$4,'4. Billing Determinants'!$B$19:$P$41,6,0)/'4. Billing Determinants'!$G$41*$D22,IF($E22="Distribution Rev.",VLOOKUP(V$4,'4. Billing Determinants'!$B$19:$P$41,8,0)/'4. Billing Determinants'!$I$41*$D22, VLOOKUP(V$4,'4. Billing Determinants'!$B$19:$P$41,3,0)/'4. Billing Determinants'!$D$41*$D22))))),0)</f>
        <v>0</v>
      </c>
      <c r="W22" s="70">
        <f>IFERROR(IF(W$4="",0,IF($E22="kWh",VLOOKUP(W$4,'4. Billing Determinants'!$B$19:$P$41,4,0)/'4. Billing Determinants'!$E$41*$D22,IF($E22="kW",VLOOKUP(W$4,'4. Billing Determinants'!$B$19:$P$41,5,0)/'4. Billing Determinants'!$F$41*$D22,IF($E22="Non-RPP kWh",VLOOKUP(W$4,'4. Billing Determinants'!$B$19:$P$41,6,0)/'4. Billing Determinants'!$G$41*$D22,IF($E22="Distribution Rev.",VLOOKUP(W$4,'4. Billing Determinants'!$B$19:$P$41,8,0)/'4. Billing Determinants'!$I$41*$D22, VLOOKUP(W$4,'4. Billing Determinants'!$B$19:$P$41,3,0)/'4. Billing Determinants'!$D$41*$D22))))),0)</f>
        <v>0</v>
      </c>
      <c r="X22" s="70">
        <f>IFERROR(IF(X$4="",0,IF($E22="kWh",VLOOKUP(X$4,'4. Billing Determinants'!$B$19:$P$41,4,0)/'4. Billing Determinants'!$E$41*$D22,IF($E22="kW",VLOOKUP(X$4,'4. Billing Determinants'!$B$19:$P$41,5,0)/'4. Billing Determinants'!$F$41*$D22,IF($E22="Non-RPP kWh",VLOOKUP(X$4,'4. Billing Determinants'!$B$19:$P$41,6,0)/'4. Billing Determinants'!$G$41*$D22,IF($E22="Distribution Rev.",VLOOKUP(X$4,'4. Billing Determinants'!$B$19:$P$41,8,0)/'4. Billing Determinants'!$I$41*$D22, VLOOKUP(X$4,'4. Billing Determinants'!$B$19:$P$41,3,0)/'4. Billing Determinants'!$D$41*$D22))))),0)</f>
        <v>0</v>
      </c>
      <c r="Y22" s="70">
        <f>IFERROR(IF(Y$4="",0,IF($E22="kWh",VLOOKUP(Y$4,'4. Billing Determinants'!$B$19:$P$41,4,0)/'4. Billing Determinants'!$E$41*$D22,IF($E22="kW",VLOOKUP(Y$4,'4. Billing Determinants'!$B$19:$P$41,5,0)/'4. Billing Determinants'!$F$41*$D22,IF($E22="Non-RPP kWh",VLOOKUP(Y$4,'4. Billing Determinants'!$B$19:$P$41,6,0)/'4. Billing Determinants'!$G$41*$D22,IF($E22="Distribution Rev.",VLOOKUP(Y$4,'4. Billing Determinants'!$B$19:$P$41,8,0)/'4. Billing Determinants'!$I$41*$D22, VLOOKUP(Y$4,'4. Billing Determinants'!$B$19:$P$41,3,0)/'4. Billing Determinants'!$D$41*$D22))))),0)</f>
        <v>0</v>
      </c>
    </row>
    <row r="23" spans="2:25" ht="14.25" x14ac:dyDescent="0.2">
      <c r="B23" s="75" t="s">
        <v>283</v>
      </c>
      <c r="C23" s="69">
        <v>1508</v>
      </c>
      <c r="D23" s="70">
        <f>'2. 2014 Continuity Schedule'!BO46</f>
        <v>0</v>
      </c>
      <c r="E23" s="130"/>
      <c r="F23" s="70">
        <f>IFERROR(IF(F$4="",0,IF($E23="kWh",VLOOKUP(F$4,'4. Billing Determinants'!$B$19:$P$41,4,0)/'4. Billing Determinants'!$E$41*$D23,IF($E23="kW",VLOOKUP(F$4,'4. Billing Determinants'!$B$19:$P$41,5,0)/'4. Billing Determinants'!$F$41*$D23,IF($E23="Non-RPP kWh",VLOOKUP(F$4,'4. Billing Determinants'!$B$19:$P$41,6,0)/'4. Billing Determinants'!$G$41*$D23,IF($E23="Distribution Rev.",VLOOKUP(F$4,'4. Billing Determinants'!$B$19:$P$41,8,0)/'4. Billing Determinants'!$I$41*$D23, VLOOKUP(F$4,'4. Billing Determinants'!$B$19:$P$41,3,0)/'4. Billing Determinants'!$D$41*$D23))))),0)</f>
        <v>0</v>
      </c>
      <c r="G23" s="70">
        <f>IFERROR(IF(G$4="",0,IF($E23="kWh",VLOOKUP(G$4,'4. Billing Determinants'!$B$19:$P$41,4,0)/'4. Billing Determinants'!$E$41*$D23,IF($E23="kW",VLOOKUP(G$4,'4. Billing Determinants'!$B$19:$P$41,5,0)/'4. Billing Determinants'!$F$41*$D23,IF($E23="Non-RPP kWh",VLOOKUP(G$4,'4. Billing Determinants'!$B$19:$P$41,6,0)/'4. Billing Determinants'!$G$41*$D23,IF($E23="Distribution Rev.",VLOOKUP(G$4,'4. Billing Determinants'!$B$19:$P$41,8,0)/'4. Billing Determinants'!$I$41*$D23, VLOOKUP(G$4,'4. Billing Determinants'!$B$19:$P$41,3,0)/'4. Billing Determinants'!$D$41*$D23))))),0)</f>
        <v>0</v>
      </c>
      <c r="H23" s="70">
        <f>IFERROR(IF(H$4="",0,IF($E23="kWh",VLOOKUP(H$4,'4. Billing Determinants'!$B$19:$P$41,4,0)/'4. Billing Determinants'!$E$41*$D23,IF($E23="kW",VLOOKUP(H$4,'4. Billing Determinants'!$B$19:$P$41,5,0)/'4. Billing Determinants'!$F$41*$D23,IF($E23="Non-RPP kWh",VLOOKUP(H$4,'4. Billing Determinants'!$B$19:$P$41,6,0)/'4. Billing Determinants'!$G$41*$D23,IF($E23="Distribution Rev.",VLOOKUP(H$4,'4. Billing Determinants'!$B$19:$P$41,8,0)/'4. Billing Determinants'!$I$41*$D23, VLOOKUP(H$4,'4. Billing Determinants'!$B$19:$P$41,3,0)/'4. Billing Determinants'!$D$41*$D23))))),0)</f>
        <v>0</v>
      </c>
      <c r="I23" s="70">
        <f>IFERROR(IF(I$4="",0,IF($E23="kWh",VLOOKUP(I$4,'4. Billing Determinants'!$B$19:$P$41,4,0)/'4. Billing Determinants'!$E$41*$D23,IF($E23="kW",VLOOKUP(I$4,'4. Billing Determinants'!$B$19:$P$41,5,0)/'4. Billing Determinants'!$F$41*$D23,IF($E23="Non-RPP kWh",VLOOKUP(I$4,'4. Billing Determinants'!$B$19:$P$41,6,0)/'4. Billing Determinants'!$G$41*$D23,IF($E23="Distribution Rev.",VLOOKUP(I$4,'4. Billing Determinants'!$B$19:$P$41,8,0)/'4. Billing Determinants'!$I$41*$D23, VLOOKUP(I$4,'4. Billing Determinants'!$B$19:$P$41,3,0)/'4. Billing Determinants'!$D$41*$D23))))),0)</f>
        <v>0</v>
      </c>
      <c r="J23" s="70">
        <f>IFERROR(IF(J$4="",0,IF($E23="kWh",VLOOKUP(J$4,'4. Billing Determinants'!$B$19:$P$41,4,0)/'4. Billing Determinants'!$E$41*$D23,IF($E23="kW",VLOOKUP(J$4,'4. Billing Determinants'!$B$19:$P$41,5,0)/'4. Billing Determinants'!$F$41*$D23,IF($E23="Non-RPP kWh",VLOOKUP(J$4,'4. Billing Determinants'!$B$19:$P$41,6,0)/'4. Billing Determinants'!$G$41*$D23,IF($E23="Distribution Rev.",VLOOKUP(J$4,'4. Billing Determinants'!$B$19:$P$41,8,0)/'4. Billing Determinants'!$I$41*$D23, VLOOKUP(J$4,'4. Billing Determinants'!$B$19:$P$41,3,0)/'4. Billing Determinants'!$D$41*$D23))))),0)</f>
        <v>0</v>
      </c>
      <c r="K23" s="70">
        <f>IFERROR(IF(K$4="",0,IF($E23="kWh",VLOOKUP(K$4,'4. Billing Determinants'!$B$19:$P$41,4,0)/'4. Billing Determinants'!$E$41*$D23,IF($E23="kW",VLOOKUP(K$4,'4. Billing Determinants'!$B$19:$P$41,5,0)/'4. Billing Determinants'!$F$41*$D23,IF($E23="Non-RPP kWh",VLOOKUP(K$4,'4. Billing Determinants'!$B$19:$P$41,6,0)/'4. Billing Determinants'!$G$41*$D23,IF($E23="Distribution Rev.",VLOOKUP(K$4,'4. Billing Determinants'!$B$19:$P$41,8,0)/'4. Billing Determinants'!$I$41*$D23, VLOOKUP(K$4,'4. Billing Determinants'!$B$19:$P$41,3,0)/'4. Billing Determinants'!$D$41*$D23))))),0)</f>
        <v>0</v>
      </c>
      <c r="L23" s="70">
        <f>IFERROR(IF(L$4="",0,IF($E23="kWh",VLOOKUP(L$4,'4. Billing Determinants'!$B$19:$P$41,4,0)/'4. Billing Determinants'!$E$41*$D23,IF($E23="kW",VLOOKUP(L$4,'4. Billing Determinants'!$B$19:$P$41,5,0)/'4. Billing Determinants'!$F$41*$D23,IF($E23="Non-RPP kWh",VLOOKUP(L$4,'4. Billing Determinants'!$B$19:$P$41,6,0)/'4. Billing Determinants'!$G$41*$D23,IF($E23="Distribution Rev.",VLOOKUP(L$4,'4. Billing Determinants'!$B$19:$P$41,8,0)/'4. Billing Determinants'!$I$41*$D23, VLOOKUP(L$4,'4. Billing Determinants'!$B$19:$P$41,3,0)/'4. Billing Determinants'!$D$41*$D23))))),0)</f>
        <v>0</v>
      </c>
      <c r="M23" s="70">
        <f>IFERROR(IF(M$4="",0,IF($E23="kWh",VLOOKUP(M$4,'4. Billing Determinants'!$B$19:$P$41,4,0)/'4. Billing Determinants'!$E$41*$D23,IF($E23="kW",VLOOKUP(M$4,'4. Billing Determinants'!$B$19:$P$41,5,0)/'4. Billing Determinants'!$F$41*$D23,IF($E23="Non-RPP kWh",VLOOKUP(M$4,'4. Billing Determinants'!$B$19:$P$41,6,0)/'4. Billing Determinants'!$G$41*$D23,IF($E23="Distribution Rev.",VLOOKUP(M$4,'4. Billing Determinants'!$B$19:$P$41,8,0)/'4. Billing Determinants'!$I$41*$D23, VLOOKUP(M$4,'4. Billing Determinants'!$B$19:$P$41,3,0)/'4. Billing Determinants'!$D$41*$D23))))),0)</f>
        <v>0</v>
      </c>
      <c r="N23" s="70">
        <f>IFERROR(IF(N$4="",0,IF($E23="kWh",VLOOKUP(N$4,'4. Billing Determinants'!$B$19:$P$41,4,0)/'4. Billing Determinants'!$E$41*$D23,IF($E23="kW",VLOOKUP(N$4,'4. Billing Determinants'!$B$19:$P$41,5,0)/'4. Billing Determinants'!$F$41*$D23,IF($E23="Non-RPP kWh",VLOOKUP(N$4,'4. Billing Determinants'!$B$19:$P$41,6,0)/'4. Billing Determinants'!$G$41*$D23,IF($E23="Distribution Rev.",VLOOKUP(N$4,'4. Billing Determinants'!$B$19:$P$41,8,0)/'4. Billing Determinants'!$I$41*$D23, VLOOKUP(N$4,'4. Billing Determinants'!$B$19:$P$41,3,0)/'4. Billing Determinants'!$D$41*$D23))))),0)</f>
        <v>0</v>
      </c>
      <c r="O23" s="70">
        <f>IFERROR(IF(O$4="",0,IF($E23="kWh",VLOOKUP(O$4,'4. Billing Determinants'!$B$19:$P$41,4,0)/'4. Billing Determinants'!$E$41*$D23,IF($E23="kW",VLOOKUP(O$4,'4. Billing Determinants'!$B$19:$P$41,5,0)/'4. Billing Determinants'!$F$41*$D23,IF($E23="Non-RPP kWh",VLOOKUP(O$4,'4. Billing Determinants'!$B$19:$P$41,6,0)/'4. Billing Determinants'!$G$41*$D23,IF($E23="Distribution Rev.",VLOOKUP(O$4,'4. Billing Determinants'!$B$19:$P$41,8,0)/'4. Billing Determinants'!$I$41*$D23, VLOOKUP(O$4,'4. Billing Determinants'!$B$19:$P$41,3,0)/'4. Billing Determinants'!$D$41*$D23))))),0)</f>
        <v>0</v>
      </c>
      <c r="P23" s="70">
        <f>IFERROR(IF(P$4="",0,IF($E23="kWh",VLOOKUP(P$4,'4. Billing Determinants'!$B$19:$P$41,4,0)/'4. Billing Determinants'!$E$41*$D23,IF($E23="kW",VLOOKUP(P$4,'4. Billing Determinants'!$B$19:$P$41,5,0)/'4. Billing Determinants'!$F$41*$D23,IF($E23="Non-RPP kWh",VLOOKUP(P$4,'4. Billing Determinants'!$B$19:$P$41,6,0)/'4. Billing Determinants'!$G$41*$D23,IF($E23="Distribution Rev.",VLOOKUP(P$4,'4. Billing Determinants'!$B$19:$P$41,8,0)/'4. Billing Determinants'!$I$41*$D23, VLOOKUP(P$4,'4. Billing Determinants'!$B$19:$P$41,3,0)/'4. Billing Determinants'!$D$41*$D23))))),0)</f>
        <v>0</v>
      </c>
      <c r="Q23" s="70">
        <f>IFERROR(IF(Q$4="",0,IF($E23="kWh",VLOOKUP(Q$4,'4. Billing Determinants'!$B$19:$P$41,4,0)/'4. Billing Determinants'!$E$41*$D23,IF($E23="kW",VLOOKUP(Q$4,'4. Billing Determinants'!$B$19:$P$41,5,0)/'4. Billing Determinants'!$F$41*$D23,IF($E23="Non-RPP kWh",VLOOKUP(Q$4,'4. Billing Determinants'!$B$19:$P$41,6,0)/'4. Billing Determinants'!$G$41*$D23,IF($E23="Distribution Rev.",VLOOKUP(Q$4,'4. Billing Determinants'!$B$19:$P$41,8,0)/'4. Billing Determinants'!$I$41*$D23, VLOOKUP(Q$4,'4. Billing Determinants'!$B$19:$P$41,3,0)/'4. Billing Determinants'!$D$41*$D23))))),0)</f>
        <v>0</v>
      </c>
      <c r="R23" s="70">
        <f>IFERROR(IF(R$4="",0,IF($E23="kWh",VLOOKUP(R$4,'4. Billing Determinants'!$B$19:$P$41,4,0)/'4. Billing Determinants'!$E$41*$D23,IF($E23="kW",VLOOKUP(R$4,'4. Billing Determinants'!$B$19:$P$41,5,0)/'4. Billing Determinants'!$F$41*$D23,IF($E23="Non-RPP kWh",VLOOKUP(R$4,'4. Billing Determinants'!$B$19:$P$41,6,0)/'4. Billing Determinants'!$G$41*$D23,IF($E23="Distribution Rev.",VLOOKUP(R$4,'4. Billing Determinants'!$B$19:$P$41,8,0)/'4. Billing Determinants'!$I$41*$D23, VLOOKUP(R$4,'4. Billing Determinants'!$B$19:$P$41,3,0)/'4. Billing Determinants'!$D$41*$D23))))),0)</f>
        <v>0</v>
      </c>
      <c r="S23" s="70">
        <f>IFERROR(IF(S$4="",0,IF($E23="kWh",VLOOKUP(S$4,'4. Billing Determinants'!$B$19:$P$41,4,0)/'4. Billing Determinants'!$E$41*$D23,IF($E23="kW",VLOOKUP(S$4,'4. Billing Determinants'!$B$19:$P$41,5,0)/'4. Billing Determinants'!$F$41*$D23,IF($E23="Non-RPP kWh",VLOOKUP(S$4,'4. Billing Determinants'!$B$19:$P$41,6,0)/'4. Billing Determinants'!$G$41*$D23,IF($E23="Distribution Rev.",VLOOKUP(S$4,'4. Billing Determinants'!$B$19:$P$41,8,0)/'4. Billing Determinants'!$I$41*$D23, VLOOKUP(S$4,'4. Billing Determinants'!$B$19:$P$41,3,0)/'4. Billing Determinants'!$D$41*$D23))))),0)</f>
        <v>0</v>
      </c>
      <c r="T23" s="70">
        <f>IFERROR(IF(T$4="",0,IF($E23="kWh",VLOOKUP(T$4,'4. Billing Determinants'!$B$19:$P$41,4,0)/'4. Billing Determinants'!$E$41*$D23,IF($E23="kW",VLOOKUP(T$4,'4. Billing Determinants'!$B$19:$P$41,5,0)/'4. Billing Determinants'!$F$41*$D23,IF($E23="Non-RPP kWh",VLOOKUP(T$4,'4. Billing Determinants'!$B$19:$P$41,6,0)/'4. Billing Determinants'!$G$41*$D23,IF($E23="Distribution Rev.",VLOOKUP(T$4,'4. Billing Determinants'!$B$19:$P$41,8,0)/'4. Billing Determinants'!$I$41*$D23, VLOOKUP(T$4,'4. Billing Determinants'!$B$19:$P$41,3,0)/'4. Billing Determinants'!$D$41*$D23))))),0)</f>
        <v>0</v>
      </c>
      <c r="U23" s="70">
        <f>IFERROR(IF(U$4="",0,IF($E23="kWh",VLOOKUP(U$4,'4. Billing Determinants'!$B$19:$P$41,4,0)/'4. Billing Determinants'!$E$41*$D23,IF($E23="kW",VLOOKUP(U$4,'4. Billing Determinants'!$B$19:$P$41,5,0)/'4. Billing Determinants'!$F$41*$D23,IF($E23="Non-RPP kWh",VLOOKUP(U$4,'4. Billing Determinants'!$B$19:$P$41,6,0)/'4. Billing Determinants'!$G$41*$D23,IF($E23="Distribution Rev.",VLOOKUP(U$4,'4. Billing Determinants'!$B$19:$P$41,8,0)/'4. Billing Determinants'!$I$41*$D23, VLOOKUP(U$4,'4. Billing Determinants'!$B$19:$P$41,3,0)/'4. Billing Determinants'!$D$41*$D23))))),0)</f>
        <v>0</v>
      </c>
      <c r="V23" s="70">
        <f>IFERROR(IF(V$4="",0,IF($E23="kWh",VLOOKUP(V$4,'4. Billing Determinants'!$B$19:$P$41,4,0)/'4. Billing Determinants'!$E$41*$D23,IF($E23="kW",VLOOKUP(V$4,'4. Billing Determinants'!$B$19:$P$41,5,0)/'4. Billing Determinants'!$F$41*$D23,IF($E23="Non-RPP kWh",VLOOKUP(V$4,'4. Billing Determinants'!$B$19:$P$41,6,0)/'4. Billing Determinants'!$G$41*$D23,IF($E23="Distribution Rev.",VLOOKUP(V$4,'4. Billing Determinants'!$B$19:$P$41,8,0)/'4. Billing Determinants'!$I$41*$D23, VLOOKUP(V$4,'4. Billing Determinants'!$B$19:$P$41,3,0)/'4. Billing Determinants'!$D$41*$D23))))),0)</f>
        <v>0</v>
      </c>
      <c r="W23" s="70">
        <f>IFERROR(IF(W$4="",0,IF($E23="kWh",VLOOKUP(W$4,'4. Billing Determinants'!$B$19:$P$41,4,0)/'4. Billing Determinants'!$E$41*$D23,IF($E23="kW",VLOOKUP(W$4,'4. Billing Determinants'!$B$19:$P$41,5,0)/'4. Billing Determinants'!$F$41*$D23,IF($E23="Non-RPP kWh",VLOOKUP(W$4,'4. Billing Determinants'!$B$19:$P$41,6,0)/'4. Billing Determinants'!$G$41*$D23,IF($E23="Distribution Rev.",VLOOKUP(W$4,'4. Billing Determinants'!$B$19:$P$41,8,0)/'4. Billing Determinants'!$I$41*$D23, VLOOKUP(W$4,'4. Billing Determinants'!$B$19:$P$41,3,0)/'4. Billing Determinants'!$D$41*$D23))))),0)</f>
        <v>0</v>
      </c>
      <c r="X23" s="70">
        <f>IFERROR(IF(X$4="",0,IF($E23="kWh",VLOOKUP(X$4,'4. Billing Determinants'!$B$19:$P$41,4,0)/'4. Billing Determinants'!$E$41*$D23,IF($E23="kW",VLOOKUP(X$4,'4. Billing Determinants'!$B$19:$P$41,5,0)/'4. Billing Determinants'!$F$41*$D23,IF($E23="Non-RPP kWh",VLOOKUP(X$4,'4. Billing Determinants'!$B$19:$P$41,6,0)/'4. Billing Determinants'!$G$41*$D23,IF($E23="Distribution Rev.",VLOOKUP(X$4,'4. Billing Determinants'!$B$19:$P$41,8,0)/'4. Billing Determinants'!$I$41*$D23, VLOOKUP(X$4,'4. Billing Determinants'!$B$19:$P$41,3,0)/'4. Billing Determinants'!$D$41*$D23))))),0)</f>
        <v>0</v>
      </c>
      <c r="Y23" s="70">
        <f>IFERROR(IF(Y$4="",0,IF($E23="kWh",VLOOKUP(Y$4,'4. Billing Determinants'!$B$19:$P$41,4,0)/'4. Billing Determinants'!$E$41*$D23,IF($E23="kW",VLOOKUP(Y$4,'4. Billing Determinants'!$B$19:$P$41,5,0)/'4. Billing Determinants'!$F$41*$D23,IF($E23="Non-RPP kWh",VLOOKUP(Y$4,'4. Billing Determinants'!$B$19:$P$41,6,0)/'4. Billing Determinants'!$G$41*$D23,IF($E23="Distribution Rev.",VLOOKUP(Y$4,'4. Billing Determinants'!$B$19:$P$41,8,0)/'4. Billing Determinants'!$I$41*$D23, VLOOKUP(Y$4,'4. Billing Determinants'!$B$19:$P$41,3,0)/'4. Billing Determinants'!$D$41*$D23))))),0)</f>
        <v>0</v>
      </c>
    </row>
    <row r="24" spans="2:25" x14ac:dyDescent="0.2">
      <c r="B24" s="75" t="s">
        <v>4</v>
      </c>
      <c r="C24" s="69">
        <v>1518</v>
      </c>
      <c r="D24" s="70">
        <f>'2. 2014 Continuity Schedule'!BO47</f>
        <v>138753.22999999992</v>
      </c>
      <c r="E24" s="130" t="s">
        <v>115</v>
      </c>
      <c r="F24" s="70">
        <f>IFERROR(IF(F$4="",0,IF($E24="kWh",VLOOKUP(F$4,'4. Billing Determinants'!$B$19:$P$41,4,0)/'4. Billing Determinants'!$E$41*$D24,IF($E24="kW",VLOOKUP(F$4,'4. Billing Determinants'!$B$19:$P$41,5,0)/'4. Billing Determinants'!$F$41*$D24,IF($E24="Non-RPP kWh",VLOOKUP(F$4,'4. Billing Determinants'!$B$19:$P$41,6,0)/'4. Billing Determinants'!$G$41*$D24,IF($E24="Distribution Rev.",VLOOKUP(F$4,'4. Billing Determinants'!$B$19:$P$41,8,0)/'4. Billing Determinants'!$I$41*$D24, VLOOKUP(F$4,'4. Billing Determinants'!$B$19:$P$41,3,0)/'4. Billing Determinants'!$D$41*$D24))))),0)</f>
        <v>123924.78363706541</v>
      </c>
      <c r="G24" s="70">
        <f>IFERROR(IF(G$4="",0,IF($E24="kWh",VLOOKUP(G$4,'4. Billing Determinants'!$B$19:$P$41,4,0)/'4. Billing Determinants'!$E$41*$D24,IF($E24="kW",VLOOKUP(G$4,'4. Billing Determinants'!$B$19:$P$41,5,0)/'4. Billing Determinants'!$F$41*$D24,IF($E24="Non-RPP kWh",VLOOKUP(G$4,'4. Billing Determinants'!$B$19:$P$41,6,0)/'4. Billing Determinants'!$G$41*$D24,IF($E24="Distribution Rev.",VLOOKUP(G$4,'4. Billing Determinants'!$B$19:$P$41,8,0)/'4. Billing Determinants'!$I$41*$D24, VLOOKUP(G$4,'4. Billing Determinants'!$B$19:$P$41,3,0)/'4. Billing Determinants'!$D$41*$D24))))),0)</f>
        <v>11555.850831869673</v>
      </c>
      <c r="H24" s="70">
        <f>IFERROR(IF(H$4="",0,IF($E24="kWh",VLOOKUP(H$4,'4. Billing Determinants'!$B$19:$P$41,4,0)/'4. Billing Determinants'!$E$41*$D24,IF($E24="kW",VLOOKUP(H$4,'4. Billing Determinants'!$B$19:$P$41,5,0)/'4. Billing Determinants'!$F$41*$D24,IF($E24="Non-RPP kWh",VLOOKUP(H$4,'4. Billing Determinants'!$B$19:$P$41,6,0)/'4. Billing Determinants'!$G$41*$D24,IF($E24="Distribution Rev.",VLOOKUP(H$4,'4. Billing Determinants'!$B$19:$P$41,8,0)/'4. Billing Determinants'!$I$41*$D24, VLOOKUP(H$4,'4. Billing Determinants'!$B$19:$P$41,3,0)/'4. Billing Determinants'!$D$41*$D24))))),0)</f>
        <v>2311.1701663739345</v>
      </c>
      <c r="I24" s="70">
        <f>IFERROR(IF(I$4="",0,IF($E24="kWh",VLOOKUP(I$4,'4. Billing Determinants'!$B$19:$P$41,4,0)/'4. Billing Determinants'!$E$41*$D24,IF($E24="kW",VLOOKUP(I$4,'4. Billing Determinants'!$B$19:$P$41,5,0)/'4. Billing Determinants'!$F$41*$D24,IF($E24="Non-RPP kWh",VLOOKUP(I$4,'4. Billing Determinants'!$B$19:$P$41,6,0)/'4. Billing Determinants'!$G$41*$D24,IF($E24="Distribution Rev.",VLOOKUP(I$4,'4. Billing Determinants'!$B$19:$P$41,8,0)/'4. Billing Determinants'!$I$41*$D24, VLOOKUP(I$4,'4. Billing Determinants'!$B$19:$P$41,3,0)/'4. Billing Determinants'!$D$41*$D24))))),0)</f>
        <v>45.527106405975537</v>
      </c>
      <c r="J24" s="70">
        <f>IFERROR(IF(J$4="",0,IF($E24="kWh",VLOOKUP(J$4,'4. Billing Determinants'!$B$19:$P$41,4,0)/'4. Billing Determinants'!$E$41*$D24,IF($E24="kW",VLOOKUP(J$4,'4. Billing Determinants'!$B$19:$P$41,5,0)/'4. Billing Determinants'!$F$41*$D24,IF($E24="Non-RPP kWh",VLOOKUP(J$4,'4. Billing Determinants'!$B$19:$P$41,6,0)/'4. Billing Determinants'!$G$41*$D24,IF($E24="Distribution Rev.",VLOOKUP(J$4,'4. Billing Determinants'!$B$19:$P$41,8,0)/'4. Billing Determinants'!$I$41*$D24, VLOOKUP(J$4,'4. Billing Determinants'!$B$19:$P$41,3,0)/'4. Billing Determinants'!$D$41*$D24))))),0)</f>
        <v>902.50793287139754</v>
      </c>
      <c r="K24" s="70">
        <f>IFERROR(IF(K$4="",0,IF($E24="kWh",VLOOKUP(K$4,'4. Billing Determinants'!$B$19:$P$41,4,0)/'4. Billing Determinants'!$E$41*$D24,IF($E24="kW",VLOOKUP(K$4,'4. Billing Determinants'!$B$19:$P$41,5,0)/'4. Billing Determinants'!$F$41*$D24,IF($E24="Non-RPP kWh",VLOOKUP(K$4,'4. Billing Determinants'!$B$19:$P$41,6,0)/'4. Billing Determinants'!$G$41*$D24,IF($E24="Distribution Rev.",VLOOKUP(K$4,'4. Billing Determinants'!$B$19:$P$41,8,0)/'4. Billing Determinants'!$I$41*$D24, VLOOKUP(K$4,'4. Billing Determinants'!$B$19:$P$41,3,0)/'4. Billing Determinants'!$D$41*$D24))))),0)</f>
        <v>13.390325413522218</v>
      </c>
      <c r="L24" s="70">
        <f>IFERROR(IF(L$4="",0,IF($E24="kWh",VLOOKUP(L$4,'4. Billing Determinants'!$B$19:$P$41,4,0)/'4. Billing Determinants'!$E$41*$D24,IF($E24="kW",VLOOKUP(L$4,'4. Billing Determinants'!$B$19:$P$41,5,0)/'4. Billing Determinants'!$F$41*$D24,IF($E24="Non-RPP kWh",VLOOKUP(L$4,'4. Billing Determinants'!$B$19:$P$41,6,0)/'4. Billing Determinants'!$G$41*$D24,IF($E24="Distribution Rev.",VLOOKUP(L$4,'4. Billing Determinants'!$B$19:$P$41,8,0)/'4. Billing Determinants'!$I$41*$D24, VLOOKUP(L$4,'4. Billing Determinants'!$B$19:$P$41,3,0)/'4. Billing Determinants'!$D$41*$D24))))),0)</f>
        <v>0</v>
      </c>
      <c r="M24" s="70">
        <f>IFERROR(IF(M$4="",0,IF($E24="kWh",VLOOKUP(M$4,'4. Billing Determinants'!$B$19:$P$41,4,0)/'4. Billing Determinants'!$E$41*$D24,IF($E24="kW",VLOOKUP(M$4,'4. Billing Determinants'!$B$19:$P$41,5,0)/'4. Billing Determinants'!$F$41*$D24,IF($E24="Non-RPP kWh",VLOOKUP(M$4,'4. Billing Determinants'!$B$19:$P$41,6,0)/'4. Billing Determinants'!$G$41*$D24,IF($E24="Distribution Rev.",VLOOKUP(M$4,'4. Billing Determinants'!$B$19:$P$41,8,0)/'4. Billing Determinants'!$I$41*$D24, VLOOKUP(M$4,'4. Billing Determinants'!$B$19:$P$41,3,0)/'4. Billing Determinants'!$D$41*$D24))))),0)</f>
        <v>0</v>
      </c>
      <c r="N24" s="70">
        <f>IFERROR(IF(N$4="",0,IF($E24="kWh",VLOOKUP(N$4,'4. Billing Determinants'!$B$19:$P$41,4,0)/'4. Billing Determinants'!$E$41*$D24,IF($E24="kW",VLOOKUP(N$4,'4. Billing Determinants'!$B$19:$P$41,5,0)/'4. Billing Determinants'!$F$41*$D24,IF($E24="Non-RPP kWh",VLOOKUP(N$4,'4. Billing Determinants'!$B$19:$P$41,6,0)/'4. Billing Determinants'!$G$41*$D24,IF($E24="Distribution Rev.",VLOOKUP(N$4,'4. Billing Determinants'!$B$19:$P$41,8,0)/'4. Billing Determinants'!$I$41*$D24, VLOOKUP(N$4,'4. Billing Determinants'!$B$19:$P$41,3,0)/'4. Billing Determinants'!$D$41*$D24))))),0)</f>
        <v>0</v>
      </c>
      <c r="O24" s="70">
        <f>IFERROR(IF(O$4="",0,IF($E24="kWh",VLOOKUP(O$4,'4. Billing Determinants'!$B$19:$P$41,4,0)/'4. Billing Determinants'!$E$41*$D24,IF($E24="kW",VLOOKUP(O$4,'4. Billing Determinants'!$B$19:$P$41,5,0)/'4. Billing Determinants'!$F$41*$D24,IF($E24="Non-RPP kWh",VLOOKUP(O$4,'4. Billing Determinants'!$B$19:$P$41,6,0)/'4. Billing Determinants'!$G$41*$D24,IF($E24="Distribution Rev.",VLOOKUP(O$4,'4. Billing Determinants'!$B$19:$P$41,8,0)/'4. Billing Determinants'!$I$41*$D24, VLOOKUP(O$4,'4. Billing Determinants'!$B$19:$P$41,3,0)/'4. Billing Determinants'!$D$41*$D24))))),0)</f>
        <v>0</v>
      </c>
      <c r="P24" s="70">
        <f>IFERROR(IF(P$4="",0,IF($E24="kWh",VLOOKUP(P$4,'4. Billing Determinants'!$B$19:$P$41,4,0)/'4. Billing Determinants'!$E$41*$D24,IF($E24="kW",VLOOKUP(P$4,'4. Billing Determinants'!$B$19:$P$41,5,0)/'4. Billing Determinants'!$F$41*$D24,IF($E24="Non-RPP kWh",VLOOKUP(P$4,'4. Billing Determinants'!$B$19:$P$41,6,0)/'4. Billing Determinants'!$G$41*$D24,IF($E24="Distribution Rev.",VLOOKUP(P$4,'4. Billing Determinants'!$B$19:$P$41,8,0)/'4. Billing Determinants'!$I$41*$D24, VLOOKUP(P$4,'4. Billing Determinants'!$B$19:$P$41,3,0)/'4. Billing Determinants'!$D$41*$D24))))),0)</f>
        <v>0</v>
      </c>
      <c r="Q24" s="70">
        <f>IFERROR(IF(Q$4="",0,IF($E24="kWh",VLOOKUP(Q$4,'4. Billing Determinants'!$B$19:$P$41,4,0)/'4. Billing Determinants'!$E$41*$D24,IF($E24="kW",VLOOKUP(Q$4,'4. Billing Determinants'!$B$19:$P$41,5,0)/'4. Billing Determinants'!$F$41*$D24,IF($E24="Non-RPP kWh",VLOOKUP(Q$4,'4. Billing Determinants'!$B$19:$P$41,6,0)/'4. Billing Determinants'!$G$41*$D24,IF($E24="Distribution Rev.",VLOOKUP(Q$4,'4. Billing Determinants'!$B$19:$P$41,8,0)/'4. Billing Determinants'!$I$41*$D24, VLOOKUP(Q$4,'4. Billing Determinants'!$B$19:$P$41,3,0)/'4. Billing Determinants'!$D$41*$D24))))),0)</f>
        <v>0</v>
      </c>
      <c r="R24" s="70">
        <f>IFERROR(IF(R$4="",0,IF($E24="kWh",VLOOKUP(R$4,'4. Billing Determinants'!$B$19:$P$41,4,0)/'4. Billing Determinants'!$E$41*$D24,IF($E24="kW",VLOOKUP(R$4,'4. Billing Determinants'!$B$19:$P$41,5,0)/'4. Billing Determinants'!$F$41*$D24,IF($E24="Non-RPP kWh",VLOOKUP(R$4,'4. Billing Determinants'!$B$19:$P$41,6,0)/'4. Billing Determinants'!$G$41*$D24,IF($E24="Distribution Rev.",VLOOKUP(R$4,'4. Billing Determinants'!$B$19:$P$41,8,0)/'4. Billing Determinants'!$I$41*$D24, VLOOKUP(R$4,'4. Billing Determinants'!$B$19:$P$41,3,0)/'4. Billing Determinants'!$D$41*$D24))))),0)</f>
        <v>0</v>
      </c>
      <c r="S24" s="70">
        <f>IFERROR(IF(S$4="",0,IF($E24="kWh",VLOOKUP(S$4,'4. Billing Determinants'!$B$19:$P$41,4,0)/'4. Billing Determinants'!$E$41*$D24,IF($E24="kW",VLOOKUP(S$4,'4. Billing Determinants'!$B$19:$P$41,5,0)/'4. Billing Determinants'!$F$41*$D24,IF($E24="Non-RPP kWh",VLOOKUP(S$4,'4. Billing Determinants'!$B$19:$P$41,6,0)/'4. Billing Determinants'!$G$41*$D24,IF($E24="Distribution Rev.",VLOOKUP(S$4,'4. Billing Determinants'!$B$19:$P$41,8,0)/'4. Billing Determinants'!$I$41*$D24, VLOOKUP(S$4,'4. Billing Determinants'!$B$19:$P$41,3,0)/'4. Billing Determinants'!$D$41*$D24))))),0)</f>
        <v>0</v>
      </c>
      <c r="T24" s="70">
        <f>IFERROR(IF(T$4="",0,IF($E24="kWh",VLOOKUP(T$4,'4. Billing Determinants'!$B$19:$P$41,4,0)/'4. Billing Determinants'!$E$41*$D24,IF($E24="kW",VLOOKUP(T$4,'4. Billing Determinants'!$B$19:$P$41,5,0)/'4. Billing Determinants'!$F$41*$D24,IF($E24="Non-RPP kWh",VLOOKUP(T$4,'4. Billing Determinants'!$B$19:$P$41,6,0)/'4. Billing Determinants'!$G$41*$D24,IF($E24="Distribution Rev.",VLOOKUP(T$4,'4. Billing Determinants'!$B$19:$P$41,8,0)/'4. Billing Determinants'!$I$41*$D24, VLOOKUP(T$4,'4. Billing Determinants'!$B$19:$P$41,3,0)/'4. Billing Determinants'!$D$41*$D24))))),0)</f>
        <v>0</v>
      </c>
      <c r="U24" s="70">
        <f>IFERROR(IF(U$4="",0,IF($E24="kWh",VLOOKUP(U$4,'4. Billing Determinants'!$B$19:$P$41,4,0)/'4. Billing Determinants'!$E$41*$D24,IF($E24="kW",VLOOKUP(U$4,'4. Billing Determinants'!$B$19:$P$41,5,0)/'4. Billing Determinants'!$F$41*$D24,IF($E24="Non-RPP kWh",VLOOKUP(U$4,'4. Billing Determinants'!$B$19:$P$41,6,0)/'4. Billing Determinants'!$G$41*$D24,IF($E24="Distribution Rev.",VLOOKUP(U$4,'4. Billing Determinants'!$B$19:$P$41,8,0)/'4. Billing Determinants'!$I$41*$D24, VLOOKUP(U$4,'4. Billing Determinants'!$B$19:$P$41,3,0)/'4. Billing Determinants'!$D$41*$D24))))),0)</f>
        <v>0</v>
      </c>
      <c r="V24" s="70">
        <f>IFERROR(IF(V$4="",0,IF($E24="kWh",VLOOKUP(V$4,'4. Billing Determinants'!$B$19:$P$41,4,0)/'4. Billing Determinants'!$E$41*$D24,IF($E24="kW",VLOOKUP(V$4,'4. Billing Determinants'!$B$19:$P$41,5,0)/'4. Billing Determinants'!$F$41*$D24,IF($E24="Non-RPP kWh",VLOOKUP(V$4,'4. Billing Determinants'!$B$19:$P$41,6,0)/'4. Billing Determinants'!$G$41*$D24,IF($E24="Distribution Rev.",VLOOKUP(V$4,'4. Billing Determinants'!$B$19:$P$41,8,0)/'4. Billing Determinants'!$I$41*$D24, VLOOKUP(V$4,'4. Billing Determinants'!$B$19:$P$41,3,0)/'4. Billing Determinants'!$D$41*$D24))))),0)</f>
        <v>0</v>
      </c>
      <c r="W24" s="70">
        <f>IFERROR(IF(W$4="",0,IF($E24="kWh",VLOOKUP(W$4,'4. Billing Determinants'!$B$19:$P$41,4,0)/'4. Billing Determinants'!$E$41*$D24,IF($E24="kW",VLOOKUP(W$4,'4. Billing Determinants'!$B$19:$P$41,5,0)/'4. Billing Determinants'!$F$41*$D24,IF($E24="Non-RPP kWh",VLOOKUP(W$4,'4. Billing Determinants'!$B$19:$P$41,6,0)/'4. Billing Determinants'!$G$41*$D24,IF($E24="Distribution Rev.",VLOOKUP(W$4,'4. Billing Determinants'!$B$19:$P$41,8,0)/'4. Billing Determinants'!$I$41*$D24, VLOOKUP(W$4,'4. Billing Determinants'!$B$19:$P$41,3,0)/'4. Billing Determinants'!$D$41*$D24))))),0)</f>
        <v>0</v>
      </c>
      <c r="X24" s="70">
        <f>IFERROR(IF(X$4="",0,IF($E24="kWh",VLOOKUP(X$4,'4. Billing Determinants'!$B$19:$P$41,4,0)/'4. Billing Determinants'!$E$41*$D24,IF($E24="kW",VLOOKUP(X$4,'4. Billing Determinants'!$B$19:$P$41,5,0)/'4. Billing Determinants'!$F$41*$D24,IF($E24="Non-RPP kWh",VLOOKUP(X$4,'4. Billing Determinants'!$B$19:$P$41,6,0)/'4. Billing Determinants'!$G$41*$D24,IF($E24="Distribution Rev.",VLOOKUP(X$4,'4. Billing Determinants'!$B$19:$P$41,8,0)/'4. Billing Determinants'!$I$41*$D24, VLOOKUP(X$4,'4. Billing Determinants'!$B$19:$P$41,3,0)/'4. Billing Determinants'!$D$41*$D24))))),0)</f>
        <v>0</v>
      </c>
      <c r="Y24" s="70">
        <f>IFERROR(IF(Y$4="",0,IF($E24="kWh",VLOOKUP(Y$4,'4. Billing Determinants'!$B$19:$P$41,4,0)/'4. Billing Determinants'!$E$41*$D24,IF($E24="kW",VLOOKUP(Y$4,'4. Billing Determinants'!$B$19:$P$41,5,0)/'4. Billing Determinants'!$F$41*$D24,IF($E24="Non-RPP kWh",VLOOKUP(Y$4,'4. Billing Determinants'!$B$19:$P$41,6,0)/'4. Billing Determinants'!$G$41*$D24,IF($E24="Distribution Rev.",VLOOKUP(Y$4,'4. Billing Determinants'!$B$19:$P$41,8,0)/'4. Billing Determinants'!$I$41*$D24, VLOOKUP(Y$4,'4. Billing Determinants'!$B$19:$P$41,3,0)/'4. Billing Determinants'!$D$41*$D24))))),0)</f>
        <v>0</v>
      </c>
    </row>
    <row r="25" spans="2:25" x14ac:dyDescent="0.2">
      <c r="B25" s="68" t="s">
        <v>9</v>
      </c>
      <c r="C25" s="69">
        <v>1525</v>
      </c>
      <c r="D25" s="70">
        <f>'2. 2014 Continuity Schedule'!BO48</f>
        <v>0</v>
      </c>
      <c r="E25" s="130"/>
      <c r="F25" s="70">
        <f>IFERROR(IF(F$4="",0,IF($E25="kWh",VLOOKUP(F$4,'4. Billing Determinants'!$B$19:$P$41,4,0)/'4. Billing Determinants'!$E$41*$D25,IF($E25="kW",VLOOKUP(F$4,'4. Billing Determinants'!$B$19:$P$41,5,0)/'4. Billing Determinants'!$F$41*$D25,IF($E25="Non-RPP kWh",VLOOKUP(F$4,'4. Billing Determinants'!$B$19:$P$41,6,0)/'4. Billing Determinants'!$G$41*$D25,IF($E25="Distribution Rev.",VLOOKUP(F$4,'4. Billing Determinants'!$B$19:$P$41,8,0)/'4. Billing Determinants'!$I$41*$D25, VLOOKUP(F$4,'4. Billing Determinants'!$B$19:$P$41,3,0)/'4. Billing Determinants'!$D$41*$D25))))),0)</f>
        <v>0</v>
      </c>
      <c r="G25" s="70">
        <f>IFERROR(IF(G$4="",0,IF($E25="kWh",VLOOKUP(G$4,'4. Billing Determinants'!$B$19:$P$41,4,0)/'4. Billing Determinants'!$E$41*$D25,IF($E25="kW",VLOOKUP(G$4,'4. Billing Determinants'!$B$19:$P$41,5,0)/'4. Billing Determinants'!$F$41*$D25,IF($E25="Non-RPP kWh",VLOOKUP(G$4,'4. Billing Determinants'!$B$19:$P$41,6,0)/'4. Billing Determinants'!$G$41*$D25,IF($E25="Distribution Rev.",VLOOKUP(G$4,'4. Billing Determinants'!$B$19:$P$41,8,0)/'4. Billing Determinants'!$I$41*$D25, VLOOKUP(G$4,'4. Billing Determinants'!$B$19:$P$41,3,0)/'4. Billing Determinants'!$D$41*$D25))))),0)</f>
        <v>0</v>
      </c>
      <c r="H25" s="70">
        <f>IFERROR(IF(H$4="",0,IF($E25="kWh",VLOOKUP(H$4,'4. Billing Determinants'!$B$19:$P$41,4,0)/'4. Billing Determinants'!$E$41*$D25,IF($E25="kW",VLOOKUP(H$4,'4. Billing Determinants'!$B$19:$P$41,5,0)/'4. Billing Determinants'!$F$41*$D25,IF($E25="Non-RPP kWh",VLOOKUP(H$4,'4. Billing Determinants'!$B$19:$P$41,6,0)/'4. Billing Determinants'!$G$41*$D25,IF($E25="Distribution Rev.",VLOOKUP(H$4,'4. Billing Determinants'!$B$19:$P$41,8,0)/'4. Billing Determinants'!$I$41*$D25, VLOOKUP(H$4,'4. Billing Determinants'!$B$19:$P$41,3,0)/'4. Billing Determinants'!$D$41*$D25))))),0)</f>
        <v>0</v>
      </c>
      <c r="I25" s="70">
        <f>IFERROR(IF(I$4="",0,IF($E25="kWh",VLOOKUP(I$4,'4. Billing Determinants'!$B$19:$P$41,4,0)/'4. Billing Determinants'!$E$41*$D25,IF($E25="kW",VLOOKUP(I$4,'4. Billing Determinants'!$B$19:$P$41,5,0)/'4. Billing Determinants'!$F$41*$D25,IF($E25="Non-RPP kWh",VLOOKUP(I$4,'4. Billing Determinants'!$B$19:$P$41,6,0)/'4. Billing Determinants'!$G$41*$D25,IF($E25="Distribution Rev.",VLOOKUP(I$4,'4. Billing Determinants'!$B$19:$P$41,8,0)/'4. Billing Determinants'!$I$41*$D25, VLOOKUP(I$4,'4. Billing Determinants'!$B$19:$P$41,3,0)/'4. Billing Determinants'!$D$41*$D25))))),0)</f>
        <v>0</v>
      </c>
      <c r="J25" s="70">
        <f>IFERROR(IF(J$4="",0,IF($E25="kWh",VLOOKUP(J$4,'4. Billing Determinants'!$B$19:$P$41,4,0)/'4. Billing Determinants'!$E$41*$D25,IF($E25="kW",VLOOKUP(J$4,'4. Billing Determinants'!$B$19:$P$41,5,0)/'4. Billing Determinants'!$F$41*$D25,IF($E25="Non-RPP kWh",VLOOKUP(J$4,'4. Billing Determinants'!$B$19:$P$41,6,0)/'4. Billing Determinants'!$G$41*$D25,IF($E25="Distribution Rev.",VLOOKUP(J$4,'4. Billing Determinants'!$B$19:$P$41,8,0)/'4. Billing Determinants'!$I$41*$D25, VLOOKUP(J$4,'4. Billing Determinants'!$B$19:$P$41,3,0)/'4. Billing Determinants'!$D$41*$D25))))),0)</f>
        <v>0</v>
      </c>
      <c r="K25" s="70">
        <f>IFERROR(IF(K$4="",0,IF($E25="kWh",VLOOKUP(K$4,'4. Billing Determinants'!$B$19:$P$41,4,0)/'4. Billing Determinants'!$E$41*$D25,IF($E25="kW",VLOOKUP(K$4,'4. Billing Determinants'!$B$19:$P$41,5,0)/'4. Billing Determinants'!$F$41*$D25,IF($E25="Non-RPP kWh",VLOOKUP(K$4,'4. Billing Determinants'!$B$19:$P$41,6,0)/'4. Billing Determinants'!$G$41*$D25,IF($E25="Distribution Rev.",VLOOKUP(K$4,'4. Billing Determinants'!$B$19:$P$41,8,0)/'4. Billing Determinants'!$I$41*$D25, VLOOKUP(K$4,'4. Billing Determinants'!$B$19:$P$41,3,0)/'4. Billing Determinants'!$D$41*$D25))))),0)</f>
        <v>0</v>
      </c>
      <c r="L25" s="70">
        <f>IFERROR(IF(L$4="",0,IF($E25="kWh",VLOOKUP(L$4,'4. Billing Determinants'!$B$19:$P$41,4,0)/'4. Billing Determinants'!$E$41*$D25,IF($E25="kW",VLOOKUP(L$4,'4. Billing Determinants'!$B$19:$P$41,5,0)/'4. Billing Determinants'!$F$41*$D25,IF($E25="Non-RPP kWh",VLOOKUP(L$4,'4. Billing Determinants'!$B$19:$P$41,6,0)/'4. Billing Determinants'!$G$41*$D25,IF($E25="Distribution Rev.",VLOOKUP(L$4,'4. Billing Determinants'!$B$19:$P$41,8,0)/'4. Billing Determinants'!$I$41*$D25, VLOOKUP(L$4,'4. Billing Determinants'!$B$19:$P$41,3,0)/'4. Billing Determinants'!$D$41*$D25))))),0)</f>
        <v>0</v>
      </c>
      <c r="M25" s="70">
        <f>IFERROR(IF(M$4="",0,IF($E25="kWh",VLOOKUP(M$4,'4. Billing Determinants'!$B$19:$P$41,4,0)/'4. Billing Determinants'!$E$41*$D25,IF($E25="kW",VLOOKUP(M$4,'4. Billing Determinants'!$B$19:$P$41,5,0)/'4. Billing Determinants'!$F$41*$D25,IF($E25="Non-RPP kWh",VLOOKUP(M$4,'4. Billing Determinants'!$B$19:$P$41,6,0)/'4. Billing Determinants'!$G$41*$D25,IF($E25="Distribution Rev.",VLOOKUP(M$4,'4. Billing Determinants'!$B$19:$P$41,8,0)/'4. Billing Determinants'!$I$41*$D25, VLOOKUP(M$4,'4. Billing Determinants'!$B$19:$P$41,3,0)/'4. Billing Determinants'!$D$41*$D25))))),0)</f>
        <v>0</v>
      </c>
      <c r="N25" s="70">
        <f>IFERROR(IF(N$4="",0,IF($E25="kWh",VLOOKUP(N$4,'4. Billing Determinants'!$B$19:$P$41,4,0)/'4. Billing Determinants'!$E$41*$D25,IF($E25="kW",VLOOKUP(N$4,'4. Billing Determinants'!$B$19:$P$41,5,0)/'4. Billing Determinants'!$F$41*$D25,IF($E25="Non-RPP kWh",VLOOKUP(N$4,'4. Billing Determinants'!$B$19:$P$41,6,0)/'4. Billing Determinants'!$G$41*$D25,IF($E25="Distribution Rev.",VLOOKUP(N$4,'4. Billing Determinants'!$B$19:$P$41,8,0)/'4. Billing Determinants'!$I$41*$D25, VLOOKUP(N$4,'4. Billing Determinants'!$B$19:$P$41,3,0)/'4. Billing Determinants'!$D$41*$D25))))),0)</f>
        <v>0</v>
      </c>
      <c r="O25" s="70">
        <f>IFERROR(IF(O$4="",0,IF($E25="kWh",VLOOKUP(O$4,'4. Billing Determinants'!$B$19:$P$41,4,0)/'4. Billing Determinants'!$E$41*$D25,IF($E25="kW",VLOOKUP(O$4,'4. Billing Determinants'!$B$19:$P$41,5,0)/'4. Billing Determinants'!$F$41*$D25,IF($E25="Non-RPP kWh",VLOOKUP(O$4,'4. Billing Determinants'!$B$19:$P$41,6,0)/'4. Billing Determinants'!$G$41*$D25,IF($E25="Distribution Rev.",VLOOKUP(O$4,'4. Billing Determinants'!$B$19:$P$41,8,0)/'4. Billing Determinants'!$I$41*$D25, VLOOKUP(O$4,'4. Billing Determinants'!$B$19:$P$41,3,0)/'4. Billing Determinants'!$D$41*$D25))))),0)</f>
        <v>0</v>
      </c>
      <c r="P25" s="70">
        <f>IFERROR(IF(P$4="",0,IF($E25="kWh",VLOOKUP(P$4,'4. Billing Determinants'!$B$19:$P$41,4,0)/'4. Billing Determinants'!$E$41*$D25,IF($E25="kW",VLOOKUP(P$4,'4. Billing Determinants'!$B$19:$P$41,5,0)/'4. Billing Determinants'!$F$41*$D25,IF($E25="Non-RPP kWh",VLOOKUP(P$4,'4. Billing Determinants'!$B$19:$P$41,6,0)/'4. Billing Determinants'!$G$41*$D25,IF($E25="Distribution Rev.",VLOOKUP(P$4,'4. Billing Determinants'!$B$19:$P$41,8,0)/'4. Billing Determinants'!$I$41*$D25, VLOOKUP(P$4,'4. Billing Determinants'!$B$19:$P$41,3,0)/'4. Billing Determinants'!$D$41*$D25))))),0)</f>
        <v>0</v>
      </c>
      <c r="Q25" s="70">
        <f>IFERROR(IF(Q$4="",0,IF($E25="kWh",VLOOKUP(Q$4,'4. Billing Determinants'!$B$19:$P$41,4,0)/'4. Billing Determinants'!$E$41*$D25,IF($E25="kW",VLOOKUP(Q$4,'4. Billing Determinants'!$B$19:$P$41,5,0)/'4. Billing Determinants'!$F$41*$D25,IF($E25="Non-RPP kWh",VLOOKUP(Q$4,'4. Billing Determinants'!$B$19:$P$41,6,0)/'4. Billing Determinants'!$G$41*$D25,IF($E25="Distribution Rev.",VLOOKUP(Q$4,'4. Billing Determinants'!$B$19:$P$41,8,0)/'4. Billing Determinants'!$I$41*$D25, VLOOKUP(Q$4,'4. Billing Determinants'!$B$19:$P$41,3,0)/'4. Billing Determinants'!$D$41*$D25))))),0)</f>
        <v>0</v>
      </c>
      <c r="R25" s="70">
        <f>IFERROR(IF(R$4="",0,IF($E25="kWh",VLOOKUP(R$4,'4. Billing Determinants'!$B$19:$P$41,4,0)/'4. Billing Determinants'!$E$41*$D25,IF($E25="kW",VLOOKUP(R$4,'4. Billing Determinants'!$B$19:$P$41,5,0)/'4. Billing Determinants'!$F$41*$D25,IF($E25="Non-RPP kWh",VLOOKUP(R$4,'4. Billing Determinants'!$B$19:$P$41,6,0)/'4. Billing Determinants'!$G$41*$D25,IF($E25="Distribution Rev.",VLOOKUP(R$4,'4. Billing Determinants'!$B$19:$P$41,8,0)/'4. Billing Determinants'!$I$41*$D25, VLOOKUP(R$4,'4. Billing Determinants'!$B$19:$P$41,3,0)/'4. Billing Determinants'!$D$41*$D25))))),0)</f>
        <v>0</v>
      </c>
      <c r="S25" s="70">
        <f>IFERROR(IF(S$4="",0,IF($E25="kWh",VLOOKUP(S$4,'4. Billing Determinants'!$B$19:$P$41,4,0)/'4. Billing Determinants'!$E$41*$D25,IF($E25="kW",VLOOKUP(S$4,'4. Billing Determinants'!$B$19:$P$41,5,0)/'4. Billing Determinants'!$F$41*$D25,IF($E25="Non-RPP kWh",VLOOKUP(S$4,'4. Billing Determinants'!$B$19:$P$41,6,0)/'4. Billing Determinants'!$G$41*$D25,IF($E25="Distribution Rev.",VLOOKUP(S$4,'4. Billing Determinants'!$B$19:$P$41,8,0)/'4. Billing Determinants'!$I$41*$D25, VLOOKUP(S$4,'4. Billing Determinants'!$B$19:$P$41,3,0)/'4. Billing Determinants'!$D$41*$D25))))),0)</f>
        <v>0</v>
      </c>
      <c r="T25" s="70">
        <f>IFERROR(IF(T$4="",0,IF($E25="kWh",VLOOKUP(T$4,'4. Billing Determinants'!$B$19:$P$41,4,0)/'4. Billing Determinants'!$E$41*$D25,IF($E25="kW",VLOOKUP(T$4,'4. Billing Determinants'!$B$19:$P$41,5,0)/'4. Billing Determinants'!$F$41*$D25,IF($E25="Non-RPP kWh",VLOOKUP(T$4,'4. Billing Determinants'!$B$19:$P$41,6,0)/'4. Billing Determinants'!$G$41*$D25,IF($E25="Distribution Rev.",VLOOKUP(T$4,'4. Billing Determinants'!$B$19:$P$41,8,0)/'4. Billing Determinants'!$I$41*$D25, VLOOKUP(T$4,'4. Billing Determinants'!$B$19:$P$41,3,0)/'4. Billing Determinants'!$D$41*$D25))))),0)</f>
        <v>0</v>
      </c>
      <c r="U25" s="70">
        <f>IFERROR(IF(U$4="",0,IF($E25="kWh",VLOOKUP(U$4,'4. Billing Determinants'!$B$19:$P$41,4,0)/'4. Billing Determinants'!$E$41*$D25,IF($E25="kW",VLOOKUP(U$4,'4. Billing Determinants'!$B$19:$P$41,5,0)/'4. Billing Determinants'!$F$41*$D25,IF($E25="Non-RPP kWh",VLOOKUP(U$4,'4. Billing Determinants'!$B$19:$P$41,6,0)/'4. Billing Determinants'!$G$41*$D25,IF($E25="Distribution Rev.",VLOOKUP(U$4,'4. Billing Determinants'!$B$19:$P$41,8,0)/'4. Billing Determinants'!$I$41*$D25, VLOOKUP(U$4,'4. Billing Determinants'!$B$19:$P$41,3,0)/'4. Billing Determinants'!$D$41*$D25))))),0)</f>
        <v>0</v>
      </c>
      <c r="V25" s="70">
        <f>IFERROR(IF(V$4="",0,IF($E25="kWh",VLOOKUP(V$4,'4. Billing Determinants'!$B$19:$P$41,4,0)/'4. Billing Determinants'!$E$41*$D25,IF($E25="kW",VLOOKUP(V$4,'4. Billing Determinants'!$B$19:$P$41,5,0)/'4. Billing Determinants'!$F$41*$D25,IF($E25="Non-RPP kWh",VLOOKUP(V$4,'4. Billing Determinants'!$B$19:$P$41,6,0)/'4. Billing Determinants'!$G$41*$D25,IF($E25="Distribution Rev.",VLOOKUP(V$4,'4. Billing Determinants'!$B$19:$P$41,8,0)/'4. Billing Determinants'!$I$41*$D25, VLOOKUP(V$4,'4. Billing Determinants'!$B$19:$P$41,3,0)/'4. Billing Determinants'!$D$41*$D25))))),0)</f>
        <v>0</v>
      </c>
      <c r="W25" s="70">
        <f>IFERROR(IF(W$4="",0,IF($E25="kWh",VLOOKUP(W$4,'4. Billing Determinants'!$B$19:$P$41,4,0)/'4. Billing Determinants'!$E$41*$D25,IF($E25="kW",VLOOKUP(W$4,'4. Billing Determinants'!$B$19:$P$41,5,0)/'4. Billing Determinants'!$F$41*$D25,IF($E25="Non-RPP kWh",VLOOKUP(W$4,'4. Billing Determinants'!$B$19:$P$41,6,0)/'4. Billing Determinants'!$G$41*$D25,IF($E25="Distribution Rev.",VLOOKUP(W$4,'4. Billing Determinants'!$B$19:$P$41,8,0)/'4. Billing Determinants'!$I$41*$D25, VLOOKUP(W$4,'4. Billing Determinants'!$B$19:$P$41,3,0)/'4. Billing Determinants'!$D$41*$D25))))),0)</f>
        <v>0</v>
      </c>
      <c r="X25" s="70">
        <f>IFERROR(IF(X$4="",0,IF($E25="kWh",VLOOKUP(X$4,'4. Billing Determinants'!$B$19:$P$41,4,0)/'4. Billing Determinants'!$E$41*$D25,IF($E25="kW",VLOOKUP(X$4,'4. Billing Determinants'!$B$19:$P$41,5,0)/'4. Billing Determinants'!$F$41*$D25,IF($E25="Non-RPP kWh",VLOOKUP(X$4,'4. Billing Determinants'!$B$19:$P$41,6,0)/'4. Billing Determinants'!$G$41*$D25,IF($E25="Distribution Rev.",VLOOKUP(X$4,'4. Billing Determinants'!$B$19:$P$41,8,0)/'4. Billing Determinants'!$I$41*$D25, VLOOKUP(X$4,'4. Billing Determinants'!$B$19:$P$41,3,0)/'4. Billing Determinants'!$D$41*$D25))))),0)</f>
        <v>0</v>
      </c>
      <c r="Y25" s="70">
        <f>IFERROR(IF(Y$4="",0,IF($E25="kWh",VLOOKUP(Y$4,'4. Billing Determinants'!$B$19:$P$41,4,0)/'4. Billing Determinants'!$E$41*$D25,IF($E25="kW",VLOOKUP(Y$4,'4. Billing Determinants'!$B$19:$P$41,5,0)/'4. Billing Determinants'!$F$41*$D25,IF($E25="Non-RPP kWh",VLOOKUP(Y$4,'4. Billing Determinants'!$B$19:$P$41,6,0)/'4. Billing Determinants'!$G$41*$D25,IF($E25="Distribution Rev.",VLOOKUP(Y$4,'4. Billing Determinants'!$B$19:$P$41,8,0)/'4. Billing Determinants'!$I$41*$D25, VLOOKUP(Y$4,'4. Billing Determinants'!$B$19:$P$41,3,0)/'4. Billing Determinants'!$D$41*$D25))))),0)</f>
        <v>0</v>
      </c>
    </row>
    <row r="26" spans="2:25" x14ac:dyDescent="0.2">
      <c r="B26" s="68" t="s">
        <v>41</v>
      </c>
      <c r="C26" s="69">
        <v>1531</v>
      </c>
      <c r="D26" s="70">
        <f>'2. 2014 Continuity Schedule'!BO49</f>
        <v>0</v>
      </c>
      <c r="E26" s="130"/>
      <c r="F26" s="70">
        <f>IFERROR(IF(F$4="",0,IF($E26="kWh",VLOOKUP(F$4,'4. Billing Determinants'!$B$19:$P$41,4,0)/'4. Billing Determinants'!$E$41*$D26,IF($E26="kW",VLOOKUP(F$4,'4. Billing Determinants'!$B$19:$P$41,5,0)/'4. Billing Determinants'!$F$41*$D26,IF($E26="Non-RPP kWh",VLOOKUP(F$4,'4. Billing Determinants'!$B$19:$P$41,6,0)/'4. Billing Determinants'!$G$41*$D26,IF($E26="Distribution Rev.",VLOOKUP(F$4,'4. Billing Determinants'!$B$19:$P$41,8,0)/'4. Billing Determinants'!$I$41*$D26, VLOOKUP(F$4,'4. Billing Determinants'!$B$19:$P$41,3,0)/'4. Billing Determinants'!$D$41*$D26))))),0)</f>
        <v>0</v>
      </c>
      <c r="G26" s="70">
        <f>IFERROR(IF(G$4="",0,IF($E26="kWh",VLOOKUP(G$4,'4. Billing Determinants'!$B$19:$P$41,4,0)/'4. Billing Determinants'!$E$41*$D26,IF($E26="kW",VLOOKUP(G$4,'4. Billing Determinants'!$B$19:$P$41,5,0)/'4. Billing Determinants'!$F$41*$D26,IF($E26="Non-RPP kWh",VLOOKUP(G$4,'4. Billing Determinants'!$B$19:$P$41,6,0)/'4. Billing Determinants'!$G$41*$D26,IF($E26="Distribution Rev.",VLOOKUP(G$4,'4. Billing Determinants'!$B$19:$P$41,8,0)/'4. Billing Determinants'!$I$41*$D26, VLOOKUP(G$4,'4. Billing Determinants'!$B$19:$P$41,3,0)/'4. Billing Determinants'!$D$41*$D26))))),0)</f>
        <v>0</v>
      </c>
      <c r="H26" s="70">
        <f>IFERROR(IF(H$4="",0,IF($E26="kWh",VLOOKUP(H$4,'4. Billing Determinants'!$B$19:$P$41,4,0)/'4. Billing Determinants'!$E$41*$D26,IF($E26="kW",VLOOKUP(H$4,'4. Billing Determinants'!$B$19:$P$41,5,0)/'4. Billing Determinants'!$F$41*$D26,IF($E26="Non-RPP kWh",VLOOKUP(H$4,'4. Billing Determinants'!$B$19:$P$41,6,0)/'4. Billing Determinants'!$G$41*$D26,IF($E26="Distribution Rev.",VLOOKUP(H$4,'4. Billing Determinants'!$B$19:$P$41,8,0)/'4. Billing Determinants'!$I$41*$D26, VLOOKUP(H$4,'4. Billing Determinants'!$B$19:$P$41,3,0)/'4. Billing Determinants'!$D$41*$D26))))),0)</f>
        <v>0</v>
      </c>
      <c r="I26" s="70">
        <f>IFERROR(IF(I$4="",0,IF($E26="kWh",VLOOKUP(I$4,'4. Billing Determinants'!$B$19:$P$41,4,0)/'4. Billing Determinants'!$E$41*$D26,IF($E26="kW",VLOOKUP(I$4,'4. Billing Determinants'!$B$19:$P$41,5,0)/'4. Billing Determinants'!$F$41*$D26,IF($E26="Non-RPP kWh",VLOOKUP(I$4,'4. Billing Determinants'!$B$19:$P$41,6,0)/'4. Billing Determinants'!$G$41*$D26,IF($E26="Distribution Rev.",VLOOKUP(I$4,'4. Billing Determinants'!$B$19:$P$41,8,0)/'4. Billing Determinants'!$I$41*$D26, VLOOKUP(I$4,'4. Billing Determinants'!$B$19:$P$41,3,0)/'4. Billing Determinants'!$D$41*$D26))))),0)</f>
        <v>0</v>
      </c>
      <c r="J26" s="70">
        <f>IFERROR(IF(J$4="",0,IF($E26="kWh",VLOOKUP(J$4,'4. Billing Determinants'!$B$19:$P$41,4,0)/'4. Billing Determinants'!$E$41*$D26,IF($E26="kW",VLOOKUP(J$4,'4. Billing Determinants'!$B$19:$P$41,5,0)/'4. Billing Determinants'!$F$41*$D26,IF($E26="Non-RPP kWh",VLOOKUP(J$4,'4. Billing Determinants'!$B$19:$P$41,6,0)/'4. Billing Determinants'!$G$41*$D26,IF($E26="Distribution Rev.",VLOOKUP(J$4,'4. Billing Determinants'!$B$19:$P$41,8,0)/'4. Billing Determinants'!$I$41*$D26, VLOOKUP(J$4,'4. Billing Determinants'!$B$19:$P$41,3,0)/'4. Billing Determinants'!$D$41*$D26))))),0)</f>
        <v>0</v>
      </c>
      <c r="K26" s="70">
        <f>IFERROR(IF(K$4="",0,IF($E26="kWh",VLOOKUP(K$4,'4. Billing Determinants'!$B$19:$P$41,4,0)/'4. Billing Determinants'!$E$41*$D26,IF($E26="kW",VLOOKUP(K$4,'4. Billing Determinants'!$B$19:$P$41,5,0)/'4. Billing Determinants'!$F$41*$D26,IF($E26="Non-RPP kWh",VLOOKUP(K$4,'4. Billing Determinants'!$B$19:$P$41,6,0)/'4. Billing Determinants'!$G$41*$D26,IF($E26="Distribution Rev.",VLOOKUP(K$4,'4. Billing Determinants'!$B$19:$P$41,8,0)/'4. Billing Determinants'!$I$41*$D26, VLOOKUP(K$4,'4. Billing Determinants'!$B$19:$P$41,3,0)/'4. Billing Determinants'!$D$41*$D26))))),0)</f>
        <v>0</v>
      </c>
      <c r="L26" s="70">
        <f>IFERROR(IF(L$4="",0,IF($E26="kWh",VLOOKUP(L$4,'4. Billing Determinants'!$B$19:$P$41,4,0)/'4. Billing Determinants'!$E$41*$D26,IF($E26="kW",VLOOKUP(L$4,'4. Billing Determinants'!$B$19:$P$41,5,0)/'4. Billing Determinants'!$F$41*$D26,IF($E26="Non-RPP kWh",VLOOKUP(L$4,'4. Billing Determinants'!$B$19:$P$41,6,0)/'4. Billing Determinants'!$G$41*$D26,IF($E26="Distribution Rev.",VLOOKUP(L$4,'4. Billing Determinants'!$B$19:$P$41,8,0)/'4. Billing Determinants'!$I$41*$D26, VLOOKUP(L$4,'4. Billing Determinants'!$B$19:$P$41,3,0)/'4. Billing Determinants'!$D$41*$D26))))),0)</f>
        <v>0</v>
      </c>
      <c r="M26" s="70">
        <f>IFERROR(IF(M$4="",0,IF($E26="kWh",VLOOKUP(M$4,'4. Billing Determinants'!$B$19:$P$41,4,0)/'4. Billing Determinants'!$E$41*$D26,IF($E26="kW",VLOOKUP(M$4,'4. Billing Determinants'!$B$19:$P$41,5,0)/'4. Billing Determinants'!$F$41*$D26,IF($E26="Non-RPP kWh",VLOOKUP(M$4,'4. Billing Determinants'!$B$19:$P$41,6,0)/'4. Billing Determinants'!$G$41*$D26,IF($E26="Distribution Rev.",VLOOKUP(M$4,'4. Billing Determinants'!$B$19:$P$41,8,0)/'4. Billing Determinants'!$I$41*$D26, VLOOKUP(M$4,'4. Billing Determinants'!$B$19:$P$41,3,0)/'4. Billing Determinants'!$D$41*$D26))))),0)</f>
        <v>0</v>
      </c>
      <c r="N26" s="70">
        <f>IFERROR(IF(N$4="",0,IF($E26="kWh",VLOOKUP(N$4,'4. Billing Determinants'!$B$19:$P$41,4,0)/'4. Billing Determinants'!$E$41*$D26,IF($E26="kW",VLOOKUP(N$4,'4. Billing Determinants'!$B$19:$P$41,5,0)/'4. Billing Determinants'!$F$41*$D26,IF($E26="Non-RPP kWh",VLOOKUP(N$4,'4. Billing Determinants'!$B$19:$P$41,6,0)/'4. Billing Determinants'!$G$41*$D26,IF($E26="Distribution Rev.",VLOOKUP(N$4,'4. Billing Determinants'!$B$19:$P$41,8,0)/'4. Billing Determinants'!$I$41*$D26, VLOOKUP(N$4,'4. Billing Determinants'!$B$19:$P$41,3,0)/'4. Billing Determinants'!$D$41*$D26))))),0)</f>
        <v>0</v>
      </c>
      <c r="O26" s="70">
        <f>IFERROR(IF(O$4="",0,IF($E26="kWh",VLOOKUP(O$4,'4. Billing Determinants'!$B$19:$P$41,4,0)/'4. Billing Determinants'!$E$41*$D26,IF($E26="kW",VLOOKUP(O$4,'4. Billing Determinants'!$B$19:$P$41,5,0)/'4. Billing Determinants'!$F$41*$D26,IF($E26="Non-RPP kWh",VLOOKUP(O$4,'4. Billing Determinants'!$B$19:$P$41,6,0)/'4. Billing Determinants'!$G$41*$D26,IF($E26="Distribution Rev.",VLOOKUP(O$4,'4. Billing Determinants'!$B$19:$P$41,8,0)/'4. Billing Determinants'!$I$41*$D26, VLOOKUP(O$4,'4. Billing Determinants'!$B$19:$P$41,3,0)/'4. Billing Determinants'!$D$41*$D26))))),0)</f>
        <v>0</v>
      </c>
      <c r="P26" s="70">
        <f>IFERROR(IF(P$4="",0,IF($E26="kWh",VLOOKUP(P$4,'4. Billing Determinants'!$B$19:$P$41,4,0)/'4. Billing Determinants'!$E$41*$D26,IF($E26="kW",VLOOKUP(P$4,'4. Billing Determinants'!$B$19:$P$41,5,0)/'4. Billing Determinants'!$F$41*$D26,IF($E26="Non-RPP kWh",VLOOKUP(P$4,'4. Billing Determinants'!$B$19:$P$41,6,0)/'4. Billing Determinants'!$G$41*$D26,IF($E26="Distribution Rev.",VLOOKUP(P$4,'4. Billing Determinants'!$B$19:$P$41,8,0)/'4. Billing Determinants'!$I$41*$D26, VLOOKUP(P$4,'4. Billing Determinants'!$B$19:$P$41,3,0)/'4. Billing Determinants'!$D$41*$D26))))),0)</f>
        <v>0</v>
      </c>
      <c r="Q26" s="70">
        <f>IFERROR(IF(Q$4="",0,IF($E26="kWh",VLOOKUP(Q$4,'4. Billing Determinants'!$B$19:$P$41,4,0)/'4. Billing Determinants'!$E$41*$D26,IF($E26="kW",VLOOKUP(Q$4,'4. Billing Determinants'!$B$19:$P$41,5,0)/'4. Billing Determinants'!$F$41*$D26,IF($E26="Non-RPP kWh",VLOOKUP(Q$4,'4. Billing Determinants'!$B$19:$P$41,6,0)/'4. Billing Determinants'!$G$41*$D26,IF($E26="Distribution Rev.",VLOOKUP(Q$4,'4. Billing Determinants'!$B$19:$P$41,8,0)/'4. Billing Determinants'!$I$41*$D26, VLOOKUP(Q$4,'4. Billing Determinants'!$B$19:$P$41,3,0)/'4. Billing Determinants'!$D$41*$D26))))),0)</f>
        <v>0</v>
      </c>
      <c r="R26" s="70">
        <f>IFERROR(IF(R$4="",0,IF($E26="kWh",VLOOKUP(R$4,'4. Billing Determinants'!$B$19:$P$41,4,0)/'4. Billing Determinants'!$E$41*$D26,IF($E26="kW",VLOOKUP(R$4,'4. Billing Determinants'!$B$19:$P$41,5,0)/'4. Billing Determinants'!$F$41*$D26,IF($E26="Non-RPP kWh",VLOOKUP(R$4,'4. Billing Determinants'!$B$19:$P$41,6,0)/'4. Billing Determinants'!$G$41*$D26,IF($E26="Distribution Rev.",VLOOKUP(R$4,'4. Billing Determinants'!$B$19:$P$41,8,0)/'4. Billing Determinants'!$I$41*$D26, VLOOKUP(R$4,'4. Billing Determinants'!$B$19:$P$41,3,0)/'4. Billing Determinants'!$D$41*$D26))))),0)</f>
        <v>0</v>
      </c>
      <c r="S26" s="70">
        <f>IFERROR(IF(S$4="",0,IF($E26="kWh",VLOOKUP(S$4,'4. Billing Determinants'!$B$19:$P$41,4,0)/'4. Billing Determinants'!$E$41*$D26,IF($E26="kW",VLOOKUP(S$4,'4. Billing Determinants'!$B$19:$P$41,5,0)/'4. Billing Determinants'!$F$41*$D26,IF($E26="Non-RPP kWh",VLOOKUP(S$4,'4. Billing Determinants'!$B$19:$P$41,6,0)/'4. Billing Determinants'!$G$41*$D26,IF($E26="Distribution Rev.",VLOOKUP(S$4,'4. Billing Determinants'!$B$19:$P$41,8,0)/'4. Billing Determinants'!$I$41*$D26, VLOOKUP(S$4,'4. Billing Determinants'!$B$19:$P$41,3,0)/'4. Billing Determinants'!$D$41*$D26))))),0)</f>
        <v>0</v>
      </c>
      <c r="T26" s="70">
        <f>IFERROR(IF(T$4="",0,IF($E26="kWh",VLOOKUP(T$4,'4. Billing Determinants'!$B$19:$P$41,4,0)/'4. Billing Determinants'!$E$41*$D26,IF($E26="kW",VLOOKUP(T$4,'4. Billing Determinants'!$B$19:$P$41,5,0)/'4. Billing Determinants'!$F$41*$D26,IF($E26="Non-RPP kWh",VLOOKUP(T$4,'4. Billing Determinants'!$B$19:$P$41,6,0)/'4. Billing Determinants'!$G$41*$D26,IF($E26="Distribution Rev.",VLOOKUP(T$4,'4. Billing Determinants'!$B$19:$P$41,8,0)/'4. Billing Determinants'!$I$41*$D26, VLOOKUP(T$4,'4. Billing Determinants'!$B$19:$P$41,3,0)/'4. Billing Determinants'!$D$41*$D26))))),0)</f>
        <v>0</v>
      </c>
      <c r="U26" s="70">
        <f>IFERROR(IF(U$4="",0,IF($E26="kWh",VLOOKUP(U$4,'4. Billing Determinants'!$B$19:$P$41,4,0)/'4. Billing Determinants'!$E$41*$D26,IF($E26="kW",VLOOKUP(U$4,'4. Billing Determinants'!$B$19:$P$41,5,0)/'4. Billing Determinants'!$F$41*$D26,IF($E26="Non-RPP kWh",VLOOKUP(U$4,'4. Billing Determinants'!$B$19:$P$41,6,0)/'4. Billing Determinants'!$G$41*$D26,IF($E26="Distribution Rev.",VLOOKUP(U$4,'4. Billing Determinants'!$B$19:$P$41,8,0)/'4. Billing Determinants'!$I$41*$D26, VLOOKUP(U$4,'4. Billing Determinants'!$B$19:$P$41,3,0)/'4. Billing Determinants'!$D$41*$D26))))),0)</f>
        <v>0</v>
      </c>
      <c r="V26" s="70">
        <f>IFERROR(IF(V$4="",0,IF($E26="kWh",VLOOKUP(V$4,'4. Billing Determinants'!$B$19:$P$41,4,0)/'4. Billing Determinants'!$E$41*$D26,IF($E26="kW",VLOOKUP(V$4,'4. Billing Determinants'!$B$19:$P$41,5,0)/'4. Billing Determinants'!$F$41*$D26,IF($E26="Non-RPP kWh",VLOOKUP(V$4,'4. Billing Determinants'!$B$19:$P$41,6,0)/'4. Billing Determinants'!$G$41*$D26,IF($E26="Distribution Rev.",VLOOKUP(V$4,'4. Billing Determinants'!$B$19:$P$41,8,0)/'4. Billing Determinants'!$I$41*$D26, VLOOKUP(V$4,'4. Billing Determinants'!$B$19:$P$41,3,0)/'4. Billing Determinants'!$D$41*$D26))))),0)</f>
        <v>0</v>
      </c>
      <c r="W26" s="70">
        <f>IFERROR(IF(W$4="",0,IF($E26="kWh",VLOOKUP(W$4,'4. Billing Determinants'!$B$19:$P$41,4,0)/'4. Billing Determinants'!$E$41*$D26,IF($E26="kW",VLOOKUP(W$4,'4. Billing Determinants'!$B$19:$P$41,5,0)/'4. Billing Determinants'!$F$41*$D26,IF($E26="Non-RPP kWh",VLOOKUP(W$4,'4. Billing Determinants'!$B$19:$P$41,6,0)/'4. Billing Determinants'!$G$41*$D26,IF($E26="Distribution Rev.",VLOOKUP(W$4,'4. Billing Determinants'!$B$19:$P$41,8,0)/'4. Billing Determinants'!$I$41*$D26, VLOOKUP(W$4,'4. Billing Determinants'!$B$19:$P$41,3,0)/'4. Billing Determinants'!$D$41*$D26))))),0)</f>
        <v>0</v>
      </c>
      <c r="X26" s="70">
        <f>IFERROR(IF(X$4="",0,IF($E26="kWh",VLOOKUP(X$4,'4. Billing Determinants'!$B$19:$P$41,4,0)/'4. Billing Determinants'!$E$41*$D26,IF($E26="kW",VLOOKUP(X$4,'4. Billing Determinants'!$B$19:$P$41,5,0)/'4. Billing Determinants'!$F$41*$D26,IF($E26="Non-RPP kWh",VLOOKUP(X$4,'4. Billing Determinants'!$B$19:$P$41,6,0)/'4. Billing Determinants'!$G$41*$D26,IF($E26="Distribution Rev.",VLOOKUP(X$4,'4. Billing Determinants'!$B$19:$P$41,8,0)/'4. Billing Determinants'!$I$41*$D26, VLOOKUP(X$4,'4. Billing Determinants'!$B$19:$P$41,3,0)/'4. Billing Determinants'!$D$41*$D26))))),0)</f>
        <v>0</v>
      </c>
      <c r="Y26" s="70">
        <f>IFERROR(IF(Y$4="",0,IF($E26="kWh",VLOOKUP(Y$4,'4. Billing Determinants'!$B$19:$P$41,4,0)/'4. Billing Determinants'!$E$41*$D26,IF($E26="kW",VLOOKUP(Y$4,'4. Billing Determinants'!$B$19:$P$41,5,0)/'4. Billing Determinants'!$F$41*$D26,IF($E26="Non-RPP kWh",VLOOKUP(Y$4,'4. Billing Determinants'!$B$19:$P$41,6,0)/'4. Billing Determinants'!$G$41*$D26,IF($E26="Distribution Rev.",VLOOKUP(Y$4,'4. Billing Determinants'!$B$19:$P$41,8,0)/'4. Billing Determinants'!$I$41*$D26, VLOOKUP(Y$4,'4. Billing Determinants'!$B$19:$P$41,3,0)/'4. Billing Determinants'!$D$41*$D26))))),0)</f>
        <v>0</v>
      </c>
    </row>
    <row r="27" spans="2:25" x14ac:dyDescent="0.2">
      <c r="B27" s="68" t="s">
        <v>42</v>
      </c>
      <c r="C27" s="69">
        <v>1532</v>
      </c>
      <c r="D27" s="70">
        <f>'2. 2014 Continuity Schedule'!BO50</f>
        <v>0</v>
      </c>
      <c r="E27" s="130"/>
      <c r="F27" s="70">
        <f>IFERROR(IF(F$4="",0,IF($E27="kWh",VLOOKUP(F$4,'4. Billing Determinants'!$B$19:$P$41,4,0)/'4. Billing Determinants'!$E$41*$D27,IF($E27="kW",VLOOKUP(F$4,'4. Billing Determinants'!$B$19:$P$41,5,0)/'4. Billing Determinants'!$F$41*$D27,IF($E27="Non-RPP kWh",VLOOKUP(F$4,'4. Billing Determinants'!$B$19:$P$41,6,0)/'4. Billing Determinants'!$G$41*$D27,IF($E27="Distribution Rev.",VLOOKUP(F$4,'4. Billing Determinants'!$B$19:$P$41,8,0)/'4. Billing Determinants'!$I$41*$D27, VLOOKUP(F$4,'4. Billing Determinants'!$B$19:$P$41,3,0)/'4. Billing Determinants'!$D$41*$D27))))),0)</f>
        <v>0</v>
      </c>
      <c r="G27" s="70">
        <f>IFERROR(IF(G$4="",0,IF($E27="kWh",VLOOKUP(G$4,'4. Billing Determinants'!$B$19:$P$41,4,0)/'4. Billing Determinants'!$E$41*$D27,IF($E27="kW",VLOOKUP(G$4,'4. Billing Determinants'!$B$19:$P$41,5,0)/'4. Billing Determinants'!$F$41*$D27,IF($E27="Non-RPP kWh",VLOOKUP(G$4,'4. Billing Determinants'!$B$19:$P$41,6,0)/'4. Billing Determinants'!$G$41*$D27,IF($E27="Distribution Rev.",VLOOKUP(G$4,'4. Billing Determinants'!$B$19:$P$41,8,0)/'4. Billing Determinants'!$I$41*$D27, VLOOKUP(G$4,'4. Billing Determinants'!$B$19:$P$41,3,0)/'4. Billing Determinants'!$D$41*$D27))))),0)</f>
        <v>0</v>
      </c>
      <c r="H27" s="70">
        <f>IFERROR(IF(H$4="",0,IF($E27="kWh",VLOOKUP(H$4,'4. Billing Determinants'!$B$19:$P$41,4,0)/'4. Billing Determinants'!$E$41*$D27,IF($E27="kW",VLOOKUP(H$4,'4. Billing Determinants'!$B$19:$P$41,5,0)/'4. Billing Determinants'!$F$41*$D27,IF($E27="Non-RPP kWh",VLOOKUP(H$4,'4. Billing Determinants'!$B$19:$P$41,6,0)/'4. Billing Determinants'!$G$41*$D27,IF($E27="Distribution Rev.",VLOOKUP(H$4,'4. Billing Determinants'!$B$19:$P$41,8,0)/'4. Billing Determinants'!$I$41*$D27, VLOOKUP(H$4,'4. Billing Determinants'!$B$19:$P$41,3,0)/'4. Billing Determinants'!$D$41*$D27))))),0)</f>
        <v>0</v>
      </c>
      <c r="I27" s="70">
        <f>IFERROR(IF(I$4="",0,IF($E27="kWh",VLOOKUP(I$4,'4. Billing Determinants'!$B$19:$P$41,4,0)/'4. Billing Determinants'!$E$41*$D27,IF($E27="kW",VLOOKUP(I$4,'4. Billing Determinants'!$B$19:$P$41,5,0)/'4. Billing Determinants'!$F$41*$D27,IF($E27="Non-RPP kWh",VLOOKUP(I$4,'4. Billing Determinants'!$B$19:$P$41,6,0)/'4. Billing Determinants'!$G$41*$D27,IF($E27="Distribution Rev.",VLOOKUP(I$4,'4. Billing Determinants'!$B$19:$P$41,8,0)/'4. Billing Determinants'!$I$41*$D27, VLOOKUP(I$4,'4. Billing Determinants'!$B$19:$P$41,3,0)/'4. Billing Determinants'!$D$41*$D27))))),0)</f>
        <v>0</v>
      </c>
      <c r="J27" s="70">
        <f>IFERROR(IF(J$4="",0,IF($E27="kWh",VLOOKUP(J$4,'4. Billing Determinants'!$B$19:$P$41,4,0)/'4. Billing Determinants'!$E$41*$D27,IF($E27="kW",VLOOKUP(J$4,'4. Billing Determinants'!$B$19:$P$41,5,0)/'4. Billing Determinants'!$F$41*$D27,IF($E27="Non-RPP kWh",VLOOKUP(J$4,'4. Billing Determinants'!$B$19:$P$41,6,0)/'4. Billing Determinants'!$G$41*$D27,IF($E27="Distribution Rev.",VLOOKUP(J$4,'4. Billing Determinants'!$B$19:$P$41,8,0)/'4. Billing Determinants'!$I$41*$D27, VLOOKUP(J$4,'4. Billing Determinants'!$B$19:$P$41,3,0)/'4. Billing Determinants'!$D$41*$D27))))),0)</f>
        <v>0</v>
      </c>
      <c r="K27" s="70">
        <f>IFERROR(IF(K$4="",0,IF($E27="kWh",VLOOKUP(K$4,'4. Billing Determinants'!$B$19:$P$41,4,0)/'4. Billing Determinants'!$E$41*$D27,IF($E27="kW",VLOOKUP(K$4,'4. Billing Determinants'!$B$19:$P$41,5,0)/'4. Billing Determinants'!$F$41*$D27,IF($E27="Non-RPP kWh",VLOOKUP(K$4,'4. Billing Determinants'!$B$19:$P$41,6,0)/'4. Billing Determinants'!$G$41*$D27,IF($E27="Distribution Rev.",VLOOKUP(K$4,'4. Billing Determinants'!$B$19:$P$41,8,0)/'4. Billing Determinants'!$I$41*$D27, VLOOKUP(K$4,'4. Billing Determinants'!$B$19:$P$41,3,0)/'4. Billing Determinants'!$D$41*$D27))))),0)</f>
        <v>0</v>
      </c>
      <c r="L27" s="70">
        <f>IFERROR(IF(L$4="",0,IF($E27="kWh",VLOOKUP(L$4,'4. Billing Determinants'!$B$19:$P$41,4,0)/'4. Billing Determinants'!$E$41*$D27,IF($E27="kW",VLOOKUP(L$4,'4. Billing Determinants'!$B$19:$P$41,5,0)/'4. Billing Determinants'!$F$41*$D27,IF($E27="Non-RPP kWh",VLOOKUP(L$4,'4. Billing Determinants'!$B$19:$P$41,6,0)/'4. Billing Determinants'!$G$41*$D27,IF($E27="Distribution Rev.",VLOOKUP(L$4,'4. Billing Determinants'!$B$19:$P$41,8,0)/'4. Billing Determinants'!$I$41*$D27, VLOOKUP(L$4,'4. Billing Determinants'!$B$19:$P$41,3,0)/'4. Billing Determinants'!$D$41*$D27))))),0)</f>
        <v>0</v>
      </c>
      <c r="M27" s="70">
        <f>IFERROR(IF(M$4="",0,IF($E27="kWh",VLOOKUP(M$4,'4. Billing Determinants'!$B$19:$P$41,4,0)/'4. Billing Determinants'!$E$41*$D27,IF($E27="kW",VLOOKUP(M$4,'4. Billing Determinants'!$B$19:$P$41,5,0)/'4. Billing Determinants'!$F$41*$D27,IF($E27="Non-RPP kWh",VLOOKUP(M$4,'4. Billing Determinants'!$B$19:$P$41,6,0)/'4. Billing Determinants'!$G$41*$D27,IF($E27="Distribution Rev.",VLOOKUP(M$4,'4. Billing Determinants'!$B$19:$P$41,8,0)/'4. Billing Determinants'!$I$41*$D27, VLOOKUP(M$4,'4. Billing Determinants'!$B$19:$P$41,3,0)/'4. Billing Determinants'!$D$41*$D27))))),0)</f>
        <v>0</v>
      </c>
      <c r="N27" s="70">
        <f>IFERROR(IF(N$4="",0,IF($E27="kWh",VLOOKUP(N$4,'4. Billing Determinants'!$B$19:$P$41,4,0)/'4. Billing Determinants'!$E$41*$D27,IF($E27="kW",VLOOKUP(N$4,'4. Billing Determinants'!$B$19:$P$41,5,0)/'4. Billing Determinants'!$F$41*$D27,IF($E27="Non-RPP kWh",VLOOKUP(N$4,'4. Billing Determinants'!$B$19:$P$41,6,0)/'4. Billing Determinants'!$G$41*$D27,IF($E27="Distribution Rev.",VLOOKUP(N$4,'4. Billing Determinants'!$B$19:$P$41,8,0)/'4. Billing Determinants'!$I$41*$D27, VLOOKUP(N$4,'4. Billing Determinants'!$B$19:$P$41,3,0)/'4. Billing Determinants'!$D$41*$D27))))),0)</f>
        <v>0</v>
      </c>
      <c r="O27" s="70">
        <f>IFERROR(IF(O$4="",0,IF($E27="kWh",VLOOKUP(O$4,'4. Billing Determinants'!$B$19:$P$41,4,0)/'4. Billing Determinants'!$E$41*$D27,IF($E27="kW",VLOOKUP(O$4,'4. Billing Determinants'!$B$19:$P$41,5,0)/'4. Billing Determinants'!$F$41*$D27,IF($E27="Non-RPP kWh",VLOOKUP(O$4,'4. Billing Determinants'!$B$19:$P$41,6,0)/'4. Billing Determinants'!$G$41*$D27,IF($E27="Distribution Rev.",VLOOKUP(O$4,'4. Billing Determinants'!$B$19:$P$41,8,0)/'4. Billing Determinants'!$I$41*$D27, VLOOKUP(O$4,'4. Billing Determinants'!$B$19:$P$41,3,0)/'4. Billing Determinants'!$D$41*$D27))))),0)</f>
        <v>0</v>
      </c>
      <c r="P27" s="70">
        <f>IFERROR(IF(P$4="",0,IF($E27="kWh",VLOOKUP(P$4,'4. Billing Determinants'!$B$19:$P$41,4,0)/'4. Billing Determinants'!$E$41*$D27,IF($E27="kW",VLOOKUP(P$4,'4. Billing Determinants'!$B$19:$P$41,5,0)/'4. Billing Determinants'!$F$41*$D27,IF($E27="Non-RPP kWh",VLOOKUP(P$4,'4. Billing Determinants'!$B$19:$P$41,6,0)/'4. Billing Determinants'!$G$41*$D27,IF($E27="Distribution Rev.",VLOOKUP(P$4,'4. Billing Determinants'!$B$19:$P$41,8,0)/'4. Billing Determinants'!$I$41*$D27, VLOOKUP(P$4,'4. Billing Determinants'!$B$19:$P$41,3,0)/'4. Billing Determinants'!$D$41*$D27))))),0)</f>
        <v>0</v>
      </c>
      <c r="Q27" s="70">
        <f>IFERROR(IF(Q$4="",0,IF($E27="kWh",VLOOKUP(Q$4,'4. Billing Determinants'!$B$19:$P$41,4,0)/'4. Billing Determinants'!$E$41*$D27,IF($E27="kW",VLOOKUP(Q$4,'4. Billing Determinants'!$B$19:$P$41,5,0)/'4. Billing Determinants'!$F$41*$D27,IF($E27="Non-RPP kWh",VLOOKUP(Q$4,'4. Billing Determinants'!$B$19:$P$41,6,0)/'4. Billing Determinants'!$G$41*$D27,IF($E27="Distribution Rev.",VLOOKUP(Q$4,'4. Billing Determinants'!$B$19:$P$41,8,0)/'4. Billing Determinants'!$I$41*$D27, VLOOKUP(Q$4,'4. Billing Determinants'!$B$19:$P$41,3,0)/'4. Billing Determinants'!$D$41*$D27))))),0)</f>
        <v>0</v>
      </c>
      <c r="R27" s="70">
        <f>IFERROR(IF(R$4="",0,IF($E27="kWh",VLOOKUP(R$4,'4. Billing Determinants'!$B$19:$P$41,4,0)/'4. Billing Determinants'!$E$41*$D27,IF($E27="kW",VLOOKUP(R$4,'4. Billing Determinants'!$B$19:$P$41,5,0)/'4. Billing Determinants'!$F$41*$D27,IF($E27="Non-RPP kWh",VLOOKUP(R$4,'4. Billing Determinants'!$B$19:$P$41,6,0)/'4. Billing Determinants'!$G$41*$D27,IF($E27="Distribution Rev.",VLOOKUP(R$4,'4. Billing Determinants'!$B$19:$P$41,8,0)/'4. Billing Determinants'!$I$41*$D27, VLOOKUP(R$4,'4. Billing Determinants'!$B$19:$P$41,3,0)/'4. Billing Determinants'!$D$41*$D27))))),0)</f>
        <v>0</v>
      </c>
      <c r="S27" s="70">
        <f>IFERROR(IF(S$4="",0,IF($E27="kWh",VLOOKUP(S$4,'4. Billing Determinants'!$B$19:$P$41,4,0)/'4. Billing Determinants'!$E$41*$D27,IF($E27="kW",VLOOKUP(S$4,'4. Billing Determinants'!$B$19:$P$41,5,0)/'4. Billing Determinants'!$F$41*$D27,IF($E27="Non-RPP kWh",VLOOKUP(S$4,'4. Billing Determinants'!$B$19:$P$41,6,0)/'4. Billing Determinants'!$G$41*$D27,IF($E27="Distribution Rev.",VLOOKUP(S$4,'4. Billing Determinants'!$B$19:$P$41,8,0)/'4. Billing Determinants'!$I$41*$D27, VLOOKUP(S$4,'4. Billing Determinants'!$B$19:$P$41,3,0)/'4. Billing Determinants'!$D$41*$D27))))),0)</f>
        <v>0</v>
      </c>
      <c r="T27" s="70">
        <f>IFERROR(IF(T$4="",0,IF($E27="kWh",VLOOKUP(T$4,'4. Billing Determinants'!$B$19:$P$41,4,0)/'4. Billing Determinants'!$E$41*$D27,IF($E27="kW",VLOOKUP(T$4,'4. Billing Determinants'!$B$19:$P$41,5,0)/'4. Billing Determinants'!$F$41*$D27,IF($E27="Non-RPP kWh",VLOOKUP(T$4,'4. Billing Determinants'!$B$19:$P$41,6,0)/'4. Billing Determinants'!$G$41*$D27,IF($E27="Distribution Rev.",VLOOKUP(T$4,'4. Billing Determinants'!$B$19:$P$41,8,0)/'4. Billing Determinants'!$I$41*$D27, VLOOKUP(T$4,'4. Billing Determinants'!$B$19:$P$41,3,0)/'4. Billing Determinants'!$D$41*$D27))))),0)</f>
        <v>0</v>
      </c>
      <c r="U27" s="70">
        <f>IFERROR(IF(U$4="",0,IF($E27="kWh",VLOOKUP(U$4,'4. Billing Determinants'!$B$19:$P$41,4,0)/'4. Billing Determinants'!$E$41*$D27,IF($E27="kW",VLOOKUP(U$4,'4. Billing Determinants'!$B$19:$P$41,5,0)/'4. Billing Determinants'!$F$41*$D27,IF($E27="Non-RPP kWh",VLOOKUP(U$4,'4. Billing Determinants'!$B$19:$P$41,6,0)/'4. Billing Determinants'!$G$41*$D27,IF($E27="Distribution Rev.",VLOOKUP(U$4,'4. Billing Determinants'!$B$19:$P$41,8,0)/'4. Billing Determinants'!$I$41*$D27, VLOOKUP(U$4,'4. Billing Determinants'!$B$19:$P$41,3,0)/'4. Billing Determinants'!$D$41*$D27))))),0)</f>
        <v>0</v>
      </c>
      <c r="V27" s="70">
        <f>IFERROR(IF(V$4="",0,IF($E27="kWh",VLOOKUP(V$4,'4. Billing Determinants'!$B$19:$P$41,4,0)/'4. Billing Determinants'!$E$41*$D27,IF($E27="kW",VLOOKUP(V$4,'4. Billing Determinants'!$B$19:$P$41,5,0)/'4. Billing Determinants'!$F$41*$D27,IF($E27="Non-RPP kWh",VLOOKUP(V$4,'4. Billing Determinants'!$B$19:$P$41,6,0)/'4. Billing Determinants'!$G$41*$D27,IF($E27="Distribution Rev.",VLOOKUP(V$4,'4. Billing Determinants'!$B$19:$P$41,8,0)/'4. Billing Determinants'!$I$41*$D27, VLOOKUP(V$4,'4. Billing Determinants'!$B$19:$P$41,3,0)/'4. Billing Determinants'!$D$41*$D27))))),0)</f>
        <v>0</v>
      </c>
      <c r="W27" s="70">
        <f>IFERROR(IF(W$4="",0,IF($E27="kWh",VLOOKUP(W$4,'4. Billing Determinants'!$B$19:$P$41,4,0)/'4. Billing Determinants'!$E$41*$D27,IF($E27="kW",VLOOKUP(W$4,'4. Billing Determinants'!$B$19:$P$41,5,0)/'4. Billing Determinants'!$F$41*$D27,IF($E27="Non-RPP kWh",VLOOKUP(W$4,'4. Billing Determinants'!$B$19:$P$41,6,0)/'4. Billing Determinants'!$G$41*$D27,IF($E27="Distribution Rev.",VLOOKUP(W$4,'4. Billing Determinants'!$B$19:$P$41,8,0)/'4. Billing Determinants'!$I$41*$D27, VLOOKUP(W$4,'4. Billing Determinants'!$B$19:$P$41,3,0)/'4. Billing Determinants'!$D$41*$D27))))),0)</f>
        <v>0</v>
      </c>
      <c r="X27" s="70">
        <f>IFERROR(IF(X$4="",0,IF($E27="kWh",VLOOKUP(X$4,'4. Billing Determinants'!$B$19:$P$41,4,0)/'4. Billing Determinants'!$E$41*$D27,IF($E27="kW",VLOOKUP(X$4,'4. Billing Determinants'!$B$19:$P$41,5,0)/'4. Billing Determinants'!$F$41*$D27,IF($E27="Non-RPP kWh",VLOOKUP(X$4,'4. Billing Determinants'!$B$19:$P$41,6,0)/'4. Billing Determinants'!$G$41*$D27,IF($E27="Distribution Rev.",VLOOKUP(X$4,'4. Billing Determinants'!$B$19:$P$41,8,0)/'4. Billing Determinants'!$I$41*$D27, VLOOKUP(X$4,'4. Billing Determinants'!$B$19:$P$41,3,0)/'4. Billing Determinants'!$D$41*$D27))))),0)</f>
        <v>0</v>
      </c>
      <c r="Y27" s="70">
        <f>IFERROR(IF(Y$4="",0,IF($E27="kWh",VLOOKUP(Y$4,'4. Billing Determinants'!$B$19:$P$41,4,0)/'4. Billing Determinants'!$E$41*$D27,IF($E27="kW",VLOOKUP(Y$4,'4. Billing Determinants'!$B$19:$P$41,5,0)/'4. Billing Determinants'!$F$41*$D27,IF($E27="Non-RPP kWh",VLOOKUP(Y$4,'4. Billing Determinants'!$B$19:$P$41,6,0)/'4. Billing Determinants'!$G$41*$D27,IF($E27="Distribution Rev.",VLOOKUP(Y$4,'4. Billing Determinants'!$B$19:$P$41,8,0)/'4. Billing Determinants'!$I$41*$D27, VLOOKUP(Y$4,'4. Billing Determinants'!$B$19:$P$41,3,0)/'4. Billing Determinants'!$D$41*$D27))))),0)</f>
        <v>0</v>
      </c>
    </row>
    <row r="28" spans="2:25" x14ac:dyDescent="0.2">
      <c r="B28" s="68" t="s">
        <v>25</v>
      </c>
      <c r="C28" s="69">
        <v>1533</v>
      </c>
      <c r="D28" s="70">
        <f>'2. 2014 Continuity Schedule'!BO51</f>
        <v>0</v>
      </c>
      <c r="E28" s="130"/>
      <c r="F28" s="70">
        <f>IFERROR(IF(F$4="",0,IF($E28="kWh",VLOOKUP(F$4,'4. Billing Determinants'!$B$19:$P$41,4,0)/'4. Billing Determinants'!$E$41*$D28,IF($E28="kW",VLOOKUP(F$4,'4. Billing Determinants'!$B$19:$P$41,5,0)/'4. Billing Determinants'!$F$41*$D28,IF($E28="Non-RPP kWh",VLOOKUP(F$4,'4. Billing Determinants'!$B$19:$P$41,6,0)/'4. Billing Determinants'!$G$41*$D28,IF($E28="Distribution Rev.",VLOOKUP(F$4,'4. Billing Determinants'!$B$19:$P$41,8,0)/'4. Billing Determinants'!$I$41*$D28, VLOOKUP(F$4,'4. Billing Determinants'!$B$19:$P$41,3,0)/'4. Billing Determinants'!$D$41*$D28))))),0)</f>
        <v>0</v>
      </c>
      <c r="G28" s="70">
        <f>IFERROR(IF(G$4="",0,IF($E28="kWh",VLOOKUP(G$4,'4. Billing Determinants'!$B$19:$P$41,4,0)/'4. Billing Determinants'!$E$41*$D28,IF($E28="kW",VLOOKUP(G$4,'4. Billing Determinants'!$B$19:$P$41,5,0)/'4. Billing Determinants'!$F$41*$D28,IF($E28="Non-RPP kWh",VLOOKUP(G$4,'4. Billing Determinants'!$B$19:$P$41,6,0)/'4. Billing Determinants'!$G$41*$D28,IF($E28="Distribution Rev.",VLOOKUP(G$4,'4. Billing Determinants'!$B$19:$P$41,8,0)/'4. Billing Determinants'!$I$41*$D28, VLOOKUP(G$4,'4. Billing Determinants'!$B$19:$P$41,3,0)/'4. Billing Determinants'!$D$41*$D28))))),0)</f>
        <v>0</v>
      </c>
      <c r="H28" s="70">
        <f>IFERROR(IF(H$4="",0,IF($E28="kWh",VLOOKUP(H$4,'4. Billing Determinants'!$B$19:$P$41,4,0)/'4. Billing Determinants'!$E$41*$D28,IF($E28="kW",VLOOKUP(H$4,'4. Billing Determinants'!$B$19:$P$41,5,0)/'4. Billing Determinants'!$F$41*$D28,IF($E28="Non-RPP kWh",VLOOKUP(H$4,'4. Billing Determinants'!$B$19:$P$41,6,0)/'4. Billing Determinants'!$G$41*$D28,IF($E28="Distribution Rev.",VLOOKUP(H$4,'4. Billing Determinants'!$B$19:$P$41,8,0)/'4. Billing Determinants'!$I$41*$D28, VLOOKUP(H$4,'4. Billing Determinants'!$B$19:$P$41,3,0)/'4. Billing Determinants'!$D$41*$D28))))),0)</f>
        <v>0</v>
      </c>
      <c r="I28" s="70">
        <f>IFERROR(IF(I$4="",0,IF($E28="kWh",VLOOKUP(I$4,'4. Billing Determinants'!$B$19:$P$41,4,0)/'4. Billing Determinants'!$E$41*$D28,IF($E28="kW",VLOOKUP(I$4,'4. Billing Determinants'!$B$19:$P$41,5,0)/'4. Billing Determinants'!$F$41*$D28,IF($E28="Non-RPP kWh",VLOOKUP(I$4,'4. Billing Determinants'!$B$19:$P$41,6,0)/'4. Billing Determinants'!$G$41*$D28,IF($E28="Distribution Rev.",VLOOKUP(I$4,'4. Billing Determinants'!$B$19:$P$41,8,0)/'4. Billing Determinants'!$I$41*$D28, VLOOKUP(I$4,'4. Billing Determinants'!$B$19:$P$41,3,0)/'4. Billing Determinants'!$D$41*$D28))))),0)</f>
        <v>0</v>
      </c>
      <c r="J28" s="70">
        <f>IFERROR(IF(J$4="",0,IF($E28="kWh",VLOOKUP(J$4,'4. Billing Determinants'!$B$19:$P$41,4,0)/'4. Billing Determinants'!$E$41*$D28,IF($E28="kW",VLOOKUP(J$4,'4. Billing Determinants'!$B$19:$P$41,5,0)/'4. Billing Determinants'!$F$41*$D28,IF($E28="Non-RPP kWh",VLOOKUP(J$4,'4. Billing Determinants'!$B$19:$P$41,6,0)/'4. Billing Determinants'!$G$41*$D28,IF($E28="Distribution Rev.",VLOOKUP(J$4,'4. Billing Determinants'!$B$19:$P$41,8,0)/'4. Billing Determinants'!$I$41*$D28, VLOOKUP(J$4,'4. Billing Determinants'!$B$19:$P$41,3,0)/'4. Billing Determinants'!$D$41*$D28))))),0)</f>
        <v>0</v>
      </c>
      <c r="K28" s="70">
        <f>IFERROR(IF(K$4="",0,IF($E28="kWh",VLOOKUP(K$4,'4. Billing Determinants'!$B$19:$P$41,4,0)/'4. Billing Determinants'!$E$41*$D28,IF($E28="kW",VLOOKUP(K$4,'4. Billing Determinants'!$B$19:$P$41,5,0)/'4. Billing Determinants'!$F$41*$D28,IF($E28="Non-RPP kWh",VLOOKUP(K$4,'4. Billing Determinants'!$B$19:$P$41,6,0)/'4. Billing Determinants'!$G$41*$D28,IF($E28="Distribution Rev.",VLOOKUP(K$4,'4. Billing Determinants'!$B$19:$P$41,8,0)/'4. Billing Determinants'!$I$41*$D28, VLOOKUP(K$4,'4. Billing Determinants'!$B$19:$P$41,3,0)/'4. Billing Determinants'!$D$41*$D28))))),0)</f>
        <v>0</v>
      </c>
      <c r="L28" s="70">
        <f>IFERROR(IF(L$4="",0,IF($E28="kWh",VLOOKUP(L$4,'4. Billing Determinants'!$B$19:$P$41,4,0)/'4. Billing Determinants'!$E$41*$D28,IF($E28="kW",VLOOKUP(L$4,'4. Billing Determinants'!$B$19:$P$41,5,0)/'4. Billing Determinants'!$F$41*$D28,IF($E28="Non-RPP kWh",VLOOKUP(L$4,'4. Billing Determinants'!$B$19:$P$41,6,0)/'4. Billing Determinants'!$G$41*$D28,IF($E28="Distribution Rev.",VLOOKUP(L$4,'4. Billing Determinants'!$B$19:$P$41,8,0)/'4. Billing Determinants'!$I$41*$D28, VLOOKUP(L$4,'4. Billing Determinants'!$B$19:$P$41,3,0)/'4. Billing Determinants'!$D$41*$D28))))),0)</f>
        <v>0</v>
      </c>
      <c r="M28" s="70">
        <f>IFERROR(IF(M$4="",0,IF($E28="kWh",VLOOKUP(M$4,'4. Billing Determinants'!$B$19:$P$41,4,0)/'4. Billing Determinants'!$E$41*$D28,IF($E28="kW",VLOOKUP(M$4,'4. Billing Determinants'!$B$19:$P$41,5,0)/'4. Billing Determinants'!$F$41*$D28,IF($E28="Non-RPP kWh",VLOOKUP(M$4,'4. Billing Determinants'!$B$19:$P$41,6,0)/'4. Billing Determinants'!$G$41*$D28,IF($E28="Distribution Rev.",VLOOKUP(M$4,'4. Billing Determinants'!$B$19:$P$41,8,0)/'4. Billing Determinants'!$I$41*$D28, VLOOKUP(M$4,'4. Billing Determinants'!$B$19:$P$41,3,0)/'4. Billing Determinants'!$D$41*$D28))))),0)</f>
        <v>0</v>
      </c>
      <c r="N28" s="70">
        <f>IFERROR(IF(N$4="",0,IF($E28="kWh",VLOOKUP(N$4,'4. Billing Determinants'!$B$19:$P$41,4,0)/'4. Billing Determinants'!$E$41*$D28,IF($E28="kW",VLOOKUP(N$4,'4. Billing Determinants'!$B$19:$P$41,5,0)/'4. Billing Determinants'!$F$41*$D28,IF($E28="Non-RPP kWh",VLOOKUP(N$4,'4. Billing Determinants'!$B$19:$P$41,6,0)/'4. Billing Determinants'!$G$41*$D28,IF($E28="Distribution Rev.",VLOOKUP(N$4,'4. Billing Determinants'!$B$19:$P$41,8,0)/'4. Billing Determinants'!$I$41*$D28, VLOOKUP(N$4,'4. Billing Determinants'!$B$19:$P$41,3,0)/'4. Billing Determinants'!$D$41*$D28))))),0)</f>
        <v>0</v>
      </c>
      <c r="O28" s="70">
        <f>IFERROR(IF(O$4="",0,IF($E28="kWh",VLOOKUP(O$4,'4. Billing Determinants'!$B$19:$P$41,4,0)/'4. Billing Determinants'!$E$41*$D28,IF($E28="kW",VLOOKUP(O$4,'4. Billing Determinants'!$B$19:$P$41,5,0)/'4. Billing Determinants'!$F$41*$D28,IF($E28="Non-RPP kWh",VLOOKUP(O$4,'4. Billing Determinants'!$B$19:$P$41,6,0)/'4. Billing Determinants'!$G$41*$D28,IF($E28="Distribution Rev.",VLOOKUP(O$4,'4. Billing Determinants'!$B$19:$P$41,8,0)/'4. Billing Determinants'!$I$41*$D28, VLOOKUP(O$4,'4. Billing Determinants'!$B$19:$P$41,3,0)/'4. Billing Determinants'!$D$41*$D28))))),0)</f>
        <v>0</v>
      </c>
      <c r="P28" s="70">
        <f>IFERROR(IF(P$4="",0,IF($E28="kWh",VLOOKUP(P$4,'4. Billing Determinants'!$B$19:$P$41,4,0)/'4. Billing Determinants'!$E$41*$D28,IF($E28="kW",VLOOKUP(P$4,'4. Billing Determinants'!$B$19:$P$41,5,0)/'4. Billing Determinants'!$F$41*$D28,IF($E28="Non-RPP kWh",VLOOKUP(P$4,'4. Billing Determinants'!$B$19:$P$41,6,0)/'4. Billing Determinants'!$G$41*$D28,IF($E28="Distribution Rev.",VLOOKUP(P$4,'4. Billing Determinants'!$B$19:$P$41,8,0)/'4. Billing Determinants'!$I$41*$D28, VLOOKUP(P$4,'4. Billing Determinants'!$B$19:$P$41,3,0)/'4. Billing Determinants'!$D$41*$D28))))),0)</f>
        <v>0</v>
      </c>
      <c r="Q28" s="70">
        <f>IFERROR(IF(Q$4="",0,IF($E28="kWh",VLOOKUP(Q$4,'4. Billing Determinants'!$B$19:$P$41,4,0)/'4. Billing Determinants'!$E$41*$D28,IF($E28="kW",VLOOKUP(Q$4,'4. Billing Determinants'!$B$19:$P$41,5,0)/'4. Billing Determinants'!$F$41*$D28,IF($E28="Non-RPP kWh",VLOOKUP(Q$4,'4. Billing Determinants'!$B$19:$P$41,6,0)/'4. Billing Determinants'!$G$41*$D28,IF($E28="Distribution Rev.",VLOOKUP(Q$4,'4. Billing Determinants'!$B$19:$P$41,8,0)/'4. Billing Determinants'!$I$41*$D28, VLOOKUP(Q$4,'4. Billing Determinants'!$B$19:$P$41,3,0)/'4. Billing Determinants'!$D$41*$D28))))),0)</f>
        <v>0</v>
      </c>
      <c r="R28" s="70">
        <f>IFERROR(IF(R$4="",0,IF($E28="kWh",VLOOKUP(R$4,'4. Billing Determinants'!$B$19:$P$41,4,0)/'4. Billing Determinants'!$E$41*$D28,IF($E28="kW",VLOOKUP(R$4,'4. Billing Determinants'!$B$19:$P$41,5,0)/'4. Billing Determinants'!$F$41*$D28,IF($E28="Non-RPP kWh",VLOOKUP(R$4,'4. Billing Determinants'!$B$19:$P$41,6,0)/'4. Billing Determinants'!$G$41*$D28,IF($E28="Distribution Rev.",VLOOKUP(R$4,'4. Billing Determinants'!$B$19:$P$41,8,0)/'4. Billing Determinants'!$I$41*$D28, VLOOKUP(R$4,'4. Billing Determinants'!$B$19:$P$41,3,0)/'4. Billing Determinants'!$D$41*$D28))))),0)</f>
        <v>0</v>
      </c>
      <c r="S28" s="70">
        <f>IFERROR(IF(S$4="",0,IF($E28="kWh",VLOOKUP(S$4,'4. Billing Determinants'!$B$19:$P$41,4,0)/'4. Billing Determinants'!$E$41*$D28,IF($E28="kW",VLOOKUP(S$4,'4. Billing Determinants'!$B$19:$P$41,5,0)/'4. Billing Determinants'!$F$41*$D28,IF($E28="Non-RPP kWh",VLOOKUP(S$4,'4. Billing Determinants'!$B$19:$P$41,6,0)/'4. Billing Determinants'!$G$41*$D28,IF($E28="Distribution Rev.",VLOOKUP(S$4,'4. Billing Determinants'!$B$19:$P$41,8,0)/'4. Billing Determinants'!$I$41*$D28, VLOOKUP(S$4,'4. Billing Determinants'!$B$19:$P$41,3,0)/'4. Billing Determinants'!$D$41*$D28))))),0)</f>
        <v>0</v>
      </c>
      <c r="T28" s="70">
        <f>IFERROR(IF(T$4="",0,IF($E28="kWh",VLOOKUP(T$4,'4. Billing Determinants'!$B$19:$P$41,4,0)/'4. Billing Determinants'!$E$41*$D28,IF($E28="kW",VLOOKUP(T$4,'4. Billing Determinants'!$B$19:$P$41,5,0)/'4. Billing Determinants'!$F$41*$D28,IF($E28="Non-RPP kWh",VLOOKUP(T$4,'4. Billing Determinants'!$B$19:$P$41,6,0)/'4. Billing Determinants'!$G$41*$D28,IF($E28="Distribution Rev.",VLOOKUP(T$4,'4. Billing Determinants'!$B$19:$P$41,8,0)/'4. Billing Determinants'!$I$41*$D28, VLOOKUP(T$4,'4. Billing Determinants'!$B$19:$P$41,3,0)/'4. Billing Determinants'!$D$41*$D28))))),0)</f>
        <v>0</v>
      </c>
      <c r="U28" s="70">
        <f>IFERROR(IF(U$4="",0,IF($E28="kWh",VLOOKUP(U$4,'4. Billing Determinants'!$B$19:$P$41,4,0)/'4. Billing Determinants'!$E$41*$D28,IF($E28="kW",VLOOKUP(U$4,'4. Billing Determinants'!$B$19:$P$41,5,0)/'4. Billing Determinants'!$F$41*$D28,IF($E28="Non-RPP kWh",VLOOKUP(U$4,'4. Billing Determinants'!$B$19:$P$41,6,0)/'4. Billing Determinants'!$G$41*$D28,IF($E28="Distribution Rev.",VLOOKUP(U$4,'4. Billing Determinants'!$B$19:$P$41,8,0)/'4. Billing Determinants'!$I$41*$D28, VLOOKUP(U$4,'4. Billing Determinants'!$B$19:$P$41,3,0)/'4. Billing Determinants'!$D$41*$D28))))),0)</f>
        <v>0</v>
      </c>
      <c r="V28" s="70">
        <f>IFERROR(IF(V$4="",0,IF($E28="kWh",VLOOKUP(V$4,'4. Billing Determinants'!$B$19:$P$41,4,0)/'4. Billing Determinants'!$E$41*$D28,IF($E28="kW",VLOOKUP(V$4,'4. Billing Determinants'!$B$19:$P$41,5,0)/'4. Billing Determinants'!$F$41*$D28,IF($E28="Non-RPP kWh",VLOOKUP(V$4,'4. Billing Determinants'!$B$19:$P$41,6,0)/'4. Billing Determinants'!$G$41*$D28,IF($E28="Distribution Rev.",VLOOKUP(V$4,'4. Billing Determinants'!$B$19:$P$41,8,0)/'4. Billing Determinants'!$I$41*$D28, VLOOKUP(V$4,'4. Billing Determinants'!$B$19:$P$41,3,0)/'4. Billing Determinants'!$D$41*$D28))))),0)</f>
        <v>0</v>
      </c>
      <c r="W28" s="70">
        <f>IFERROR(IF(W$4="",0,IF($E28="kWh",VLOOKUP(W$4,'4. Billing Determinants'!$B$19:$P$41,4,0)/'4. Billing Determinants'!$E$41*$D28,IF($E28="kW",VLOOKUP(W$4,'4. Billing Determinants'!$B$19:$P$41,5,0)/'4. Billing Determinants'!$F$41*$D28,IF($E28="Non-RPP kWh",VLOOKUP(W$4,'4. Billing Determinants'!$B$19:$P$41,6,0)/'4. Billing Determinants'!$G$41*$D28,IF($E28="Distribution Rev.",VLOOKUP(W$4,'4. Billing Determinants'!$B$19:$P$41,8,0)/'4. Billing Determinants'!$I$41*$D28, VLOOKUP(W$4,'4. Billing Determinants'!$B$19:$P$41,3,0)/'4. Billing Determinants'!$D$41*$D28))))),0)</f>
        <v>0</v>
      </c>
      <c r="X28" s="70">
        <f>IFERROR(IF(X$4="",0,IF($E28="kWh",VLOOKUP(X$4,'4. Billing Determinants'!$B$19:$P$41,4,0)/'4. Billing Determinants'!$E$41*$D28,IF($E28="kW",VLOOKUP(X$4,'4. Billing Determinants'!$B$19:$P$41,5,0)/'4. Billing Determinants'!$F$41*$D28,IF($E28="Non-RPP kWh",VLOOKUP(X$4,'4. Billing Determinants'!$B$19:$P$41,6,0)/'4. Billing Determinants'!$G$41*$D28,IF($E28="Distribution Rev.",VLOOKUP(X$4,'4. Billing Determinants'!$B$19:$P$41,8,0)/'4. Billing Determinants'!$I$41*$D28, VLOOKUP(X$4,'4. Billing Determinants'!$B$19:$P$41,3,0)/'4. Billing Determinants'!$D$41*$D28))))),0)</f>
        <v>0</v>
      </c>
      <c r="Y28" s="70">
        <f>IFERROR(IF(Y$4="",0,IF($E28="kWh",VLOOKUP(Y$4,'4. Billing Determinants'!$B$19:$P$41,4,0)/'4. Billing Determinants'!$E$41*$D28,IF($E28="kW",VLOOKUP(Y$4,'4. Billing Determinants'!$B$19:$P$41,5,0)/'4. Billing Determinants'!$F$41*$D28,IF($E28="Non-RPP kWh",VLOOKUP(Y$4,'4. Billing Determinants'!$B$19:$P$41,6,0)/'4. Billing Determinants'!$G$41*$D28,IF($E28="Distribution Rev.",VLOOKUP(Y$4,'4. Billing Determinants'!$B$19:$P$41,8,0)/'4. Billing Determinants'!$I$41*$D28, VLOOKUP(Y$4,'4. Billing Determinants'!$B$19:$P$41,3,0)/'4. Billing Determinants'!$D$41*$D28))))),0)</f>
        <v>0</v>
      </c>
    </row>
    <row r="29" spans="2:25" x14ac:dyDescent="0.2">
      <c r="B29" s="68" t="s">
        <v>17</v>
      </c>
      <c r="C29" s="69">
        <v>1534</v>
      </c>
      <c r="D29" s="70">
        <f>'2. 2014 Continuity Schedule'!BO52</f>
        <v>0</v>
      </c>
      <c r="E29" s="130"/>
      <c r="F29" s="70">
        <f>IFERROR(IF(F$4="",0,IF($E29="kWh",VLOOKUP(F$4,'4. Billing Determinants'!$B$19:$P$41,4,0)/'4. Billing Determinants'!$E$41*$D29,IF($E29="kW",VLOOKUP(F$4,'4. Billing Determinants'!$B$19:$P$41,5,0)/'4. Billing Determinants'!$F$41*$D29,IF($E29="Non-RPP kWh",VLOOKUP(F$4,'4. Billing Determinants'!$B$19:$P$41,6,0)/'4. Billing Determinants'!$G$41*$D29,IF($E29="Distribution Rev.",VLOOKUP(F$4,'4. Billing Determinants'!$B$19:$P$41,8,0)/'4. Billing Determinants'!$I$41*$D29, VLOOKUP(F$4,'4. Billing Determinants'!$B$19:$P$41,3,0)/'4. Billing Determinants'!$D$41*$D29))))),0)</f>
        <v>0</v>
      </c>
      <c r="G29" s="70">
        <f>IFERROR(IF(G$4="",0,IF($E29="kWh",VLOOKUP(G$4,'4. Billing Determinants'!$B$19:$P$41,4,0)/'4. Billing Determinants'!$E$41*$D29,IF($E29="kW",VLOOKUP(G$4,'4. Billing Determinants'!$B$19:$P$41,5,0)/'4. Billing Determinants'!$F$41*$D29,IF($E29="Non-RPP kWh",VLOOKUP(G$4,'4. Billing Determinants'!$B$19:$P$41,6,0)/'4. Billing Determinants'!$G$41*$D29,IF($E29="Distribution Rev.",VLOOKUP(G$4,'4. Billing Determinants'!$B$19:$P$41,8,0)/'4. Billing Determinants'!$I$41*$D29, VLOOKUP(G$4,'4. Billing Determinants'!$B$19:$P$41,3,0)/'4. Billing Determinants'!$D$41*$D29))))),0)</f>
        <v>0</v>
      </c>
      <c r="H29" s="70">
        <f>IFERROR(IF(H$4="",0,IF($E29="kWh",VLOOKUP(H$4,'4. Billing Determinants'!$B$19:$P$41,4,0)/'4. Billing Determinants'!$E$41*$D29,IF($E29="kW",VLOOKUP(H$4,'4. Billing Determinants'!$B$19:$P$41,5,0)/'4. Billing Determinants'!$F$41*$D29,IF($E29="Non-RPP kWh",VLOOKUP(H$4,'4. Billing Determinants'!$B$19:$P$41,6,0)/'4. Billing Determinants'!$G$41*$D29,IF($E29="Distribution Rev.",VLOOKUP(H$4,'4. Billing Determinants'!$B$19:$P$41,8,0)/'4. Billing Determinants'!$I$41*$D29, VLOOKUP(H$4,'4. Billing Determinants'!$B$19:$P$41,3,0)/'4. Billing Determinants'!$D$41*$D29))))),0)</f>
        <v>0</v>
      </c>
      <c r="I29" s="70">
        <f>IFERROR(IF(I$4="",0,IF($E29="kWh",VLOOKUP(I$4,'4. Billing Determinants'!$B$19:$P$41,4,0)/'4. Billing Determinants'!$E$41*$D29,IF($E29="kW",VLOOKUP(I$4,'4. Billing Determinants'!$B$19:$P$41,5,0)/'4. Billing Determinants'!$F$41*$D29,IF($E29="Non-RPP kWh",VLOOKUP(I$4,'4. Billing Determinants'!$B$19:$P$41,6,0)/'4. Billing Determinants'!$G$41*$D29,IF($E29="Distribution Rev.",VLOOKUP(I$4,'4. Billing Determinants'!$B$19:$P$41,8,0)/'4. Billing Determinants'!$I$41*$D29, VLOOKUP(I$4,'4. Billing Determinants'!$B$19:$P$41,3,0)/'4. Billing Determinants'!$D$41*$D29))))),0)</f>
        <v>0</v>
      </c>
      <c r="J29" s="70">
        <f>IFERROR(IF(J$4="",0,IF($E29="kWh",VLOOKUP(J$4,'4. Billing Determinants'!$B$19:$P$41,4,0)/'4. Billing Determinants'!$E$41*$D29,IF($E29="kW",VLOOKUP(J$4,'4. Billing Determinants'!$B$19:$P$41,5,0)/'4. Billing Determinants'!$F$41*$D29,IF($E29="Non-RPP kWh",VLOOKUP(J$4,'4. Billing Determinants'!$B$19:$P$41,6,0)/'4. Billing Determinants'!$G$41*$D29,IF($E29="Distribution Rev.",VLOOKUP(J$4,'4. Billing Determinants'!$B$19:$P$41,8,0)/'4. Billing Determinants'!$I$41*$D29, VLOOKUP(J$4,'4. Billing Determinants'!$B$19:$P$41,3,0)/'4. Billing Determinants'!$D$41*$D29))))),0)</f>
        <v>0</v>
      </c>
      <c r="K29" s="70">
        <f>IFERROR(IF(K$4="",0,IF($E29="kWh",VLOOKUP(K$4,'4. Billing Determinants'!$B$19:$P$41,4,0)/'4. Billing Determinants'!$E$41*$D29,IF($E29="kW",VLOOKUP(K$4,'4. Billing Determinants'!$B$19:$P$41,5,0)/'4. Billing Determinants'!$F$41*$D29,IF($E29="Non-RPP kWh",VLOOKUP(K$4,'4. Billing Determinants'!$B$19:$P$41,6,0)/'4. Billing Determinants'!$G$41*$D29,IF($E29="Distribution Rev.",VLOOKUP(K$4,'4. Billing Determinants'!$B$19:$P$41,8,0)/'4. Billing Determinants'!$I$41*$D29, VLOOKUP(K$4,'4. Billing Determinants'!$B$19:$P$41,3,0)/'4. Billing Determinants'!$D$41*$D29))))),0)</f>
        <v>0</v>
      </c>
      <c r="L29" s="70">
        <f>IFERROR(IF(L$4="",0,IF($E29="kWh",VLOOKUP(L$4,'4. Billing Determinants'!$B$19:$P$41,4,0)/'4. Billing Determinants'!$E$41*$D29,IF($E29="kW",VLOOKUP(L$4,'4. Billing Determinants'!$B$19:$P$41,5,0)/'4. Billing Determinants'!$F$41*$D29,IF($E29="Non-RPP kWh",VLOOKUP(L$4,'4. Billing Determinants'!$B$19:$P$41,6,0)/'4. Billing Determinants'!$G$41*$D29,IF($E29="Distribution Rev.",VLOOKUP(L$4,'4. Billing Determinants'!$B$19:$P$41,8,0)/'4. Billing Determinants'!$I$41*$D29, VLOOKUP(L$4,'4. Billing Determinants'!$B$19:$P$41,3,0)/'4. Billing Determinants'!$D$41*$D29))))),0)</f>
        <v>0</v>
      </c>
      <c r="M29" s="70">
        <f>IFERROR(IF(M$4="",0,IF($E29="kWh",VLOOKUP(M$4,'4. Billing Determinants'!$B$19:$P$41,4,0)/'4. Billing Determinants'!$E$41*$D29,IF($E29="kW",VLOOKUP(M$4,'4. Billing Determinants'!$B$19:$P$41,5,0)/'4. Billing Determinants'!$F$41*$D29,IF($E29="Non-RPP kWh",VLOOKUP(M$4,'4. Billing Determinants'!$B$19:$P$41,6,0)/'4. Billing Determinants'!$G$41*$D29,IF($E29="Distribution Rev.",VLOOKUP(M$4,'4. Billing Determinants'!$B$19:$P$41,8,0)/'4. Billing Determinants'!$I$41*$D29, VLOOKUP(M$4,'4. Billing Determinants'!$B$19:$P$41,3,0)/'4. Billing Determinants'!$D$41*$D29))))),0)</f>
        <v>0</v>
      </c>
      <c r="N29" s="70">
        <f>IFERROR(IF(N$4="",0,IF($E29="kWh",VLOOKUP(N$4,'4. Billing Determinants'!$B$19:$P$41,4,0)/'4. Billing Determinants'!$E$41*$D29,IF($E29="kW",VLOOKUP(N$4,'4. Billing Determinants'!$B$19:$P$41,5,0)/'4. Billing Determinants'!$F$41*$D29,IF($E29="Non-RPP kWh",VLOOKUP(N$4,'4. Billing Determinants'!$B$19:$P$41,6,0)/'4. Billing Determinants'!$G$41*$D29,IF($E29="Distribution Rev.",VLOOKUP(N$4,'4. Billing Determinants'!$B$19:$P$41,8,0)/'4. Billing Determinants'!$I$41*$D29, VLOOKUP(N$4,'4. Billing Determinants'!$B$19:$P$41,3,0)/'4. Billing Determinants'!$D$41*$D29))))),0)</f>
        <v>0</v>
      </c>
      <c r="O29" s="70">
        <f>IFERROR(IF(O$4="",0,IF($E29="kWh",VLOOKUP(O$4,'4. Billing Determinants'!$B$19:$P$41,4,0)/'4. Billing Determinants'!$E$41*$D29,IF($E29="kW",VLOOKUP(O$4,'4. Billing Determinants'!$B$19:$P$41,5,0)/'4. Billing Determinants'!$F$41*$D29,IF($E29="Non-RPP kWh",VLOOKUP(O$4,'4. Billing Determinants'!$B$19:$P$41,6,0)/'4. Billing Determinants'!$G$41*$D29,IF($E29="Distribution Rev.",VLOOKUP(O$4,'4. Billing Determinants'!$B$19:$P$41,8,0)/'4. Billing Determinants'!$I$41*$D29, VLOOKUP(O$4,'4. Billing Determinants'!$B$19:$P$41,3,0)/'4. Billing Determinants'!$D$41*$D29))))),0)</f>
        <v>0</v>
      </c>
      <c r="P29" s="70">
        <f>IFERROR(IF(P$4="",0,IF($E29="kWh",VLOOKUP(P$4,'4. Billing Determinants'!$B$19:$P$41,4,0)/'4. Billing Determinants'!$E$41*$D29,IF($E29="kW",VLOOKUP(P$4,'4. Billing Determinants'!$B$19:$P$41,5,0)/'4. Billing Determinants'!$F$41*$D29,IF($E29="Non-RPP kWh",VLOOKUP(P$4,'4. Billing Determinants'!$B$19:$P$41,6,0)/'4. Billing Determinants'!$G$41*$D29,IF($E29="Distribution Rev.",VLOOKUP(P$4,'4. Billing Determinants'!$B$19:$P$41,8,0)/'4. Billing Determinants'!$I$41*$D29, VLOOKUP(P$4,'4. Billing Determinants'!$B$19:$P$41,3,0)/'4. Billing Determinants'!$D$41*$D29))))),0)</f>
        <v>0</v>
      </c>
      <c r="Q29" s="70">
        <f>IFERROR(IF(Q$4="",0,IF($E29="kWh",VLOOKUP(Q$4,'4. Billing Determinants'!$B$19:$P$41,4,0)/'4. Billing Determinants'!$E$41*$D29,IF($E29="kW",VLOOKUP(Q$4,'4. Billing Determinants'!$B$19:$P$41,5,0)/'4. Billing Determinants'!$F$41*$D29,IF($E29="Non-RPP kWh",VLOOKUP(Q$4,'4. Billing Determinants'!$B$19:$P$41,6,0)/'4. Billing Determinants'!$G$41*$D29,IF($E29="Distribution Rev.",VLOOKUP(Q$4,'4. Billing Determinants'!$B$19:$P$41,8,0)/'4. Billing Determinants'!$I$41*$D29, VLOOKUP(Q$4,'4. Billing Determinants'!$B$19:$P$41,3,0)/'4. Billing Determinants'!$D$41*$D29))))),0)</f>
        <v>0</v>
      </c>
      <c r="R29" s="70">
        <f>IFERROR(IF(R$4="",0,IF($E29="kWh",VLOOKUP(R$4,'4. Billing Determinants'!$B$19:$P$41,4,0)/'4. Billing Determinants'!$E$41*$D29,IF($E29="kW",VLOOKUP(R$4,'4. Billing Determinants'!$B$19:$P$41,5,0)/'4. Billing Determinants'!$F$41*$D29,IF($E29="Non-RPP kWh",VLOOKUP(R$4,'4. Billing Determinants'!$B$19:$P$41,6,0)/'4. Billing Determinants'!$G$41*$D29,IF($E29="Distribution Rev.",VLOOKUP(R$4,'4. Billing Determinants'!$B$19:$P$41,8,0)/'4. Billing Determinants'!$I$41*$D29, VLOOKUP(R$4,'4. Billing Determinants'!$B$19:$P$41,3,0)/'4. Billing Determinants'!$D$41*$D29))))),0)</f>
        <v>0</v>
      </c>
      <c r="S29" s="70">
        <f>IFERROR(IF(S$4="",0,IF($E29="kWh",VLOOKUP(S$4,'4. Billing Determinants'!$B$19:$P$41,4,0)/'4. Billing Determinants'!$E$41*$D29,IF($E29="kW",VLOOKUP(S$4,'4. Billing Determinants'!$B$19:$P$41,5,0)/'4. Billing Determinants'!$F$41*$D29,IF($E29="Non-RPP kWh",VLOOKUP(S$4,'4. Billing Determinants'!$B$19:$P$41,6,0)/'4. Billing Determinants'!$G$41*$D29,IF($E29="Distribution Rev.",VLOOKUP(S$4,'4. Billing Determinants'!$B$19:$P$41,8,0)/'4. Billing Determinants'!$I$41*$D29, VLOOKUP(S$4,'4. Billing Determinants'!$B$19:$P$41,3,0)/'4. Billing Determinants'!$D$41*$D29))))),0)</f>
        <v>0</v>
      </c>
      <c r="T29" s="70">
        <f>IFERROR(IF(T$4="",0,IF($E29="kWh",VLOOKUP(T$4,'4. Billing Determinants'!$B$19:$P$41,4,0)/'4. Billing Determinants'!$E$41*$D29,IF($E29="kW",VLOOKUP(T$4,'4. Billing Determinants'!$B$19:$P$41,5,0)/'4. Billing Determinants'!$F$41*$D29,IF($E29="Non-RPP kWh",VLOOKUP(T$4,'4. Billing Determinants'!$B$19:$P$41,6,0)/'4. Billing Determinants'!$G$41*$D29,IF($E29="Distribution Rev.",VLOOKUP(T$4,'4. Billing Determinants'!$B$19:$P$41,8,0)/'4. Billing Determinants'!$I$41*$D29, VLOOKUP(T$4,'4. Billing Determinants'!$B$19:$P$41,3,0)/'4. Billing Determinants'!$D$41*$D29))))),0)</f>
        <v>0</v>
      </c>
      <c r="U29" s="70">
        <f>IFERROR(IF(U$4="",0,IF($E29="kWh",VLOOKUP(U$4,'4. Billing Determinants'!$B$19:$P$41,4,0)/'4. Billing Determinants'!$E$41*$D29,IF($E29="kW",VLOOKUP(U$4,'4. Billing Determinants'!$B$19:$P$41,5,0)/'4. Billing Determinants'!$F$41*$D29,IF($E29="Non-RPP kWh",VLOOKUP(U$4,'4. Billing Determinants'!$B$19:$P$41,6,0)/'4. Billing Determinants'!$G$41*$D29,IF($E29="Distribution Rev.",VLOOKUP(U$4,'4. Billing Determinants'!$B$19:$P$41,8,0)/'4. Billing Determinants'!$I$41*$D29, VLOOKUP(U$4,'4. Billing Determinants'!$B$19:$P$41,3,0)/'4. Billing Determinants'!$D$41*$D29))))),0)</f>
        <v>0</v>
      </c>
      <c r="V29" s="70">
        <f>IFERROR(IF(V$4="",0,IF($E29="kWh",VLOOKUP(V$4,'4. Billing Determinants'!$B$19:$P$41,4,0)/'4. Billing Determinants'!$E$41*$D29,IF($E29="kW",VLOOKUP(V$4,'4. Billing Determinants'!$B$19:$P$41,5,0)/'4. Billing Determinants'!$F$41*$D29,IF($E29="Non-RPP kWh",VLOOKUP(V$4,'4. Billing Determinants'!$B$19:$P$41,6,0)/'4. Billing Determinants'!$G$41*$D29,IF($E29="Distribution Rev.",VLOOKUP(V$4,'4. Billing Determinants'!$B$19:$P$41,8,0)/'4. Billing Determinants'!$I$41*$D29, VLOOKUP(V$4,'4. Billing Determinants'!$B$19:$P$41,3,0)/'4. Billing Determinants'!$D$41*$D29))))),0)</f>
        <v>0</v>
      </c>
      <c r="W29" s="70">
        <f>IFERROR(IF(W$4="",0,IF($E29="kWh",VLOOKUP(W$4,'4. Billing Determinants'!$B$19:$P$41,4,0)/'4. Billing Determinants'!$E$41*$D29,IF($E29="kW",VLOOKUP(W$4,'4. Billing Determinants'!$B$19:$P$41,5,0)/'4. Billing Determinants'!$F$41*$D29,IF($E29="Non-RPP kWh",VLOOKUP(W$4,'4. Billing Determinants'!$B$19:$P$41,6,0)/'4. Billing Determinants'!$G$41*$D29,IF($E29="Distribution Rev.",VLOOKUP(W$4,'4. Billing Determinants'!$B$19:$P$41,8,0)/'4. Billing Determinants'!$I$41*$D29, VLOOKUP(W$4,'4. Billing Determinants'!$B$19:$P$41,3,0)/'4. Billing Determinants'!$D$41*$D29))))),0)</f>
        <v>0</v>
      </c>
      <c r="X29" s="70">
        <f>IFERROR(IF(X$4="",0,IF($E29="kWh",VLOOKUP(X$4,'4. Billing Determinants'!$B$19:$P$41,4,0)/'4. Billing Determinants'!$E$41*$D29,IF($E29="kW",VLOOKUP(X$4,'4. Billing Determinants'!$B$19:$P$41,5,0)/'4. Billing Determinants'!$F$41*$D29,IF($E29="Non-RPP kWh",VLOOKUP(X$4,'4. Billing Determinants'!$B$19:$P$41,6,0)/'4. Billing Determinants'!$G$41*$D29,IF($E29="Distribution Rev.",VLOOKUP(X$4,'4. Billing Determinants'!$B$19:$P$41,8,0)/'4. Billing Determinants'!$I$41*$D29, VLOOKUP(X$4,'4. Billing Determinants'!$B$19:$P$41,3,0)/'4. Billing Determinants'!$D$41*$D29))))),0)</f>
        <v>0</v>
      </c>
      <c r="Y29" s="70">
        <f>IFERROR(IF(Y$4="",0,IF($E29="kWh",VLOOKUP(Y$4,'4. Billing Determinants'!$B$19:$P$41,4,0)/'4. Billing Determinants'!$E$41*$D29,IF($E29="kW",VLOOKUP(Y$4,'4. Billing Determinants'!$B$19:$P$41,5,0)/'4. Billing Determinants'!$F$41*$D29,IF($E29="Non-RPP kWh",VLOOKUP(Y$4,'4. Billing Determinants'!$B$19:$P$41,6,0)/'4. Billing Determinants'!$G$41*$D29,IF($E29="Distribution Rev.",VLOOKUP(Y$4,'4. Billing Determinants'!$B$19:$P$41,8,0)/'4. Billing Determinants'!$I$41*$D29, VLOOKUP(Y$4,'4. Billing Determinants'!$B$19:$P$41,3,0)/'4. Billing Determinants'!$D$41*$D29))))),0)</f>
        <v>0</v>
      </c>
    </row>
    <row r="30" spans="2:25" x14ac:dyDescent="0.2">
      <c r="B30" s="71" t="s">
        <v>18</v>
      </c>
      <c r="C30" s="69">
        <v>1535</v>
      </c>
      <c r="D30" s="70">
        <f>'2. 2014 Continuity Schedule'!BO53</f>
        <v>19087.890815999996</v>
      </c>
      <c r="E30" s="130" t="s">
        <v>297</v>
      </c>
      <c r="F30" s="70">
        <f>IFERROR(IF(F$4="",0,IF($E30="kWh",VLOOKUP(F$4,'4. Billing Determinants'!$B$19:$P$41,4,0)/'4. Billing Determinants'!$E$41*$D30,IF($E30="kW",VLOOKUP(F$4,'4. Billing Determinants'!$B$19:$P$41,5,0)/'4. Billing Determinants'!$F$41*$D30,IF($E30="Non-RPP kWh",VLOOKUP(F$4,'4. Billing Determinants'!$B$19:$P$41,6,0)/'4. Billing Determinants'!$G$41*$D30,IF($E30="Distribution Rev.",VLOOKUP(F$4,'4. Billing Determinants'!$B$19:$P$41,8,0)/'4. Billing Determinants'!$I$41*$D30, VLOOKUP(F$4,'4. Billing Determinants'!$B$19:$P$41,3,0)/'4. Billing Determinants'!$D$41*$D30))))),0)</f>
        <v>10720.975918223774</v>
      </c>
      <c r="G30" s="70">
        <f>IFERROR(IF(G$4="",0,IF($E30="kWh",VLOOKUP(G$4,'4. Billing Determinants'!$B$19:$P$41,4,0)/'4. Billing Determinants'!$E$41*$D30,IF($E30="kW",VLOOKUP(G$4,'4. Billing Determinants'!$B$19:$P$41,5,0)/'4. Billing Determinants'!$F$41*$D30,IF($E30="Non-RPP kWh",VLOOKUP(G$4,'4. Billing Determinants'!$B$19:$P$41,6,0)/'4. Billing Determinants'!$G$41*$D30,IF($E30="Distribution Rev.",VLOOKUP(G$4,'4. Billing Determinants'!$B$19:$P$41,8,0)/'4. Billing Determinants'!$I$41*$D30, VLOOKUP(G$4,'4. Billing Determinants'!$B$19:$P$41,3,0)/'4. Billing Determinants'!$D$41*$D30))))),0)</f>
        <v>2346.1207295867835</v>
      </c>
      <c r="H30" s="70">
        <f>IFERROR(IF(H$4="",0,IF($E30="kWh",VLOOKUP(H$4,'4. Billing Determinants'!$B$19:$P$41,4,0)/'4. Billing Determinants'!$E$41*$D30,IF($E30="kW",VLOOKUP(H$4,'4. Billing Determinants'!$B$19:$P$41,5,0)/'4. Billing Determinants'!$F$41*$D30,IF($E30="Non-RPP kWh",VLOOKUP(H$4,'4. Billing Determinants'!$B$19:$P$41,6,0)/'4. Billing Determinants'!$G$41*$D30,IF($E30="Distribution Rev.",VLOOKUP(H$4,'4. Billing Determinants'!$B$19:$P$41,8,0)/'4. Billing Determinants'!$I$41*$D30, VLOOKUP(H$4,'4. Billing Determinants'!$B$19:$P$41,3,0)/'4. Billing Determinants'!$D$41*$D30))))),0)</f>
        <v>5780.130741902416</v>
      </c>
      <c r="I30" s="70">
        <f>IFERROR(IF(I$4="",0,IF($E30="kWh",VLOOKUP(I$4,'4. Billing Determinants'!$B$19:$P$41,4,0)/'4. Billing Determinants'!$E$41*$D30,IF($E30="kW",VLOOKUP(I$4,'4. Billing Determinants'!$B$19:$P$41,5,0)/'4. Billing Determinants'!$F$41*$D30,IF($E30="Non-RPP kWh",VLOOKUP(I$4,'4. Billing Determinants'!$B$19:$P$41,6,0)/'4. Billing Determinants'!$G$41*$D30,IF($E30="Distribution Rev.",VLOOKUP(I$4,'4. Billing Determinants'!$B$19:$P$41,8,0)/'4. Billing Determinants'!$I$41*$D30, VLOOKUP(I$4,'4. Billing Determinants'!$B$19:$P$41,3,0)/'4. Billing Determinants'!$D$41*$D30))))),0)</f>
        <v>90.486681107626552</v>
      </c>
      <c r="J30" s="70">
        <f>IFERROR(IF(J$4="",0,IF($E30="kWh",VLOOKUP(J$4,'4. Billing Determinants'!$B$19:$P$41,4,0)/'4. Billing Determinants'!$E$41*$D30,IF($E30="kW",VLOOKUP(J$4,'4. Billing Determinants'!$B$19:$P$41,5,0)/'4. Billing Determinants'!$F$41*$D30,IF($E30="Non-RPP kWh",VLOOKUP(J$4,'4. Billing Determinants'!$B$19:$P$41,6,0)/'4. Billing Determinants'!$G$41*$D30,IF($E30="Distribution Rev.",VLOOKUP(J$4,'4. Billing Determinants'!$B$19:$P$41,8,0)/'4. Billing Determinants'!$I$41*$D30, VLOOKUP(J$4,'4. Billing Determinants'!$B$19:$P$41,3,0)/'4. Billing Determinants'!$D$41*$D30))))),0)</f>
        <v>35.078248878656623</v>
      </c>
      <c r="K30" s="70">
        <f>IFERROR(IF(K$4="",0,IF($E30="kWh",VLOOKUP(K$4,'4. Billing Determinants'!$B$19:$P$41,4,0)/'4. Billing Determinants'!$E$41*$D30,IF($E30="kW",VLOOKUP(K$4,'4. Billing Determinants'!$B$19:$P$41,5,0)/'4. Billing Determinants'!$F$41*$D30,IF($E30="Non-RPP kWh",VLOOKUP(K$4,'4. Billing Determinants'!$B$19:$P$41,6,0)/'4. Billing Determinants'!$G$41*$D30,IF($E30="Distribution Rev.",VLOOKUP(K$4,'4. Billing Determinants'!$B$19:$P$41,8,0)/'4. Billing Determinants'!$I$41*$D30, VLOOKUP(K$4,'4. Billing Determinants'!$B$19:$P$41,3,0)/'4. Billing Determinants'!$D$41*$D30))))),0)</f>
        <v>115.09849630073792</v>
      </c>
      <c r="L30" s="70">
        <f>IFERROR(IF(L$4="",0,IF($E30="kWh",VLOOKUP(L$4,'4. Billing Determinants'!$B$19:$P$41,4,0)/'4. Billing Determinants'!$E$41*$D30,IF($E30="kW",VLOOKUP(L$4,'4. Billing Determinants'!$B$19:$P$41,5,0)/'4. Billing Determinants'!$F$41*$D30,IF($E30="Non-RPP kWh",VLOOKUP(L$4,'4. Billing Determinants'!$B$19:$P$41,6,0)/'4. Billing Determinants'!$G$41*$D30,IF($E30="Distribution Rev.",VLOOKUP(L$4,'4. Billing Determinants'!$B$19:$P$41,8,0)/'4. Billing Determinants'!$I$41*$D30, VLOOKUP(L$4,'4. Billing Determinants'!$B$19:$P$41,3,0)/'4. Billing Determinants'!$D$41*$D30))))),0)</f>
        <v>0</v>
      </c>
      <c r="M30" s="70">
        <f>IFERROR(IF(M$4="",0,IF($E30="kWh",VLOOKUP(M$4,'4. Billing Determinants'!$B$19:$P$41,4,0)/'4. Billing Determinants'!$E$41*$D30,IF($E30="kW",VLOOKUP(M$4,'4. Billing Determinants'!$B$19:$P$41,5,0)/'4. Billing Determinants'!$F$41*$D30,IF($E30="Non-RPP kWh",VLOOKUP(M$4,'4. Billing Determinants'!$B$19:$P$41,6,0)/'4. Billing Determinants'!$G$41*$D30,IF($E30="Distribution Rev.",VLOOKUP(M$4,'4. Billing Determinants'!$B$19:$P$41,8,0)/'4. Billing Determinants'!$I$41*$D30, VLOOKUP(M$4,'4. Billing Determinants'!$B$19:$P$41,3,0)/'4. Billing Determinants'!$D$41*$D30))))),0)</f>
        <v>0</v>
      </c>
      <c r="N30" s="70">
        <f>IFERROR(IF(N$4="",0,IF($E30="kWh",VLOOKUP(N$4,'4. Billing Determinants'!$B$19:$P$41,4,0)/'4. Billing Determinants'!$E$41*$D30,IF($E30="kW",VLOOKUP(N$4,'4. Billing Determinants'!$B$19:$P$41,5,0)/'4. Billing Determinants'!$F$41*$D30,IF($E30="Non-RPP kWh",VLOOKUP(N$4,'4. Billing Determinants'!$B$19:$P$41,6,0)/'4. Billing Determinants'!$G$41*$D30,IF($E30="Distribution Rev.",VLOOKUP(N$4,'4. Billing Determinants'!$B$19:$P$41,8,0)/'4. Billing Determinants'!$I$41*$D30, VLOOKUP(N$4,'4. Billing Determinants'!$B$19:$P$41,3,0)/'4. Billing Determinants'!$D$41*$D30))))),0)</f>
        <v>0</v>
      </c>
      <c r="O30" s="70">
        <f>IFERROR(IF(O$4="",0,IF($E30="kWh",VLOOKUP(O$4,'4. Billing Determinants'!$B$19:$P$41,4,0)/'4. Billing Determinants'!$E$41*$D30,IF($E30="kW",VLOOKUP(O$4,'4. Billing Determinants'!$B$19:$P$41,5,0)/'4. Billing Determinants'!$F$41*$D30,IF($E30="Non-RPP kWh",VLOOKUP(O$4,'4. Billing Determinants'!$B$19:$P$41,6,0)/'4. Billing Determinants'!$G$41*$D30,IF($E30="Distribution Rev.",VLOOKUP(O$4,'4. Billing Determinants'!$B$19:$P$41,8,0)/'4. Billing Determinants'!$I$41*$D30, VLOOKUP(O$4,'4. Billing Determinants'!$B$19:$P$41,3,0)/'4. Billing Determinants'!$D$41*$D30))))),0)</f>
        <v>0</v>
      </c>
      <c r="P30" s="70">
        <f>IFERROR(IF(P$4="",0,IF($E30="kWh",VLOOKUP(P$4,'4. Billing Determinants'!$B$19:$P$41,4,0)/'4. Billing Determinants'!$E$41*$D30,IF($E30="kW",VLOOKUP(P$4,'4. Billing Determinants'!$B$19:$P$41,5,0)/'4. Billing Determinants'!$F$41*$D30,IF($E30="Non-RPP kWh",VLOOKUP(P$4,'4. Billing Determinants'!$B$19:$P$41,6,0)/'4. Billing Determinants'!$G$41*$D30,IF($E30="Distribution Rev.",VLOOKUP(P$4,'4. Billing Determinants'!$B$19:$P$41,8,0)/'4. Billing Determinants'!$I$41*$D30, VLOOKUP(P$4,'4. Billing Determinants'!$B$19:$P$41,3,0)/'4. Billing Determinants'!$D$41*$D30))))),0)</f>
        <v>0</v>
      </c>
      <c r="Q30" s="70">
        <f>IFERROR(IF(Q$4="",0,IF($E30="kWh",VLOOKUP(Q$4,'4. Billing Determinants'!$B$19:$P$41,4,0)/'4. Billing Determinants'!$E$41*$D30,IF($E30="kW",VLOOKUP(Q$4,'4. Billing Determinants'!$B$19:$P$41,5,0)/'4. Billing Determinants'!$F$41*$D30,IF($E30="Non-RPP kWh",VLOOKUP(Q$4,'4. Billing Determinants'!$B$19:$P$41,6,0)/'4. Billing Determinants'!$G$41*$D30,IF($E30="Distribution Rev.",VLOOKUP(Q$4,'4. Billing Determinants'!$B$19:$P$41,8,0)/'4. Billing Determinants'!$I$41*$D30, VLOOKUP(Q$4,'4. Billing Determinants'!$B$19:$P$41,3,0)/'4. Billing Determinants'!$D$41*$D30))))),0)</f>
        <v>0</v>
      </c>
      <c r="R30" s="70">
        <f>IFERROR(IF(R$4="",0,IF($E30="kWh",VLOOKUP(R$4,'4. Billing Determinants'!$B$19:$P$41,4,0)/'4. Billing Determinants'!$E$41*$D30,IF($E30="kW",VLOOKUP(R$4,'4. Billing Determinants'!$B$19:$P$41,5,0)/'4. Billing Determinants'!$F$41*$D30,IF($E30="Non-RPP kWh",VLOOKUP(R$4,'4. Billing Determinants'!$B$19:$P$41,6,0)/'4. Billing Determinants'!$G$41*$D30,IF($E30="Distribution Rev.",VLOOKUP(R$4,'4. Billing Determinants'!$B$19:$P$41,8,0)/'4. Billing Determinants'!$I$41*$D30, VLOOKUP(R$4,'4. Billing Determinants'!$B$19:$P$41,3,0)/'4. Billing Determinants'!$D$41*$D30))))),0)</f>
        <v>0</v>
      </c>
      <c r="S30" s="70">
        <f>IFERROR(IF(S$4="",0,IF($E30="kWh",VLOOKUP(S$4,'4. Billing Determinants'!$B$19:$P$41,4,0)/'4. Billing Determinants'!$E$41*$D30,IF($E30="kW",VLOOKUP(S$4,'4. Billing Determinants'!$B$19:$P$41,5,0)/'4. Billing Determinants'!$F$41*$D30,IF($E30="Non-RPP kWh",VLOOKUP(S$4,'4. Billing Determinants'!$B$19:$P$41,6,0)/'4. Billing Determinants'!$G$41*$D30,IF($E30="Distribution Rev.",VLOOKUP(S$4,'4. Billing Determinants'!$B$19:$P$41,8,0)/'4. Billing Determinants'!$I$41*$D30, VLOOKUP(S$4,'4. Billing Determinants'!$B$19:$P$41,3,0)/'4. Billing Determinants'!$D$41*$D30))))),0)</f>
        <v>0</v>
      </c>
      <c r="T30" s="70">
        <f>IFERROR(IF(T$4="",0,IF($E30="kWh",VLOOKUP(T$4,'4. Billing Determinants'!$B$19:$P$41,4,0)/'4. Billing Determinants'!$E$41*$D30,IF($E30="kW",VLOOKUP(T$4,'4. Billing Determinants'!$B$19:$P$41,5,0)/'4. Billing Determinants'!$F$41*$D30,IF($E30="Non-RPP kWh",VLOOKUP(T$4,'4. Billing Determinants'!$B$19:$P$41,6,0)/'4. Billing Determinants'!$G$41*$D30,IF($E30="Distribution Rev.",VLOOKUP(T$4,'4. Billing Determinants'!$B$19:$P$41,8,0)/'4. Billing Determinants'!$I$41*$D30, VLOOKUP(T$4,'4. Billing Determinants'!$B$19:$P$41,3,0)/'4. Billing Determinants'!$D$41*$D30))))),0)</f>
        <v>0</v>
      </c>
      <c r="U30" s="70">
        <f>IFERROR(IF(U$4="",0,IF($E30="kWh",VLOOKUP(U$4,'4. Billing Determinants'!$B$19:$P$41,4,0)/'4. Billing Determinants'!$E$41*$D30,IF($E30="kW",VLOOKUP(U$4,'4. Billing Determinants'!$B$19:$P$41,5,0)/'4. Billing Determinants'!$F$41*$D30,IF($E30="Non-RPP kWh",VLOOKUP(U$4,'4. Billing Determinants'!$B$19:$P$41,6,0)/'4. Billing Determinants'!$G$41*$D30,IF($E30="Distribution Rev.",VLOOKUP(U$4,'4. Billing Determinants'!$B$19:$P$41,8,0)/'4. Billing Determinants'!$I$41*$D30, VLOOKUP(U$4,'4. Billing Determinants'!$B$19:$P$41,3,0)/'4. Billing Determinants'!$D$41*$D30))))),0)</f>
        <v>0</v>
      </c>
      <c r="V30" s="70">
        <f>IFERROR(IF(V$4="",0,IF($E30="kWh",VLOOKUP(V$4,'4. Billing Determinants'!$B$19:$P$41,4,0)/'4. Billing Determinants'!$E$41*$D30,IF($E30="kW",VLOOKUP(V$4,'4. Billing Determinants'!$B$19:$P$41,5,0)/'4. Billing Determinants'!$F$41*$D30,IF($E30="Non-RPP kWh",VLOOKUP(V$4,'4. Billing Determinants'!$B$19:$P$41,6,0)/'4. Billing Determinants'!$G$41*$D30,IF($E30="Distribution Rev.",VLOOKUP(V$4,'4. Billing Determinants'!$B$19:$P$41,8,0)/'4. Billing Determinants'!$I$41*$D30, VLOOKUP(V$4,'4. Billing Determinants'!$B$19:$P$41,3,0)/'4. Billing Determinants'!$D$41*$D30))))),0)</f>
        <v>0</v>
      </c>
      <c r="W30" s="70">
        <f>IFERROR(IF(W$4="",0,IF($E30="kWh",VLOOKUP(W$4,'4. Billing Determinants'!$B$19:$P$41,4,0)/'4. Billing Determinants'!$E$41*$D30,IF($E30="kW",VLOOKUP(W$4,'4. Billing Determinants'!$B$19:$P$41,5,0)/'4. Billing Determinants'!$F$41*$D30,IF($E30="Non-RPP kWh",VLOOKUP(W$4,'4. Billing Determinants'!$B$19:$P$41,6,0)/'4. Billing Determinants'!$G$41*$D30,IF($E30="Distribution Rev.",VLOOKUP(W$4,'4. Billing Determinants'!$B$19:$P$41,8,0)/'4. Billing Determinants'!$I$41*$D30, VLOOKUP(W$4,'4. Billing Determinants'!$B$19:$P$41,3,0)/'4. Billing Determinants'!$D$41*$D30))))),0)</f>
        <v>0</v>
      </c>
      <c r="X30" s="70">
        <f>IFERROR(IF(X$4="",0,IF($E30="kWh",VLOOKUP(X$4,'4. Billing Determinants'!$B$19:$P$41,4,0)/'4. Billing Determinants'!$E$41*$D30,IF($E30="kW",VLOOKUP(X$4,'4. Billing Determinants'!$B$19:$P$41,5,0)/'4. Billing Determinants'!$F$41*$D30,IF($E30="Non-RPP kWh",VLOOKUP(X$4,'4. Billing Determinants'!$B$19:$P$41,6,0)/'4. Billing Determinants'!$G$41*$D30,IF($E30="Distribution Rev.",VLOOKUP(X$4,'4. Billing Determinants'!$B$19:$P$41,8,0)/'4. Billing Determinants'!$I$41*$D30, VLOOKUP(X$4,'4. Billing Determinants'!$B$19:$P$41,3,0)/'4. Billing Determinants'!$D$41*$D30))))),0)</f>
        <v>0</v>
      </c>
      <c r="Y30" s="70">
        <f>IFERROR(IF(Y$4="",0,IF($E30="kWh",VLOOKUP(Y$4,'4. Billing Determinants'!$B$19:$P$41,4,0)/'4. Billing Determinants'!$E$41*$D30,IF($E30="kW",VLOOKUP(Y$4,'4. Billing Determinants'!$B$19:$P$41,5,0)/'4. Billing Determinants'!$F$41*$D30,IF($E30="Non-RPP kWh",VLOOKUP(Y$4,'4. Billing Determinants'!$B$19:$P$41,6,0)/'4. Billing Determinants'!$G$41*$D30,IF($E30="Distribution Rev.",VLOOKUP(Y$4,'4. Billing Determinants'!$B$19:$P$41,8,0)/'4. Billing Determinants'!$I$41*$D30, VLOOKUP(Y$4,'4. Billing Determinants'!$B$19:$P$41,3,0)/'4. Billing Determinants'!$D$41*$D30))))),0)</f>
        <v>0</v>
      </c>
    </row>
    <row r="31" spans="2:25" x14ac:dyDescent="0.2">
      <c r="B31" s="68" t="s">
        <v>23</v>
      </c>
      <c r="C31" s="69">
        <v>1536</v>
      </c>
      <c r="D31" s="70">
        <f>'2. 2014 Continuity Schedule'!BO54</f>
        <v>0</v>
      </c>
      <c r="E31" s="130"/>
      <c r="F31" s="70">
        <f>IFERROR(IF(F$4="",0,IF($E31="kWh",VLOOKUP(F$4,'4. Billing Determinants'!$B$19:$P$41,4,0)/'4. Billing Determinants'!$E$41*$D31,IF($E31="kW",VLOOKUP(F$4,'4. Billing Determinants'!$B$19:$P$41,5,0)/'4. Billing Determinants'!$F$41*$D31,IF($E31="Non-RPP kWh",VLOOKUP(F$4,'4. Billing Determinants'!$B$19:$P$41,6,0)/'4. Billing Determinants'!$G$41*$D31,IF($E31="Distribution Rev.",VLOOKUP(F$4,'4. Billing Determinants'!$B$19:$P$41,8,0)/'4. Billing Determinants'!$I$41*$D31, VLOOKUP(F$4,'4. Billing Determinants'!$B$19:$P$41,3,0)/'4. Billing Determinants'!$D$41*$D31))))),0)</f>
        <v>0</v>
      </c>
      <c r="G31" s="70">
        <f>IFERROR(IF(G$4="",0,IF($E31="kWh",VLOOKUP(G$4,'4. Billing Determinants'!$B$19:$P$41,4,0)/'4. Billing Determinants'!$E$41*$D31,IF($E31="kW",VLOOKUP(G$4,'4. Billing Determinants'!$B$19:$P$41,5,0)/'4. Billing Determinants'!$F$41*$D31,IF($E31="Non-RPP kWh",VLOOKUP(G$4,'4. Billing Determinants'!$B$19:$P$41,6,0)/'4. Billing Determinants'!$G$41*$D31,IF($E31="Distribution Rev.",VLOOKUP(G$4,'4. Billing Determinants'!$B$19:$P$41,8,0)/'4. Billing Determinants'!$I$41*$D31, VLOOKUP(G$4,'4. Billing Determinants'!$B$19:$P$41,3,0)/'4. Billing Determinants'!$D$41*$D31))))),0)</f>
        <v>0</v>
      </c>
      <c r="H31" s="70">
        <f>IFERROR(IF(H$4="",0,IF($E31="kWh",VLOOKUP(H$4,'4. Billing Determinants'!$B$19:$P$41,4,0)/'4. Billing Determinants'!$E$41*$D31,IF($E31="kW",VLOOKUP(H$4,'4. Billing Determinants'!$B$19:$P$41,5,0)/'4. Billing Determinants'!$F$41*$D31,IF($E31="Non-RPP kWh",VLOOKUP(H$4,'4. Billing Determinants'!$B$19:$P$41,6,0)/'4. Billing Determinants'!$G$41*$D31,IF($E31="Distribution Rev.",VLOOKUP(H$4,'4. Billing Determinants'!$B$19:$P$41,8,0)/'4. Billing Determinants'!$I$41*$D31, VLOOKUP(H$4,'4. Billing Determinants'!$B$19:$P$41,3,0)/'4. Billing Determinants'!$D$41*$D31))))),0)</f>
        <v>0</v>
      </c>
      <c r="I31" s="70">
        <f>IFERROR(IF(I$4="",0,IF($E31="kWh",VLOOKUP(I$4,'4. Billing Determinants'!$B$19:$P$41,4,0)/'4. Billing Determinants'!$E$41*$D31,IF($E31="kW",VLOOKUP(I$4,'4. Billing Determinants'!$B$19:$P$41,5,0)/'4. Billing Determinants'!$F$41*$D31,IF($E31="Non-RPP kWh",VLOOKUP(I$4,'4. Billing Determinants'!$B$19:$P$41,6,0)/'4. Billing Determinants'!$G$41*$D31,IF($E31="Distribution Rev.",VLOOKUP(I$4,'4. Billing Determinants'!$B$19:$P$41,8,0)/'4. Billing Determinants'!$I$41*$D31, VLOOKUP(I$4,'4. Billing Determinants'!$B$19:$P$41,3,0)/'4. Billing Determinants'!$D$41*$D31))))),0)</f>
        <v>0</v>
      </c>
      <c r="J31" s="70">
        <f>IFERROR(IF(J$4="",0,IF($E31="kWh",VLOOKUP(J$4,'4. Billing Determinants'!$B$19:$P$41,4,0)/'4. Billing Determinants'!$E$41*$D31,IF($E31="kW",VLOOKUP(J$4,'4. Billing Determinants'!$B$19:$P$41,5,0)/'4. Billing Determinants'!$F$41*$D31,IF($E31="Non-RPP kWh",VLOOKUP(J$4,'4. Billing Determinants'!$B$19:$P$41,6,0)/'4. Billing Determinants'!$G$41*$D31,IF($E31="Distribution Rev.",VLOOKUP(J$4,'4. Billing Determinants'!$B$19:$P$41,8,0)/'4. Billing Determinants'!$I$41*$D31, VLOOKUP(J$4,'4. Billing Determinants'!$B$19:$P$41,3,0)/'4. Billing Determinants'!$D$41*$D31))))),0)</f>
        <v>0</v>
      </c>
      <c r="K31" s="70">
        <f>IFERROR(IF(K$4="",0,IF($E31="kWh",VLOOKUP(K$4,'4. Billing Determinants'!$B$19:$P$41,4,0)/'4. Billing Determinants'!$E$41*$D31,IF($E31="kW",VLOOKUP(K$4,'4. Billing Determinants'!$B$19:$P$41,5,0)/'4. Billing Determinants'!$F$41*$D31,IF($E31="Non-RPP kWh",VLOOKUP(K$4,'4. Billing Determinants'!$B$19:$P$41,6,0)/'4. Billing Determinants'!$G$41*$D31,IF($E31="Distribution Rev.",VLOOKUP(K$4,'4. Billing Determinants'!$B$19:$P$41,8,0)/'4. Billing Determinants'!$I$41*$D31, VLOOKUP(K$4,'4. Billing Determinants'!$B$19:$P$41,3,0)/'4. Billing Determinants'!$D$41*$D31))))),0)</f>
        <v>0</v>
      </c>
      <c r="L31" s="70">
        <f>IFERROR(IF(L$4="",0,IF($E31="kWh",VLOOKUP(L$4,'4. Billing Determinants'!$B$19:$P$41,4,0)/'4. Billing Determinants'!$E$41*$D31,IF($E31="kW",VLOOKUP(L$4,'4. Billing Determinants'!$B$19:$P$41,5,0)/'4. Billing Determinants'!$F$41*$D31,IF($E31="Non-RPP kWh",VLOOKUP(L$4,'4. Billing Determinants'!$B$19:$P$41,6,0)/'4. Billing Determinants'!$G$41*$D31,IF($E31="Distribution Rev.",VLOOKUP(L$4,'4. Billing Determinants'!$B$19:$P$41,8,0)/'4. Billing Determinants'!$I$41*$D31, VLOOKUP(L$4,'4. Billing Determinants'!$B$19:$P$41,3,0)/'4. Billing Determinants'!$D$41*$D31))))),0)</f>
        <v>0</v>
      </c>
      <c r="M31" s="70">
        <f>IFERROR(IF(M$4="",0,IF($E31="kWh",VLOOKUP(M$4,'4. Billing Determinants'!$B$19:$P$41,4,0)/'4. Billing Determinants'!$E$41*$D31,IF($E31="kW",VLOOKUP(M$4,'4. Billing Determinants'!$B$19:$P$41,5,0)/'4. Billing Determinants'!$F$41*$D31,IF($E31="Non-RPP kWh",VLOOKUP(M$4,'4. Billing Determinants'!$B$19:$P$41,6,0)/'4. Billing Determinants'!$G$41*$D31,IF($E31="Distribution Rev.",VLOOKUP(M$4,'4. Billing Determinants'!$B$19:$P$41,8,0)/'4. Billing Determinants'!$I$41*$D31, VLOOKUP(M$4,'4. Billing Determinants'!$B$19:$P$41,3,0)/'4. Billing Determinants'!$D$41*$D31))))),0)</f>
        <v>0</v>
      </c>
      <c r="N31" s="70">
        <f>IFERROR(IF(N$4="",0,IF($E31="kWh",VLOOKUP(N$4,'4. Billing Determinants'!$B$19:$P$41,4,0)/'4. Billing Determinants'!$E$41*$D31,IF($E31="kW",VLOOKUP(N$4,'4. Billing Determinants'!$B$19:$P$41,5,0)/'4. Billing Determinants'!$F$41*$D31,IF($E31="Non-RPP kWh",VLOOKUP(N$4,'4. Billing Determinants'!$B$19:$P$41,6,0)/'4. Billing Determinants'!$G$41*$D31,IF($E31="Distribution Rev.",VLOOKUP(N$4,'4. Billing Determinants'!$B$19:$P$41,8,0)/'4. Billing Determinants'!$I$41*$D31, VLOOKUP(N$4,'4. Billing Determinants'!$B$19:$P$41,3,0)/'4. Billing Determinants'!$D$41*$D31))))),0)</f>
        <v>0</v>
      </c>
      <c r="O31" s="70">
        <f>IFERROR(IF(O$4="",0,IF($E31="kWh",VLOOKUP(O$4,'4. Billing Determinants'!$B$19:$P$41,4,0)/'4. Billing Determinants'!$E$41*$D31,IF($E31="kW",VLOOKUP(O$4,'4. Billing Determinants'!$B$19:$P$41,5,0)/'4. Billing Determinants'!$F$41*$D31,IF($E31="Non-RPP kWh",VLOOKUP(O$4,'4. Billing Determinants'!$B$19:$P$41,6,0)/'4. Billing Determinants'!$G$41*$D31,IF($E31="Distribution Rev.",VLOOKUP(O$4,'4. Billing Determinants'!$B$19:$P$41,8,0)/'4. Billing Determinants'!$I$41*$D31, VLOOKUP(O$4,'4. Billing Determinants'!$B$19:$P$41,3,0)/'4. Billing Determinants'!$D$41*$D31))))),0)</f>
        <v>0</v>
      </c>
      <c r="P31" s="70">
        <f>IFERROR(IF(P$4="",0,IF($E31="kWh",VLOOKUP(P$4,'4. Billing Determinants'!$B$19:$P$41,4,0)/'4. Billing Determinants'!$E$41*$D31,IF($E31="kW",VLOOKUP(P$4,'4. Billing Determinants'!$B$19:$P$41,5,0)/'4. Billing Determinants'!$F$41*$D31,IF($E31="Non-RPP kWh",VLOOKUP(P$4,'4. Billing Determinants'!$B$19:$P$41,6,0)/'4. Billing Determinants'!$G$41*$D31,IF($E31="Distribution Rev.",VLOOKUP(P$4,'4. Billing Determinants'!$B$19:$P$41,8,0)/'4. Billing Determinants'!$I$41*$D31, VLOOKUP(P$4,'4. Billing Determinants'!$B$19:$P$41,3,0)/'4. Billing Determinants'!$D$41*$D31))))),0)</f>
        <v>0</v>
      </c>
      <c r="Q31" s="70">
        <f>IFERROR(IF(Q$4="",0,IF($E31="kWh",VLOOKUP(Q$4,'4. Billing Determinants'!$B$19:$P$41,4,0)/'4. Billing Determinants'!$E$41*$D31,IF($E31="kW",VLOOKUP(Q$4,'4. Billing Determinants'!$B$19:$P$41,5,0)/'4. Billing Determinants'!$F$41*$D31,IF($E31="Non-RPP kWh",VLOOKUP(Q$4,'4. Billing Determinants'!$B$19:$P$41,6,0)/'4. Billing Determinants'!$G$41*$D31,IF($E31="Distribution Rev.",VLOOKUP(Q$4,'4. Billing Determinants'!$B$19:$P$41,8,0)/'4. Billing Determinants'!$I$41*$D31, VLOOKUP(Q$4,'4. Billing Determinants'!$B$19:$P$41,3,0)/'4. Billing Determinants'!$D$41*$D31))))),0)</f>
        <v>0</v>
      </c>
      <c r="R31" s="70">
        <f>IFERROR(IF(R$4="",0,IF($E31="kWh",VLOOKUP(R$4,'4. Billing Determinants'!$B$19:$P$41,4,0)/'4. Billing Determinants'!$E$41*$D31,IF($E31="kW",VLOOKUP(R$4,'4. Billing Determinants'!$B$19:$P$41,5,0)/'4. Billing Determinants'!$F$41*$D31,IF($E31="Non-RPP kWh",VLOOKUP(R$4,'4. Billing Determinants'!$B$19:$P$41,6,0)/'4. Billing Determinants'!$G$41*$D31,IF($E31="Distribution Rev.",VLOOKUP(R$4,'4. Billing Determinants'!$B$19:$P$41,8,0)/'4. Billing Determinants'!$I$41*$D31, VLOOKUP(R$4,'4. Billing Determinants'!$B$19:$P$41,3,0)/'4. Billing Determinants'!$D$41*$D31))))),0)</f>
        <v>0</v>
      </c>
      <c r="S31" s="70">
        <f>IFERROR(IF(S$4="",0,IF($E31="kWh",VLOOKUP(S$4,'4. Billing Determinants'!$B$19:$P$41,4,0)/'4. Billing Determinants'!$E$41*$D31,IF($E31="kW",VLOOKUP(S$4,'4. Billing Determinants'!$B$19:$P$41,5,0)/'4. Billing Determinants'!$F$41*$D31,IF($E31="Non-RPP kWh",VLOOKUP(S$4,'4. Billing Determinants'!$B$19:$P$41,6,0)/'4. Billing Determinants'!$G$41*$D31,IF($E31="Distribution Rev.",VLOOKUP(S$4,'4. Billing Determinants'!$B$19:$P$41,8,0)/'4. Billing Determinants'!$I$41*$D31, VLOOKUP(S$4,'4. Billing Determinants'!$B$19:$P$41,3,0)/'4. Billing Determinants'!$D$41*$D31))))),0)</f>
        <v>0</v>
      </c>
      <c r="T31" s="70">
        <f>IFERROR(IF(T$4="",0,IF($E31="kWh",VLOOKUP(T$4,'4. Billing Determinants'!$B$19:$P$41,4,0)/'4. Billing Determinants'!$E$41*$D31,IF($E31="kW",VLOOKUP(T$4,'4. Billing Determinants'!$B$19:$P$41,5,0)/'4. Billing Determinants'!$F$41*$D31,IF($E31="Non-RPP kWh",VLOOKUP(T$4,'4. Billing Determinants'!$B$19:$P$41,6,0)/'4. Billing Determinants'!$G$41*$D31,IF($E31="Distribution Rev.",VLOOKUP(T$4,'4. Billing Determinants'!$B$19:$P$41,8,0)/'4. Billing Determinants'!$I$41*$D31, VLOOKUP(T$4,'4. Billing Determinants'!$B$19:$P$41,3,0)/'4. Billing Determinants'!$D$41*$D31))))),0)</f>
        <v>0</v>
      </c>
      <c r="U31" s="70">
        <f>IFERROR(IF(U$4="",0,IF($E31="kWh",VLOOKUP(U$4,'4. Billing Determinants'!$B$19:$P$41,4,0)/'4. Billing Determinants'!$E$41*$D31,IF($E31="kW",VLOOKUP(U$4,'4. Billing Determinants'!$B$19:$P$41,5,0)/'4. Billing Determinants'!$F$41*$D31,IF($E31="Non-RPP kWh",VLOOKUP(U$4,'4. Billing Determinants'!$B$19:$P$41,6,0)/'4. Billing Determinants'!$G$41*$D31,IF($E31="Distribution Rev.",VLOOKUP(U$4,'4. Billing Determinants'!$B$19:$P$41,8,0)/'4. Billing Determinants'!$I$41*$D31, VLOOKUP(U$4,'4. Billing Determinants'!$B$19:$P$41,3,0)/'4. Billing Determinants'!$D$41*$D31))))),0)</f>
        <v>0</v>
      </c>
      <c r="V31" s="70">
        <f>IFERROR(IF(V$4="",0,IF($E31="kWh",VLOOKUP(V$4,'4. Billing Determinants'!$B$19:$P$41,4,0)/'4. Billing Determinants'!$E$41*$D31,IF($E31="kW",VLOOKUP(V$4,'4. Billing Determinants'!$B$19:$P$41,5,0)/'4. Billing Determinants'!$F$41*$D31,IF($E31="Non-RPP kWh",VLOOKUP(V$4,'4. Billing Determinants'!$B$19:$P$41,6,0)/'4. Billing Determinants'!$G$41*$D31,IF($E31="Distribution Rev.",VLOOKUP(V$4,'4. Billing Determinants'!$B$19:$P$41,8,0)/'4. Billing Determinants'!$I$41*$D31, VLOOKUP(V$4,'4. Billing Determinants'!$B$19:$P$41,3,0)/'4. Billing Determinants'!$D$41*$D31))))),0)</f>
        <v>0</v>
      </c>
      <c r="W31" s="70">
        <f>IFERROR(IF(W$4="",0,IF($E31="kWh",VLOOKUP(W$4,'4. Billing Determinants'!$B$19:$P$41,4,0)/'4. Billing Determinants'!$E$41*$D31,IF($E31="kW",VLOOKUP(W$4,'4. Billing Determinants'!$B$19:$P$41,5,0)/'4. Billing Determinants'!$F$41*$D31,IF($E31="Non-RPP kWh",VLOOKUP(W$4,'4. Billing Determinants'!$B$19:$P$41,6,0)/'4. Billing Determinants'!$G$41*$D31,IF($E31="Distribution Rev.",VLOOKUP(W$4,'4. Billing Determinants'!$B$19:$P$41,8,0)/'4. Billing Determinants'!$I$41*$D31, VLOOKUP(W$4,'4. Billing Determinants'!$B$19:$P$41,3,0)/'4. Billing Determinants'!$D$41*$D31))))),0)</f>
        <v>0</v>
      </c>
      <c r="X31" s="70">
        <f>IFERROR(IF(X$4="",0,IF($E31="kWh",VLOOKUP(X$4,'4. Billing Determinants'!$B$19:$P$41,4,0)/'4. Billing Determinants'!$E$41*$D31,IF($E31="kW",VLOOKUP(X$4,'4. Billing Determinants'!$B$19:$P$41,5,0)/'4. Billing Determinants'!$F$41*$D31,IF($E31="Non-RPP kWh",VLOOKUP(X$4,'4. Billing Determinants'!$B$19:$P$41,6,0)/'4. Billing Determinants'!$G$41*$D31,IF($E31="Distribution Rev.",VLOOKUP(X$4,'4. Billing Determinants'!$B$19:$P$41,8,0)/'4. Billing Determinants'!$I$41*$D31, VLOOKUP(X$4,'4. Billing Determinants'!$B$19:$P$41,3,0)/'4. Billing Determinants'!$D$41*$D31))))),0)</f>
        <v>0</v>
      </c>
      <c r="Y31" s="70">
        <f>IFERROR(IF(Y$4="",0,IF($E31="kWh",VLOOKUP(Y$4,'4. Billing Determinants'!$B$19:$P$41,4,0)/'4. Billing Determinants'!$E$41*$D31,IF($E31="kW",VLOOKUP(Y$4,'4. Billing Determinants'!$B$19:$P$41,5,0)/'4. Billing Determinants'!$F$41*$D31,IF($E31="Non-RPP kWh",VLOOKUP(Y$4,'4. Billing Determinants'!$B$19:$P$41,6,0)/'4. Billing Determinants'!$G$41*$D31,IF($E31="Distribution Rev.",VLOOKUP(Y$4,'4. Billing Determinants'!$B$19:$P$41,8,0)/'4. Billing Determinants'!$I$41*$D31, VLOOKUP(Y$4,'4. Billing Determinants'!$B$19:$P$41,3,0)/'4. Billing Determinants'!$D$41*$D31))))),0)</f>
        <v>0</v>
      </c>
    </row>
    <row r="32" spans="2:25" x14ac:dyDescent="0.2">
      <c r="B32" s="68" t="s">
        <v>5</v>
      </c>
      <c r="C32" s="69">
        <v>1548</v>
      </c>
      <c r="D32" s="70">
        <f>'2. 2014 Continuity Schedule'!BO55</f>
        <v>178967.35000000006</v>
      </c>
      <c r="E32" s="130" t="s">
        <v>115</v>
      </c>
      <c r="F32" s="70">
        <f>IFERROR(IF(F$4="",0,IF($E32="kWh",VLOOKUP(F$4,'4. Billing Determinants'!$B$19:$P$41,4,0)/'4. Billing Determinants'!$E$41*$D32,IF($E32="kW",VLOOKUP(F$4,'4. Billing Determinants'!$B$19:$P$41,5,0)/'4. Billing Determinants'!$F$41*$D32,IF($E32="Non-RPP kWh",VLOOKUP(F$4,'4. Billing Determinants'!$B$19:$P$41,6,0)/'4. Billing Determinants'!$G$41*$D32,IF($E32="Distribution Rev.",VLOOKUP(F$4,'4. Billing Determinants'!$B$19:$P$41,8,0)/'4. Billing Determinants'!$I$41*$D32, VLOOKUP(F$4,'4. Billing Determinants'!$B$19:$P$41,3,0)/'4. Billing Determinants'!$D$41*$D32))))),0)</f>
        <v>159841.2528980333</v>
      </c>
      <c r="G32" s="70">
        <f>IFERROR(IF(G$4="",0,IF($E32="kWh",VLOOKUP(G$4,'4. Billing Determinants'!$B$19:$P$41,4,0)/'4. Billing Determinants'!$E$41*$D32,IF($E32="kW",VLOOKUP(G$4,'4. Billing Determinants'!$B$19:$P$41,5,0)/'4. Billing Determinants'!$F$41*$D32,IF($E32="Non-RPP kWh",VLOOKUP(G$4,'4. Billing Determinants'!$B$19:$P$41,6,0)/'4. Billing Determinants'!$G$41*$D32,IF($E32="Distribution Rev.",VLOOKUP(G$4,'4. Billing Determinants'!$B$19:$P$41,8,0)/'4. Billing Determinants'!$I$41*$D32, VLOOKUP(G$4,'4. Billing Determinants'!$B$19:$P$41,3,0)/'4. Billing Determinants'!$D$41*$D32))))),0)</f>
        <v>14905.022393893194</v>
      </c>
      <c r="H32" s="70">
        <f>IFERROR(IF(H$4="",0,IF($E32="kWh",VLOOKUP(H$4,'4. Billing Determinants'!$B$19:$P$41,4,0)/'4. Billing Determinants'!$E$41*$D32,IF($E32="kW",VLOOKUP(H$4,'4. Billing Determinants'!$B$19:$P$41,5,0)/'4. Billing Determinants'!$F$41*$D32,IF($E32="Non-RPP kWh",VLOOKUP(H$4,'4. Billing Determinants'!$B$19:$P$41,6,0)/'4. Billing Determinants'!$G$41*$D32,IF($E32="Distribution Rev.",VLOOKUP(H$4,'4. Billing Determinants'!$B$19:$P$41,8,0)/'4. Billing Determinants'!$I$41*$D32, VLOOKUP(H$4,'4. Billing Determinants'!$B$19:$P$41,3,0)/'4. Billing Determinants'!$D$41*$D32))))),0)</f>
        <v>2981.0044787786387</v>
      </c>
      <c r="I32" s="70">
        <f>IFERROR(IF(I$4="",0,IF($E32="kWh",VLOOKUP(I$4,'4. Billing Determinants'!$B$19:$P$41,4,0)/'4. Billing Determinants'!$E$41*$D32,IF($E32="kW",VLOOKUP(I$4,'4. Billing Determinants'!$B$19:$P$41,5,0)/'4. Billing Determinants'!$F$41*$D32,IF($E32="Non-RPP kWh",VLOOKUP(I$4,'4. Billing Determinants'!$B$19:$P$41,6,0)/'4. Billing Determinants'!$G$41*$D32,IF($E32="Distribution Rev.",VLOOKUP(I$4,'4. Billing Determinants'!$B$19:$P$41,8,0)/'4. Billing Determinants'!$I$41*$D32, VLOOKUP(I$4,'4. Billing Determinants'!$B$19:$P$41,3,0)/'4. Billing Determinants'!$D$41*$D32))))),0)</f>
        <v>58.721988573854993</v>
      </c>
      <c r="J32" s="70">
        <f>IFERROR(IF(J$4="",0,IF($E32="kWh",VLOOKUP(J$4,'4. Billing Determinants'!$B$19:$P$41,4,0)/'4. Billing Determinants'!$E$41*$D32,IF($E32="kW",VLOOKUP(J$4,'4. Billing Determinants'!$B$19:$P$41,5,0)/'4. Billing Determinants'!$F$41*$D32,IF($E32="Non-RPP kWh",VLOOKUP(J$4,'4. Billing Determinants'!$B$19:$P$41,6,0)/'4. Billing Determinants'!$G$41*$D32,IF($E32="Distribution Rev.",VLOOKUP(J$4,'4. Billing Determinants'!$B$19:$P$41,8,0)/'4. Billing Determinants'!$I$41*$D32, VLOOKUP(J$4,'4. Billing Determinants'!$B$19:$P$41,3,0)/'4. Billing Determinants'!$D$41*$D32))))),0)</f>
        <v>1164.0770676111256</v>
      </c>
      <c r="K32" s="70">
        <f>IFERROR(IF(K$4="",0,IF($E32="kWh",VLOOKUP(K$4,'4. Billing Determinants'!$B$19:$P$41,4,0)/'4. Billing Determinants'!$E$41*$D32,IF($E32="kW",VLOOKUP(K$4,'4. Billing Determinants'!$B$19:$P$41,5,0)/'4. Billing Determinants'!$F$41*$D32,IF($E32="Non-RPP kWh",VLOOKUP(K$4,'4. Billing Determinants'!$B$19:$P$41,6,0)/'4. Billing Determinants'!$G$41*$D32,IF($E32="Distribution Rev.",VLOOKUP(K$4,'4. Billing Determinants'!$B$19:$P$41,8,0)/'4. Billing Determinants'!$I$41*$D32, VLOOKUP(K$4,'4. Billing Determinants'!$B$19:$P$41,3,0)/'4. Billing Determinants'!$D$41*$D32))))),0)</f>
        <v>17.271173109957353</v>
      </c>
      <c r="L32" s="70">
        <f>IFERROR(IF(L$4="",0,IF($E32="kWh",VLOOKUP(L$4,'4. Billing Determinants'!$B$19:$P$41,4,0)/'4. Billing Determinants'!$E$41*$D32,IF($E32="kW",VLOOKUP(L$4,'4. Billing Determinants'!$B$19:$P$41,5,0)/'4. Billing Determinants'!$F$41*$D32,IF($E32="Non-RPP kWh",VLOOKUP(L$4,'4. Billing Determinants'!$B$19:$P$41,6,0)/'4. Billing Determinants'!$G$41*$D32,IF($E32="Distribution Rev.",VLOOKUP(L$4,'4. Billing Determinants'!$B$19:$P$41,8,0)/'4. Billing Determinants'!$I$41*$D32, VLOOKUP(L$4,'4. Billing Determinants'!$B$19:$P$41,3,0)/'4. Billing Determinants'!$D$41*$D32))))),0)</f>
        <v>0</v>
      </c>
      <c r="M32" s="70">
        <f>IFERROR(IF(M$4="",0,IF($E32="kWh",VLOOKUP(M$4,'4. Billing Determinants'!$B$19:$P$41,4,0)/'4. Billing Determinants'!$E$41*$D32,IF($E32="kW",VLOOKUP(M$4,'4. Billing Determinants'!$B$19:$P$41,5,0)/'4. Billing Determinants'!$F$41*$D32,IF($E32="Non-RPP kWh",VLOOKUP(M$4,'4. Billing Determinants'!$B$19:$P$41,6,0)/'4. Billing Determinants'!$G$41*$D32,IF($E32="Distribution Rev.",VLOOKUP(M$4,'4. Billing Determinants'!$B$19:$P$41,8,0)/'4. Billing Determinants'!$I$41*$D32, VLOOKUP(M$4,'4. Billing Determinants'!$B$19:$P$41,3,0)/'4. Billing Determinants'!$D$41*$D32))))),0)</f>
        <v>0</v>
      </c>
      <c r="N32" s="70">
        <f>IFERROR(IF(N$4="",0,IF($E32="kWh",VLOOKUP(N$4,'4. Billing Determinants'!$B$19:$P$41,4,0)/'4. Billing Determinants'!$E$41*$D32,IF($E32="kW",VLOOKUP(N$4,'4. Billing Determinants'!$B$19:$P$41,5,0)/'4. Billing Determinants'!$F$41*$D32,IF($E32="Non-RPP kWh",VLOOKUP(N$4,'4. Billing Determinants'!$B$19:$P$41,6,0)/'4. Billing Determinants'!$G$41*$D32,IF($E32="Distribution Rev.",VLOOKUP(N$4,'4. Billing Determinants'!$B$19:$P$41,8,0)/'4. Billing Determinants'!$I$41*$D32, VLOOKUP(N$4,'4. Billing Determinants'!$B$19:$P$41,3,0)/'4. Billing Determinants'!$D$41*$D32))))),0)</f>
        <v>0</v>
      </c>
      <c r="O32" s="70">
        <f>IFERROR(IF(O$4="",0,IF($E32="kWh",VLOOKUP(O$4,'4. Billing Determinants'!$B$19:$P$41,4,0)/'4. Billing Determinants'!$E$41*$D32,IF($E32="kW",VLOOKUP(O$4,'4. Billing Determinants'!$B$19:$P$41,5,0)/'4. Billing Determinants'!$F$41*$D32,IF($E32="Non-RPP kWh",VLOOKUP(O$4,'4. Billing Determinants'!$B$19:$P$41,6,0)/'4. Billing Determinants'!$G$41*$D32,IF($E32="Distribution Rev.",VLOOKUP(O$4,'4. Billing Determinants'!$B$19:$P$41,8,0)/'4. Billing Determinants'!$I$41*$D32, VLOOKUP(O$4,'4. Billing Determinants'!$B$19:$P$41,3,0)/'4. Billing Determinants'!$D$41*$D32))))),0)</f>
        <v>0</v>
      </c>
      <c r="P32" s="70">
        <f>IFERROR(IF(P$4="",0,IF($E32="kWh",VLOOKUP(P$4,'4. Billing Determinants'!$B$19:$P$41,4,0)/'4. Billing Determinants'!$E$41*$D32,IF($E32="kW",VLOOKUP(P$4,'4. Billing Determinants'!$B$19:$P$41,5,0)/'4. Billing Determinants'!$F$41*$D32,IF($E32="Non-RPP kWh",VLOOKUP(P$4,'4. Billing Determinants'!$B$19:$P$41,6,0)/'4. Billing Determinants'!$G$41*$D32,IF($E32="Distribution Rev.",VLOOKUP(P$4,'4. Billing Determinants'!$B$19:$P$41,8,0)/'4. Billing Determinants'!$I$41*$D32, VLOOKUP(P$4,'4. Billing Determinants'!$B$19:$P$41,3,0)/'4. Billing Determinants'!$D$41*$D32))))),0)</f>
        <v>0</v>
      </c>
      <c r="Q32" s="70">
        <f>IFERROR(IF(Q$4="",0,IF($E32="kWh",VLOOKUP(Q$4,'4. Billing Determinants'!$B$19:$P$41,4,0)/'4. Billing Determinants'!$E$41*$D32,IF($E32="kW",VLOOKUP(Q$4,'4. Billing Determinants'!$B$19:$P$41,5,0)/'4. Billing Determinants'!$F$41*$D32,IF($E32="Non-RPP kWh",VLOOKUP(Q$4,'4. Billing Determinants'!$B$19:$P$41,6,0)/'4. Billing Determinants'!$G$41*$D32,IF($E32="Distribution Rev.",VLOOKUP(Q$4,'4. Billing Determinants'!$B$19:$P$41,8,0)/'4. Billing Determinants'!$I$41*$D32, VLOOKUP(Q$4,'4. Billing Determinants'!$B$19:$P$41,3,0)/'4. Billing Determinants'!$D$41*$D32))))),0)</f>
        <v>0</v>
      </c>
      <c r="R32" s="70">
        <f>IFERROR(IF(R$4="",0,IF($E32="kWh",VLOOKUP(R$4,'4. Billing Determinants'!$B$19:$P$41,4,0)/'4. Billing Determinants'!$E$41*$D32,IF($E32="kW",VLOOKUP(R$4,'4. Billing Determinants'!$B$19:$P$41,5,0)/'4. Billing Determinants'!$F$41*$D32,IF($E32="Non-RPP kWh",VLOOKUP(R$4,'4. Billing Determinants'!$B$19:$P$41,6,0)/'4. Billing Determinants'!$G$41*$D32,IF($E32="Distribution Rev.",VLOOKUP(R$4,'4. Billing Determinants'!$B$19:$P$41,8,0)/'4. Billing Determinants'!$I$41*$D32, VLOOKUP(R$4,'4. Billing Determinants'!$B$19:$P$41,3,0)/'4. Billing Determinants'!$D$41*$D32))))),0)</f>
        <v>0</v>
      </c>
      <c r="S32" s="70">
        <f>IFERROR(IF(S$4="",0,IF($E32="kWh",VLOOKUP(S$4,'4. Billing Determinants'!$B$19:$P$41,4,0)/'4. Billing Determinants'!$E$41*$D32,IF($E32="kW",VLOOKUP(S$4,'4. Billing Determinants'!$B$19:$P$41,5,0)/'4. Billing Determinants'!$F$41*$D32,IF($E32="Non-RPP kWh",VLOOKUP(S$4,'4. Billing Determinants'!$B$19:$P$41,6,0)/'4. Billing Determinants'!$G$41*$D32,IF($E32="Distribution Rev.",VLOOKUP(S$4,'4. Billing Determinants'!$B$19:$P$41,8,0)/'4. Billing Determinants'!$I$41*$D32, VLOOKUP(S$4,'4. Billing Determinants'!$B$19:$P$41,3,0)/'4. Billing Determinants'!$D$41*$D32))))),0)</f>
        <v>0</v>
      </c>
      <c r="T32" s="70">
        <f>IFERROR(IF(T$4="",0,IF($E32="kWh",VLOOKUP(T$4,'4. Billing Determinants'!$B$19:$P$41,4,0)/'4. Billing Determinants'!$E$41*$D32,IF($E32="kW",VLOOKUP(T$4,'4. Billing Determinants'!$B$19:$P$41,5,0)/'4. Billing Determinants'!$F$41*$D32,IF($E32="Non-RPP kWh",VLOOKUP(T$4,'4. Billing Determinants'!$B$19:$P$41,6,0)/'4. Billing Determinants'!$G$41*$D32,IF($E32="Distribution Rev.",VLOOKUP(T$4,'4. Billing Determinants'!$B$19:$P$41,8,0)/'4. Billing Determinants'!$I$41*$D32, VLOOKUP(T$4,'4. Billing Determinants'!$B$19:$P$41,3,0)/'4. Billing Determinants'!$D$41*$D32))))),0)</f>
        <v>0</v>
      </c>
      <c r="U32" s="70">
        <f>IFERROR(IF(U$4="",0,IF($E32="kWh",VLOOKUP(U$4,'4. Billing Determinants'!$B$19:$P$41,4,0)/'4. Billing Determinants'!$E$41*$D32,IF($E32="kW",VLOOKUP(U$4,'4. Billing Determinants'!$B$19:$P$41,5,0)/'4. Billing Determinants'!$F$41*$D32,IF($E32="Non-RPP kWh",VLOOKUP(U$4,'4. Billing Determinants'!$B$19:$P$41,6,0)/'4. Billing Determinants'!$G$41*$D32,IF($E32="Distribution Rev.",VLOOKUP(U$4,'4. Billing Determinants'!$B$19:$P$41,8,0)/'4. Billing Determinants'!$I$41*$D32, VLOOKUP(U$4,'4. Billing Determinants'!$B$19:$P$41,3,0)/'4. Billing Determinants'!$D$41*$D32))))),0)</f>
        <v>0</v>
      </c>
      <c r="V32" s="70">
        <f>IFERROR(IF(V$4="",0,IF($E32="kWh",VLOOKUP(V$4,'4. Billing Determinants'!$B$19:$P$41,4,0)/'4. Billing Determinants'!$E$41*$D32,IF($E32="kW",VLOOKUP(V$4,'4. Billing Determinants'!$B$19:$P$41,5,0)/'4. Billing Determinants'!$F$41*$D32,IF($E32="Non-RPP kWh",VLOOKUP(V$4,'4. Billing Determinants'!$B$19:$P$41,6,0)/'4. Billing Determinants'!$G$41*$D32,IF($E32="Distribution Rev.",VLOOKUP(V$4,'4. Billing Determinants'!$B$19:$P$41,8,0)/'4. Billing Determinants'!$I$41*$D32, VLOOKUP(V$4,'4. Billing Determinants'!$B$19:$P$41,3,0)/'4. Billing Determinants'!$D$41*$D32))))),0)</f>
        <v>0</v>
      </c>
      <c r="W32" s="70">
        <f>IFERROR(IF(W$4="",0,IF($E32="kWh",VLOOKUP(W$4,'4. Billing Determinants'!$B$19:$P$41,4,0)/'4. Billing Determinants'!$E$41*$D32,IF($E32="kW",VLOOKUP(W$4,'4. Billing Determinants'!$B$19:$P$41,5,0)/'4. Billing Determinants'!$F$41*$D32,IF($E32="Non-RPP kWh",VLOOKUP(W$4,'4. Billing Determinants'!$B$19:$P$41,6,0)/'4. Billing Determinants'!$G$41*$D32,IF($E32="Distribution Rev.",VLOOKUP(W$4,'4. Billing Determinants'!$B$19:$P$41,8,0)/'4. Billing Determinants'!$I$41*$D32, VLOOKUP(W$4,'4. Billing Determinants'!$B$19:$P$41,3,0)/'4. Billing Determinants'!$D$41*$D32))))),0)</f>
        <v>0</v>
      </c>
      <c r="X32" s="70">
        <f>IFERROR(IF(X$4="",0,IF($E32="kWh",VLOOKUP(X$4,'4. Billing Determinants'!$B$19:$P$41,4,0)/'4. Billing Determinants'!$E$41*$D32,IF($E32="kW",VLOOKUP(X$4,'4. Billing Determinants'!$B$19:$P$41,5,0)/'4. Billing Determinants'!$F$41*$D32,IF($E32="Non-RPP kWh",VLOOKUP(X$4,'4. Billing Determinants'!$B$19:$P$41,6,0)/'4. Billing Determinants'!$G$41*$D32,IF($E32="Distribution Rev.",VLOOKUP(X$4,'4. Billing Determinants'!$B$19:$P$41,8,0)/'4. Billing Determinants'!$I$41*$D32, VLOOKUP(X$4,'4. Billing Determinants'!$B$19:$P$41,3,0)/'4. Billing Determinants'!$D$41*$D32))))),0)</f>
        <v>0</v>
      </c>
      <c r="Y32" s="70">
        <f>IFERROR(IF(Y$4="",0,IF($E32="kWh",VLOOKUP(Y$4,'4. Billing Determinants'!$B$19:$P$41,4,0)/'4. Billing Determinants'!$E$41*$D32,IF($E32="kW",VLOOKUP(Y$4,'4. Billing Determinants'!$B$19:$P$41,5,0)/'4. Billing Determinants'!$F$41*$D32,IF($E32="Non-RPP kWh",VLOOKUP(Y$4,'4. Billing Determinants'!$B$19:$P$41,6,0)/'4. Billing Determinants'!$G$41*$D32,IF($E32="Distribution Rev.",VLOOKUP(Y$4,'4. Billing Determinants'!$B$19:$P$41,8,0)/'4. Billing Determinants'!$I$41*$D32, VLOOKUP(Y$4,'4. Billing Determinants'!$B$19:$P$41,3,0)/'4. Billing Determinants'!$D$41*$D32))))),0)</f>
        <v>0</v>
      </c>
    </row>
    <row r="33" spans="1:25" x14ac:dyDescent="0.2">
      <c r="B33" s="68" t="s">
        <v>43</v>
      </c>
      <c r="C33" s="69">
        <v>1567</v>
      </c>
      <c r="D33" s="70">
        <f>'2. 2014 Continuity Schedule'!BO56</f>
        <v>0</v>
      </c>
      <c r="E33" s="130"/>
      <c r="F33" s="70">
        <f>IFERROR(IF(F$4="",0,IF($E33="kWh",VLOOKUP(F$4,'4. Billing Determinants'!$B$19:$P$41,4,0)/'4. Billing Determinants'!$E$41*$D33,IF($E33="kW",VLOOKUP(F$4,'4. Billing Determinants'!$B$19:$P$41,5,0)/'4. Billing Determinants'!$F$41*$D33,IF($E33="Non-RPP kWh",VLOOKUP(F$4,'4. Billing Determinants'!$B$19:$P$41,6,0)/'4. Billing Determinants'!$G$41*$D33,IF($E33="Distribution Rev.",VLOOKUP(F$4,'4. Billing Determinants'!$B$19:$P$41,8,0)/'4. Billing Determinants'!$I$41*$D33, VLOOKUP(F$4,'4. Billing Determinants'!$B$19:$P$41,3,0)/'4. Billing Determinants'!$D$41*$D33))))),0)</f>
        <v>0</v>
      </c>
      <c r="G33" s="70">
        <f>IFERROR(IF(G$4="",0,IF($E33="kWh",VLOOKUP(G$4,'4. Billing Determinants'!$B$19:$P$41,4,0)/'4. Billing Determinants'!$E$41*$D33,IF($E33="kW",VLOOKUP(G$4,'4. Billing Determinants'!$B$19:$P$41,5,0)/'4. Billing Determinants'!$F$41*$D33,IF($E33="Non-RPP kWh",VLOOKUP(G$4,'4. Billing Determinants'!$B$19:$P$41,6,0)/'4. Billing Determinants'!$G$41*$D33,IF($E33="Distribution Rev.",VLOOKUP(G$4,'4. Billing Determinants'!$B$19:$P$41,8,0)/'4. Billing Determinants'!$I$41*$D33, VLOOKUP(G$4,'4. Billing Determinants'!$B$19:$P$41,3,0)/'4. Billing Determinants'!$D$41*$D33))))),0)</f>
        <v>0</v>
      </c>
      <c r="H33" s="70">
        <f>IFERROR(IF(H$4="",0,IF($E33="kWh",VLOOKUP(H$4,'4. Billing Determinants'!$B$19:$P$41,4,0)/'4. Billing Determinants'!$E$41*$D33,IF($E33="kW",VLOOKUP(H$4,'4. Billing Determinants'!$B$19:$P$41,5,0)/'4. Billing Determinants'!$F$41*$D33,IF($E33="Non-RPP kWh",VLOOKUP(H$4,'4. Billing Determinants'!$B$19:$P$41,6,0)/'4. Billing Determinants'!$G$41*$D33,IF($E33="Distribution Rev.",VLOOKUP(H$4,'4. Billing Determinants'!$B$19:$P$41,8,0)/'4. Billing Determinants'!$I$41*$D33, VLOOKUP(H$4,'4. Billing Determinants'!$B$19:$P$41,3,0)/'4. Billing Determinants'!$D$41*$D33))))),0)</f>
        <v>0</v>
      </c>
      <c r="I33" s="70">
        <f>IFERROR(IF(I$4="",0,IF($E33="kWh",VLOOKUP(I$4,'4. Billing Determinants'!$B$19:$P$41,4,0)/'4. Billing Determinants'!$E$41*$D33,IF($E33="kW",VLOOKUP(I$4,'4. Billing Determinants'!$B$19:$P$41,5,0)/'4. Billing Determinants'!$F$41*$D33,IF($E33="Non-RPP kWh",VLOOKUP(I$4,'4. Billing Determinants'!$B$19:$P$41,6,0)/'4. Billing Determinants'!$G$41*$D33,IF($E33="Distribution Rev.",VLOOKUP(I$4,'4. Billing Determinants'!$B$19:$P$41,8,0)/'4. Billing Determinants'!$I$41*$D33, VLOOKUP(I$4,'4. Billing Determinants'!$B$19:$P$41,3,0)/'4. Billing Determinants'!$D$41*$D33))))),0)</f>
        <v>0</v>
      </c>
      <c r="J33" s="70">
        <f>IFERROR(IF(J$4="",0,IF($E33="kWh",VLOOKUP(J$4,'4. Billing Determinants'!$B$19:$P$41,4,0)/'4. Billing Determinants'!$E$41*$D33,IF($E33="kW",VLOOKUP(J$4,'4. Billing Determinants'!$B$19:$P$41,5,0)/'4. Billing Determinants'!$F$41*$D33,IF($E33="Non-RPP kWh",VLOOKUP(J$4,'4. Billing Determinants'!$B$19:$P$41,6,0)/'4. Billing Determinants'!$G$41*$D33,IF($E33="Distribution Rev.",VLOOKUP(J$4,'4. Billing Determinants'!$B$19:$P$41,8,0)/'4. Billing Determinants'!$I$41*$D33, VLOOKUP(J$4,'4. Billing Determinants'!$B$19:$P$41,3,0)/'4. Billing Determinants'!$D$41*$D33))))),0)</f>
        <v>0</v>
      </c>
      <c r="K33" s="70">
        <f>IFERROR(IF(K$4="",0,IF($E33="kWh",VLOOKUP(K$4,'4. Billing Determinants'!$B$19:$P$41,4,0)/'4. Billing Determinants'!$E$41*$D33,IF($E33="kW",VLOOKUP(K$4,'4. Billing Determinants'!$B$19:$P$41,5,0)/'4. Billing Determinants'!$F$41*$D33,IF($E33="Non-RPP kWh",VLOOKUP(K$4,'4. Billing Determinants'!$B$19:$P$41,6,0)/'4. Billing Determinants'!$G$41*$D33,IF($E33="Distribution Rev.",VLOOKUP(K$4,'4. Billing Determinants'!$B$19:$P$41,8,0)/'4. Billing Determinants'!$I$41*$D33, VLOOKUP(K$4,'4. Billing Determinants'!$B$19:$P$41,3,0)/'4. Billing Determinants'!$D$41*$D33))))),0)</f>
        <v>0</v>
      </c>
      <c r="L33" s="70">
        <f>IFERROR(IF(L$4="",0,IF($E33="kWh",VLOOKUP(L$4,'4. Billing Determinants'!$B$19:$P$41,4,0)/'4. Billing Determinants'!$E$41*$D33,IF($E33="kW",VLOOKUP(L$4,'4. Billing Determinants'!$B$19:$P$41,5,0)/'4. Billing Determinants'!$F$41*$D33,IF($E33="Non-RPP kWh",VLOOKUP(L$4,'4. Billing Determinants'!$B$19:$P$41,6,0)/'4. Billing Determinants'!$G$41*$D33,IF($E33="Distribution Rev.",VLOOKUP(L$4,'4. Billing Determinants'!$B$19:$P$41,8,0)/'4. Billing Determinants'!$I$41*$D33, VLOOKUP(L$4,'4. Billing Determinants'!$B$19:$P$41,3,0)/'4. Billing Determinants'!$D$41*$D33))))),0)</f>
        <v>0</v>
      </c>
      <c r="M33" s="70">
        <f>IFERROR(IF(M$4="",0,IF($E33="kWh",VLOOKUP(M$4,'4. Billing Determinants'!$B$19:$P$41,4,0)/'4. Billing Determinants'!$E$41*$D33,IF($E33="kW",VLOOKUP(M$4,'4. Billing Determinants'!$B$19:$P$41,5,0)/'4. Billing Determinants'!$F$41*$D33,IF($E33="Non-RPP kWh",VLOOKUP(M$4,'4. Billing Determinants'!$B$19:$P$41,6,0)/'4. Billing Determinants'!$G$41*$D33,IF($E33="Distribution Rev.",VLOOKUP(M$4,'4. Billing Determinants'!$B$19:$P$41,8,0)/'4. Billing Determinants'!$I$41*$D33, VLOOKUP(M$4,'4. Billing Determinants'!$B$19:$P$41,3,0)/'4. Billing Determinants'!$D$41*$D33))))),0)</f>
        <v>0</v>
      </c>
      <c r="N33" s="70">
        <f>IFERROR(IF(N$4="",0,IF($E33="kWh",VLOOKUP(N$4,'4. Billing Determinants'!$B$19:$P$41,4,0)/'4. Billing Determinants'!$E$41*$D33,IF($E33="kW",VLOOKUP(N$4,'4. Billing Determinants'!$B$19:$P$41,5,0)/'4. Billing Determinants'!$F$41*$D33,IF($E33="Non-RPP kWh",VLOOKUP(N$4,'4. Billing Determinants'!$B$19:$P$41,6,0)/'4. Billing Determinants'!$G$41*$D33,IF($E33="Distribution Rev.",VLOOKUP(N$4,'4. Billing Determinants'!$B$19:$P$41,8,0)/'4. Billing Determinants'!$I$41*$D33, VLOOKUP(N$4,'4. Billing Determinants'!$B$19:$P$41,3,0)/'4. Billing Determinants'!$D$41*$D33))))),0)</f>
        <v>0</v>
      </c>
      <c r="O33" s="70">
        <f>IFERROR(IF(O$4="",0,IF($E33="kWh",VLOOKUP(O$4,'4. Billing Determinants'!$B$19:$P$41,4,0)/'4. Billing Determinants'!$E$41*$D33,IF($E33="kW",VLOOKUP(O$4,'4. Billing Determinants'!$B$19:$P$41,5,0)/'4. Billing Determinants'!$F$41*$D33,IF($E33="Non-RPP kWh",VLOOKUP(O$4,'4. Billing Determinants'!$B$19:$P$41,6,0)/'4. Billing Determinants'!$G$41*$D33,IF($E33="Distribution Rev.",VLOOKUP(O$4,'4. Billing Determinants'!$B$19:$P$41,8,0)/'4. Billing Determinants'!$I$41*$D33, VLOOKUP(O$4,'4. Billing Determinants'!$B$19:$P$41,3,0)/'4. Billing Determinants'!$D$41*$D33))))),0)</f>
        <v>0</v>
      </c>
      <c r="P33" s="70">
        <f>IFERROR(IF(P$4="",0,IF($E33="kWh",VLOOKUP(P$4,'4. Billing Determinants'!$B$19:$P$41,4,0)/'4. Billing Determinants'!$E$41*$D33,IF($E33="kW",VLOOKUP(P$4,'4. Billing Determinants'!$B$19:$P$41,5,0)/'4. Billing Determinants'!$F$41*$D33,IF($E33="Non-RPP kWh",VLOOKUP(P$4,'4. Billing Determinants'!$B$19:$P$41,6,0)/'4. Billing Determinants'!$G$41*$D33,IF($E33="Distribution Rev.",VLOOKUP(P$4,'4. Billing Determinants'!$B$19:$P$41,8,0)/'4. Billing Determinants'!$I$41*$D33, VLOOKUP(P$4,'4. Billing Determinants'!$B$19:$P$41,3,0)/'4. Billing Determinants'!$D$41*$D33))))),0)</f>
        <v>0</v>
      </c>
      <c r="Q33" s="70">
        <f>IFERROR(IF(Q$4="",0,IF($E33="kWh",VLOOKUP(Q$4,'4. Billing Determinants'!$B$19:$P$41,4,0)/'4. Billing Determinants'!$E$41*$D33,IF($E33="kW",VLOOKUP(Q$4,'4. Billing Determinants'!$B$19:$P$41,5,0)/'4. Billing Determinants'!$F$41*$D33,IF($E33="Non-RPP kWh",VLOOKUP(Q$4,'4. Billing Determinants'!$B$19:$P$41,6,0)/'4. Billing Determinants'!$G$41*$D33,IF($E33="Distribution Rev.",VLOOKUP(Q$4,'4. Billing Determinants'!$B$19:$P$41,8,0)/'4. Billing Determinants'!$I$41*$D33, VLOOKUP(Q$4,'4. Billing Determinants'!$B$19:$P$41,3,0)/'4. Billing Determinants'!$D$41*$D33))))),0)</f>
        <v>0</v>
      </c>
      <c r="R33" s="70">
        <f>IFERROR(IF(R$4="",0,IF($E33="kWh",VLOOKUP(R$4,'4. Billing Determinants'!$B$19:$P$41,4,0)/'4. Billing Determinants'!$E$41*$D33,IF($E33="kW",VLOOKUP(R$4,'4. Billing Determinants'!$B$19:$P$41,5,0)/'4. Billing Determinants'!$F$41*$D33,IF($E33="Non-RPP kWh",VLOOKUP(R$4,'4. Billing Determinants'!$B$19:$P$41,6,0)/'4. Billing Determinants'!$G$41*$D33,IF($E33="Distribution Rev.",VLOOKUP(R$4,'4. Billing Determinants'!$B$19:$P$41,8,0)/'4. Billing Determinants'!$I$41*$D33, VLOOKUP(R$4,'4. Billing Determinants'!$B$19:$P$41,3,0)/'4. Billing Determinants'!$D$41*$D33))))),0)</f>
        <v>0</v>
      </c>
      <c r="S33" s="70">
        <f>IFERROR(IF(S$4="",0,IF($E33="kWh",VLOOKUP(S$4,'4. Billing Determinants'!$B$19:$P$41,4,0)/'4. Billing Determinants'!$E$41*$D33,IF($E33="kW",VLOOKUP(S$4,'4. Billing Determinants'!$B$19:$P$41,5,0)/'4. Billing Determinants'!$F$41*$D33,IF($E33="Non-RPP kWh",VLOOKUP(S$4,'4. Billing Determinants'!$B$19:$P$41,6,0)/'4. Billing Determinants'!$G$41*$D33,IF($E33="Distribution Rev.",VLOOKUP(S$4,'4. Billing Determinants'!$B$19:$P$41,8,0)/'4. Billing Determinants'!$I$41*$D33, VLOOKUP(S$4,'4. Billing Determinants'!$B$19:$P$41,3,0)/'4. Billing Determinants'!$D$41*$D33))))),0)</f>
        <v>0</v>
      </c>
      <c r="T33" s="70">
        <f>IFERROR(IF(T$4="",0,IF($E33="kWh",VLOOKUP(T$4,'4. Billing Determinants'!$B$19:$P$41,4,0)/'4. Billing Determinants'!$E$41*$D33,IF($E33="kW",VLOOKUP(T$4,'4. Billing Determinants'!$B$19:$P$41,5,0)/'4. Billing Determinants'!$F$41*$D33,IF($E33="Non-RPP kWh",VLOOKUP(T$4,'4. Billing Determinants'!$B$19:$P$41,6,0)/'4. Billing Determinants'!$G$41*$D33,IF($E33="Distribution Rev.",VLOOKUP(T$4,'4. Billing Determinants'!$B$19:$P$41,8,0)/'4. Billing Determinants'!$I$41*$D33, VLOOKUP(T$4,'4. Billing Determinants'!$B$19:$P$41,3,0)/'4. Billing Determinants'!$D$41*$D33))))),0)</f>
        <v>0</v>
      </c>
      <c r="U33" s="70">
        <f>IFERROR(IF(U$4="",0,IF($E33="kWh",VLOOKUP(U$4,'4. Billing Determinants'!$B$19:$P$41,4,0)/'4. Billing Determinants'!$E$41*$D33,IF($E33="kW",VLOOKUP(U$4,'4. Billing Determinants'!$B$19:$P$41,5,0)/'4. Billing Determinants'!$F$41*$D33,IF($E33="Non-RPP kWh",VLOOKUP(U$4,'4. Billing Determinants'!$B$19:$P$41,6,0)/'4. Billing Determinants'!$G$41*$D33,IF($E33="Distribution Rev.",VLOOKUP(U$4,'4. Billing Determinants'!$B$19:$P$41,8,0)/'4. Billing Determinants'!$I$41*$D33, VLOOKUP(U$4,'4. Billing Determinants'!$B$19:$P$41,3,0)/'4. Billing Determinants'!$D$41*$D33))))),0)</f>
        <v>0</v>
      </c>
      <c r="V33" s="70">
        <f>IFERROR(IF(V$4="",0,IF($E33="kWh",VLOOKUP(V$4,'4. Billing Determinants'!$B$19:$P$41,4,0)/'4. Billing Determinants'!$E$41*$D33,IF($E33="kW",VLOOKUP(V$4,'4. Billing Determinants'!$B$19:$P$41,5,0)/'4. Billing Determinants'!$F$41*$D33,IF($E33="Non-RPP kWh",VLOOKUP(V$4,'4. Billing Determinants'!$B$19:$P$41,6,0)/'4. Billing Determinants'!$G$41*$D33,IF($E33="Distribution Rev.",VLOOKUP(V$4,'4. Billing Determinants'!$B$19:$P$41,8,0)/'4. Billing Determinants'!$I$41*$D33, VLOOKUP(V$4,'4. Billing Determinants'!$B$19:$P$41,3,0)/'4. Billing Determinants'!$D$41*$D33))))),0)</f>
        <v>0</v>
      </c>
      <c r="W33" s="70">
        <f>IFERROR(IF(W$4="",0,IF($E33="kWh",VLOOKUP(W$4,'4. Billing Determinants'!$B$19:$P$41,4,0)/'4. Billing Determinants'!$E$41*$D33,IF($E33="kW",VLOOKUP(W$4,'4. Billing Determinants'!$B$19:$P$41,5,0)/'4. Billing Determinants'!$F$41*$D33,IF($E33="Non-RPP kWh",VLOOKUP(W$4,'4. Billing Determinants'!$B$19:$P$41,6,0)/'4. Billing Determinants'!$G$41*$D33,IF($E33="Distribution Rev.",VLOOKUP(W$4,'4. Billing Determinants'!$B$19:$P$41,8,0)/'4. Billing Determinants'!$I$41*$D33, VLOOKUP(W$4,'4. Billing Determinants'!$B$19:$P$41,3,0)/'4. Billing Determinants'!$D$41*$D33))))),0)</f>
        <v>0</v>
      </c>
      <c r="X33" s="70">
        <f>IFERROR(IF(X$4="",0,IF($E33="kWh",VLOOKUP(X$4,'4. Billing Determinants'!$B$19:$P$41,4,0)/'4. Billing Determinants'!$E$41*$D33,IF($E33="kW",VLOOKUP(X$4,'4. Billing Determinants'!$B$19:$P$41,5,0)/'4. Billing Determinants'!$F$41*$D33,IF($E33="Non-RPP kWh",VLOOKUP(X$4,'4. Billing Determinants'!$B$19:$P$41,6,0)/'4. Billing Determinants'!$G$41*$D33,IF($E33="Distribution Rev.",VLOOKUP(X$4,'4. Billing Determinants'!$B$19:$P$41,8,0)/'4. Billing Determinants'!$I$41*$D33, VLOOKUP(X$4,'4. Billing Determinants'!$B$19:$P$41,3,0)/'4. Billing Determinants'!$D$41*$D33))))),0)</f>
        <v>0</v>
      </c>
      <c r="Y33" s="70">
        <f>IFERROR(IF(Y$4="",0,IF($E33="kWh",VLOOKUP(Y$4,'4. Billing Determinants'!$B$19:$P$41,4,0)/'4. Billing Determinants'!$E$41*$D33,IF($E33="kW",VLOOKUP(Y$4,'4. Billing Determinants'!$B$19:$P$41,5,0)/'4. Billing Determinants'!$F$41*$D33,IF($E33="Non-RPP kWh",VLOOKUP(Y$4,'4. Billing Determinants'!$B$19:$P$41,6,0)/'4. Billing Determinants'!$G$41*$D33,IF($E33="Distribution Rev.",VLOOKUP(Y$4,'4. Billing Determinants'!$B$19:$P$41,8,0)/'4. Billing Determinants'!$I$41*$D33, VLOOKUP(Y$4,'4. Billing Determinants'!$B$19:$P$41,3,0)/'4. Billing Determinants'!$D$41*$D33))))),0)</f>
        <v>0</v>
      </c>
    </row>
    <row r="34" spans="1:25" x14ac:dyDescent="0.2">
      <c r="B34" s="68" t="s">
        <v>10</v>
      </c>
      <c r="C34" s="69">
        <v>1572</v>
      </c>
      <c r="D34" s="70">
        <f>'2. 2014 Continuity Schedule'!BO57</f>
        <v>0</v>
      </c>
      <c r="E34" s="130"/>
      <c r="F34" s="70">
        <f>IFERROR(IF(F$4="",0,IF($E34="kWh",VLOOKUP(F$4,'4. Billing Determinants'!$B$19:$P$41,4,0)/'4. Billing Determinants'!$E$41*$D34,IF($E34="kW",VLOOKUP(F$4,'4. Billing Determinants'!$B$19:$P$41,5,0)/'4. Billing Determinants'!$F$41*$D34,IF($E34="Non-RPP kWh",VLOOKUP(F$4,'4. Billing Determinants'!$B$19:$P$41,6,0)/'4. Billing Determinants'!$G$41*$D34,IF($E34="Distribution Rev.",VLOOKUP(F$4,'4. Billing Determinants'!$B$19:$P$41,8,0)/'4. Billing Determinants'!$I$41*$D34, VLOOKUP(F$4,'4. Billing Determinants'!$B$19:$P$41,3,0)/'4. Billing Determinants'!$D$41*$D34))))),0)</f>
        <v>0</v>
      </c>
      <c r="G34" s="70">
        <f>IFERROR(IF(G$4="",0,IF($E34="kWh",VLOOKUP(G$4,'4. Billing Determinants'!$B$19:$P$41,4,0)/'4. Billing Determinants'!$E$41*$D34,IF($E34="kW",VLOOKUP(G$4,'4. Billing Determinants'!$B$19:$P$41,5,0)/'4. Billing Determinants'!$F$41*$D34,IF($E34="Non-RPP kWh",VLOOKUP(G$4,'4. Billing Determinants'!$B$19:$P$41,6,0)/'4. Billing Determinants'!$G$41*$D34,IF($E34="Distribution Rev.",VLOOKUP(G$4,'4. Billing Determinants'!$B$19:$P$41,8,0)/'4. Billing Determinants'!$I$41*$D34, VLOOKUP(G$4,'4. Billing Determinants'!$B$19:$P$41,3,0)/'4. Billing Determinants'!$D$41*$D34))))),0)</f>
        <v>0</v>
      </c>
      <c r="H34" s="70">
        <f>IFERROR(IF(H$4="",0,IF($E34="kWh",VLOOKUP(H$4,'4. Billing Determinants'!$B$19:$P$41,4,0)/'4. Billing Determinants'!$E$41*$D34,IF($E34="kW",VLOOKUP(H$4,'4. Billing Determinants'!$B$19:$P$41,5,0)/'4. Billing Determinants'!$F$41*$D34,IF($E34="Non-RPP kWh",VLOOKUP(H$4,'4. Billing Determinants'!$B$19:$P$41,6,0)/'4. Billing Determinants'!$G$41*$D34,IF($E34="Distribution Rev.",VLOOKUP(H$4,'4. Billing Determinants'!$B$19:$P$41,8,0)/'4. Billing Determinants'!$I$41*$D34, VLOOKUP(H$4,'4. Billing Determinants'!$B$19:$P$41,3,0)/'4. Billing Determinants'!$D$41*$D34))))),0)</f>
        <v>0</v>
      </c>
      <c r="I34" s="70">
        <f>IFERROR(IF(I$4="",0,IF($E34="kWh",VLOOKUP(I$4,'4. Billing Determinants'!$B$19:$P$41,4,0)/'4. Billing Determinants'!$E$41*$D34,IF($E34="kW",VLOOKUP(I$4,'4. Billing Determinants'!$B$19:$P$41,5,0)/'4. Billing Determinants'!$F$41*$D34,IF($E34="Non-RPP kWh",VLOOKUP(I$4,'4. Billing Determinants'!$B$19:$P$41,6,0)/'4. Billing Determinants'!$G$41*$D34,IF($E34="Distribution Rev.",VLOOKUP(I$4,'4. Billing Determinants'!$B$19:$P$41,8,0)/'4. Billing Determinants'!$I$41*$D34, VLOOKUP(I$4,'4. Billing Determinants'!$B$19:$P$41,3,0)/'4. Billing Determinants'!$D$41*$D34))))),0)</f>
        <v>0</v>
      </c>
      <c r="J34" s="70">
        <f>IFERROR(IF(J$4="",0,IF($E34="kWh",VLOOKUP(J$4,'4. Billing Determinants'!$B$19:$P$41,4,0)/'4. Billing Determinants'!$E$41*$D34,IF($E34="kW",VLOOKUP(J$4,'4. Billing Determinants'!$B$19:$P$41,5,0)/'4. Billing Determinants'!$F$41*$D34,IF($E34="Non-RPP kWh",VLOOKUP(J$4,'4. Billing Determinants'!$B$19:$P$41,6,0)/'4. Billing Determinants'!$G$41*$D34,IF($E34="Distribution Rev.",VLOOKUP(J$4,'4. Billing Determinants'!$B$19:$P$41,8,0)/'4. Billing Determinants'!$I$41*$D34, VLOOKUP(J$4,'4. Billing Determinants'!$B$19:$P$41,3,0)/'4. Billing Determinants'!$D$41*$D34))))),0)</f>
        <v>0</v>
      </c>
      <c r="K34" s="70">
        <f>IFERROR(IF(K$4="",0,IF($E34="kWh",VLOOKUP(K$4,'4. Billing Determinants'!$B$19:$P$41,4,0)/'4. Billing Determinants'!$E$41*$D34,IF($E34="kW",VLOOKUP(K$4,'4. Billing Determinants'!$B$19:$P$41,5,0)/'4. Billing Determinants'!$F$41*$D34,IF($E34="Non-RPP kWh",VLOOKUP(K$4,'4. Billing Determinants'!$B$19:$P$41,6,0)/'4. Billing Determinants'!$G$41*$D34,IF($E34="Distribution Rev.",VLOOKUP(K$4,'4. Billing Determinants'!$B$19:$P$41,8,0)/'4. Billing Determinants'!$I$41*$D34, VLOOKUP(K$4,'4. Billing Determinants'!$B$19:$P$41,3,0)/'4. Billing Determinants'!$D$41*$D34))))),0)</f>
        <v>0</v>
      </c>
      <c r="L34" s="70">
        <f>IFERROR(IF(L$4="",0,IF($E34="kWh",VLOOKUP(L$4,'4. Billing Determinants'!$B$19:$P$41,4,0)/'4. Billing Determinants'!$E$41*$D34,IF($E34="kW",VLOOKUP(L$4,'4. Billing Determinants'!$B$19:$P$41,5,0)/'4. Billing Determinants'!$F$41*$D34,IF($E34="Non-RPP kWh",VLOOKUP(L$4,'4. Billing Determinants'!$B$19:$P$41,6,0)/'4. Billing Determinants'!$G$41*$D34,IF($E34="Distribution Rev.",VLOOKUP(L$4,'4. Billing Determinants'!$B$19:$P$41,8,0)/'4. Billing Determinants'!$I$41*$D34, VLOOKUP(L$4,'4. Billing Determinants'!$B$19:$P$41,3,0)/'4. Billing Determinants'!$D$41*$D34))))),0)</f>
        <v>0</v>
      </c>
      <c r="M34" s="70">
        <f>IFERROR(IF(M$4="",0,IF($E34="kWh",VLOOKUP(M$4,'4. Billing Determinants'!$B$19:$P$41,4,0)/'4. Billing Determinants'!$E$41*$D34,IF($E34="kW",VLOOKUP(M$4,'4. Billing Determinants'!$B$19:$P$41,5,0)/'4. Billing Determinants'!$F$41*$D34,IF($E34="Non-RPP kWh",VLOOKUP(M$4,'4. Billing Determinants'!$B$19:$P$41,6,0)/'4. Billing Determinants'!$G$41*$D34,IF($E34="Distribution Rev.",VLOOKUP(M$4,'4. Billing Determinants'!$B$19:$P$41,8,0)/'4. Billing Determinants'!$I$41*$D34, VLOOKUP(M$4,'4. Billing Determinants'!$B$19:$P$41,3,0)/'4. Billing Determinants'!$D$41*$D34))))),0)</f>
        <v>0</v>
      </c>
      <c r="N34" s="70">
        <f>IFERROR(IF(N$4="",0,IF($E34="kWh",VLOOKUP(N$4,'4. Billing Determinants'!$B$19:$P$41,4,0)/'4. Billing Determinants'!$E$41*$D34,IF($E34="kW",VLOOKUP(N$4,'4. Billing Determinants'!$B$19:$P$41,5,0)/'4. Billing Determinants'!$F$41*$D34,IF($E34="Non-RPP kWh",VLOOKUP(N$4,'4. Billing Determinants'!$B$19:$P$41,6,0)/'4. Billing Determinants'!$G$41*$D34,IF($E34="Distribution Rev.",VLOOKUP(N$4,'4. Billing Determinants'!$B$19:$P$41,8,0)/'4. Billing Determinants'!$I$41*$D34, VLOOKUP(N$4,'4. Billing Determinants'!$B$19:$P$41,3,0)/'4. Billing Determinants'!$D$41*$D34))))),0)</f>
        <v>0</v>
      </c>
      <c r="O34" s="70">
        <f>IFERROR(IF(O$4="",0,IF($E34="kWh",VLOOKUP(O$4,'4. Billing Determinants'!$B$19:$P$41,4,0)/'4. Billing Determinants'!$E$41*$D34,IF($E34="kW",VLOOKUP(O$4,'4. Billing Determinants'!$B$19:$P$41,5,0)/'4. Billing Determinants'!$F$41*$D34,IF($E34="Non-RPP kWh",VLOOKUP(O$4,'4. Billing Determinants'!$B$19:$P$41,6,0)/'4. Billing Determinants'!$G$41*$D34,IF($E34="Distribution Rev.",VLOOKUP(O$4,'4. Billing Determinants'!$B$19:$P$41,8,0)/'4. Billing Determinants'!$I$41*$D34, VLOOKUP(O$4,'4. Billing Determinants'!$B$19:$P$41,3,0)/'4. Billing Determinants'!$D$41*$D34))))),0)</f>
        <v>0</v>
      </c>
      <c r="P34" s="70">
        <f>IFERROR(IF(P$4="",0,IF($E34="kWh",VLOOKUP(P$4,'4. Billing Determinants'!$B$19:$P$41,4,0)/'4. Billing Determinants'!$E$41*$D34,IF($E34="kW",VLOOKUP(P$4,'4. Billing Determinants'!$B$19:$P$41,5,0)/'4. Billing Determinants'!$F$41*$D34,IF($E34="Non-RPP kWh",VLOOKUP(P$4,'4. Billing Determinants'!$B$19:$P$41,6,0)/'4. Billing Determinants'!$G$41*$D34,IF($E34="Distribution Rev.",VLOOKUP(P$4,'4. Billing Determinants'!$B$19:$P$41,8,0)/'4. Billing Determinants'!$I$41*$D34, VLOOKUP(P$4,'4. Billing Determinants'!$B$19:$P$41,3,0)/'4. Billing Determinants'!$D$41*$D34))))),0)</f>
        <v>0</v>
      </c>
      <c r="Q34" s="70">
        <f>IFERROR(IF(Q$4="",0,IF($E34="kWh",VLOOKUP(Q$4,'4. Billing Determinants'!$B$19:$P$41,4,0)/'4. Billing Determinants'!$E$41*$D34,IF($E34="kW",VLOOKUP(Q$4,'4. Billing Determinants'!$B$19:$P$41,5,0)/'4. Billing Determinants'!$F$41*$D34,IF($E34="Non-RPP kWh",VLOOKUP(Q$4,'4. Billing Determinants'!$B$19:$P$41,6,0)/'4. Billing Determinants'!$G$41*$D34,IF($E34="Distribution Rev.",VLOOKUP(Q$4,'4. Billing Determinants'!$B$19:$P$41,8,0)/'4. Billing Determinants'!$I$41*$D34, VLOOKUP(Q$4,'4. Billing Determinants'!$B$19:$P$41,3,0)/'4. Billing Determinants'!$D$41*$D34))))),0)</f>
        <v>0</v>
      </c>
      <c r="R34" s="70">
        <f>IFERROR(IF(R$4="",0,IF($E34="kWh",VLOOKUP(R$4,'4. Billing Determinants'!$B$19:$P$41,4,0)/'4. Billing Determinants'!$E$41*$D34,IF($E34="kW",VLOOKUP(R$4,'4. Billing Determinants'!$B$19:$P$41,5,0)/'4. Billing Determinants'!$F$41*$D34,IF($E34="Non-RPP kWh",VLOOKUP(R$4,'4. Billing Determinants'!$B$19:$P$41,6,0)/'4. Billing Determinants'!$G$41*$D34,IF($E34="Distribution Rev.",VLOOKUP(R$4,'4. Billing Determinants'!$B$19:$P$41,8,0)/'4. Billing Determinants'!$I$41*$D34, VLOOKUP(R$4,'4. Billing Determinants'!$B$19:$P$41,3,0)/'4. Billing Determinants'!$D$41*$D34))))),0)</f>
        <v>0</v>
      </c>
      <c r="S34" s="70">
        <f>IFERROR(IF(S$4="",0,IF($E34="kWh",VLOOKUP(S$4,'4. Billing Determinants'!$B$19:$P$41,4,0)/'4. Billing Determinants'!$E$41*$D34,IF($E34="kW",VLOOKUP(S$4,'4. Billing Determinants'!$B$19:$P$41,5,0)/'4. Billing Determinants'!$F$41*$D34,IF($E34="Non-RPP kWh",VLOOKUP(S$4,'4. Billing Determinants'!$B$19:$P$41,6,0)/'4. Billing Determinants'!$G$41*$D34,IF($E34="Distribution Rev.",VLOOKUP(S$4,'4. Billing Determinants'!$B$19:$P$41,8,0)/'4. Billing Determinants'!$I$41*$D34, VLOOKUP(S$4,'4. Billing Determinants'!$B$19:$P$41,3,0)/'4. Billing Determinants'!$D$41*$D34))))),0)</f>
        <v>0</v>
      </c>
      <c r="T34" s="70">
        <f>IFERROR(IF(T$4="",0,IF($E34="kWh",VLOOKUP(T$4,'4. Billing Determinants'!$B$19:$P$41,4,0)/'4. Billing Determinants'!$E$41*$D34,IF($E34="kW",VLOOKUP(T$4,'4. Billing Determinants'!$B$19:$P$41,5,0)/'4. Billing Determinants'!$F$41*$D34,IF($E34="Non-RPP kWh",VLOOKUP(T$4,'4. Billing Determinants'!$B$19:$P$41,6,0)/'4. Billing Determinants'!$G$41*$D34,IF($E34="Distribution Rev.",VLOOKUP(T$4,'4. Billing Determinants'!$B$19:$P$41,8,0)/'4. Billing Determinants'!$I$41*$D34, VLOOKUP(T$4,'4. Billing Determinants'!$B$19:$P$41,3,0)/'4. Billing Determinants'!$D$41*$D34))))),0)</f>
        <v>0</v>
      </c>
      <c r="U34" s="70">
        <f>IFERROR(IF(U$4="",0,IF($E34="kWh",VLOOKUP(U$4,'4. Billing Determinants'!$B$19:$P$41,4,0)/'4. Billing Determinants'!$E$41*$D34,IF($E34="kW",VLOOKUP(U$4,'4. Billing Determinants'!$B$19:$P$41,5,0)/'4. Billing Determinants'!$F$41*$D34,IF($E34="Non-RPP kWh",VLOOKUP(U$4,'4. Billing Determinants'!$B$19:$P$41,6,0)/'4. Billing Determinants'!$G$41*$D34,IF($E34="Distribution Rev.",VLOOKUP(U$4,'4. Billing Determinants'!$B$19:$P$41,8,0)/'4. Billing Determinants'!$I$41*$D34, VLOOKUP(U$4,'4. Billing Determinants'!$B$19:$P$41,3,0)/'4. Billing Determinants'!$D$41*$D34))))),0)</f>
        <v>0</v>
      </c>
      <c r="V34" s="70">
        <f>IFERROR(IF(V$4="",0,IF($E34="kWh",VLOOKUP(V$4,'4. Billing Determinants'!$B$19:$P$41,4,0)/'4. Billing Determinants'!$E$41*$D34,IF($E34="kW",VLOOKUP(V$4,'4. Billing Determinants'!$B$19:$P$41,5,0)/'4. Billing Determinants'!$F$41*$D34,IF($E34="Non-RPP kWh",VLOOKUP(V$4,'4. Billing Determinants'!$B$19:$P$41,6,0)/'4. Billing Determinants'!$G$41*$D34,IF($E34="Distribution Rev.",VLOOKUP(V$4,'4. Billing Determinants'!$B$19:$P$41,8,0)/'4. Billing Determinants'!$I$41*$D34, VLOOKUP(V$4,'4. Billing Determinants'!$B$19:$P$41,3,0)/'4. Billing Determinants'!$D$41*$D34))))),0)</f>
        <v>0</v>
      </c>
      <c r="W34" s="70">
        <f>IFERROR(IF(W$4="",0,IF($E34="kWh",VLOOKUP(W$4,'4. Billing Determinants'!$B$19:$P$41,4,0)/'4. Billing Determinants'!$E$41*$D34,IF($E34="kW",VLOOKUP(W$4,'4. Billing Determinants'!$B$19:$P$41,5,0)/'4. Billing Determinants'!$F$41*$D34,IF($E34="Non-RPP kWh",VLOOKUP(W$4,'4. Billing Determinants'!$B$19:$P$41,6,0)/'4. Billing Determinants'!$G$41*$D34,IF($E34="Distribution Rev.",VLOOKUP(W$4,'4. Billing Determinants'!$B$19:$P$41,8,0)/'4. Billing Determinants'!$I$41*$D34, VLOOKUP(W$4,'4. Billing Determinants'!$B$19:$P$41,3,0)/'4. Billing Determinants'!$D$41*$D34))))),0)</f>
        <v>0</v>
      </c>
      <c r="X34" s="70">
        <f>IFERROR(IF(X$4="",0,IF($E34="kWh",VLOOKUP(X$4,'4. Billing Determinants'!$B$19:$P$41,4,0)/'4. Billing Determinants'!$E$41*$D34,IF($E34="kW",VLOOKUP(X$4,'4. Billing Determinants'!$B$19:$P$41,5,0)/'4. Billing Determinants'!$F$41*$D34,IF($E34="Non-RPP kWh",VLOOKUP(X$4,'4. Billing Determinants'!$B$19:$P$41,6,0)/'4. Billing Determinants'!$G$41*$D34,IF($E34="Distribution Rev.",VLOOKUP(X$4,'4. Billing Determinants'!$B$19:$P$41,8,0)/'4. Billing Determinants'!$I$41*$D34, VLOOKUP(X$4,'4. Billing Determinants'!$B$19:$P$41,3,0)/'4. Billing Determinants'!$D$41*$D34))))),0)</f>
        <v>0</v>
      </c>
      <c r="Y34" s="70">
        <f>IFERROR(IF(Y$4="",0,IF($E34="kWh",VLOOKUP(Y$4,'4. Billing Determinants'!$B$19:$P$41,4,0)/'4. Billing Determinants'!$E$41*$D34,IF($E34="kW",VLOOKUP(Y$4,'4. Billing Determinants'!$B$19:$P$41,5,0)/'4. Billing Determinants'!$F$41*$D34,IF($E34="Non-RPP kWh",VLOOKUP(Y$4,'4. Billing Determinants'!$B$19:$P$41,6,0)/'4. Billing Determinants'!$G$41*$D34,IF($E34="Distribution Rev.",VLOOKUP(Y$4,'4. Billing Determinants'!$B$19:$P$41,8,0)/'4. Billing Determinants'!$I$41*$D34, VLOOKUP(Y$4,'4. Billing Determinants'!$B$19:$P$41,3,0)/'4. Billing Determinants'!$D$41*$D34))))),0)</f>
        <v>0</v>
      </c>
    </row>
    <row r="35" spans="1:25" x14ac:dyDescent="0.2">
      <c r="B35" s="68" t="s">
        <v>6</v>
      </c>
      <c r="C35" s="69">
        <v>1574</v>
      </c>
      <c r="D35" s="70">
        <f>'2. 2014 Continuity Schedule'!BO58</f>
        <v>0</v>
      </c>
      <c r="E35" s="130"/>
      <c r="F35" s="70">
        <f>IFERROR(IF(F$4="",0,IF($E35="kWh",VLOOKUP(F$4,'4. Billing Determinants'!$B$19:$P$41,4,0)/'4. Billing Determinants'!$E$41*$D35,IF($E35="kW",VLOOKUP(F$4,'4. Billing Determinants'!$B$19:$P$41,5,0)/'4. Billing Determinants'!$F$41*$D35,IF($E35="Non-RPP kWh",VLOOKUP(F$4,'4. Billing Determinants'!$B$19:$P$41,6,0)/'4. Billing Determinants'!$G$41*$D35,IF($E35="Distribution Rev.",VLOOKUP(F$4,'4. Billing Determinants'!$B$19:$P$41,8,0)/'4. Billing Determinants'!$I$41*$D35, VLOOKUP(F$4,'4. Billing Determinants'!$B$19:$P$41,3,0)/'4. Billing Determinants'!$D$41*$D35))))),0)</f>
        <v>0</v>
      </c>
      <c r="G35" s="70">
        <f>IFERROR(IF(G$4="",0,IF($E35="kWh",VLOOKUP(G$4,'4. Billing Determinants'!$B$19:$P$41,4,0)/'4. Billing Determinants'!$E$41*$D35,IF($E35="kW",VLOOKUP(G$4,'4. Billing Determinants'!$B$19:$P$41,5,0)/'4. Billing Determinants'!$F$41*$D35,IF($E35="Non-RPP kWh",VLOOKUP(G$4,'4. Billing Determinants'!$B$19:$P$41,6,0)/'4. Billing Determinants'!$G$41*$D35,IF($E35="Distribution Rev.",VLOOKUP(G$4,'4. Billing Determinants'!$B$19:$P$41,8,0)/'4. Billing Determinants'!$I$41*$D35, VLOOKUP(G$4,'4. Billing Determinants'!$B$19:$P$41,3,0)/'4. Billing Determinants'!$D$41*$D35))))),0)</f>
        <v>0</v>
      </c>
      <c r="H35" s="70">
        <f>IFERROR(IF(H$4="",0,IF($E35="kWh",VLOOKUP(H$4,'4. Billing Determinants'!$B$19:$P$41,4,0)/'4. Billing Determinants'!$E$41*$D35,IF($E35="kW",VLOOKUP(H$4,'4. Billing Determinants'!$B$19:$P$41,5,0)/'4. Billing Determinants'!$F$41*$D35,IF($E35="Non-RPP kWh",VLOOKUP(H$4,'4. Billing Determinants'!$B$19:$P$41,6,0)/'4. Billing Determinants'!$G$41*$D35,IF($E35="Distribution Rev.",VLOOKUP(H$4,'4. Billing Determinants'!$B$19:$P$41,8,0)/'4. Billing Determinants'!$I$41*$D35, VLOOKUP(H$4,'4. Billing Determinants'!$B$19:$P$41,3,0)/'4. Billing Determinants'!$D$41*$D35))))),0)</f>
        <v>0</v>
      </c>
      <c r="I35" s="70">
        <f>IFERROR(IF(I$4="",0,IF($E35="kWh",VLOOKUP(I$4,'4. Billing Determinants'!$B$19:$P$41,4,0)/'4. Billing Determinants'!$E$41*$D35,IF($E35="kW",VLOOKUP(I$4,'4. Billing Determinants'!$B$19:$P$41,5,0)/'4. Billing Determinants'!$F$41*$D35,IF($E35="Non-RPP kWh",VLOOKUP(I$4,'4. Billing Determinants'!$B$19:$P$41,6,0)/'4. Billing Determinants'!$G$41*$D35,IF($E35="Distribution Rev.",VLOOKUP(I$4,'4. Billing Determinants'!$B$19:$P$41,8,0)/'4. Billing Determinants'!$I$41*$D35, VLOOKUP(I$4,'4. Billing Determinants'!$B$19:$P$41,3,0)/'4. Billing Determinants'!$D$41*$D35))))),0)</f>
        <v>0</v>
      </c>
      <c r="J35" s="70">
        <f>IFERROR(IF(J$4="",0,IF($E35="kWh",VLOOKUP(J$4,'4. Billing Determinants'!$B$19:$P$41,4,0)/'4. Billing Determinants'!$E$41*$D35,IF($E35="kW",VLOOKUP(J$4,'4. Billing Determinants'!$B$19:$P$41,5,0)/'4. Billing Determinants'!$F$41*$D35,IF($E35="Non-RPP kWh",VLOOKUP(J$4,'4. Billing Determinants'!$B$19:$P$41,6,0)/'4. Billing Determinants'!$G$41*$D35,IF($E35="Distribution Rev.",VLOOKUP(J$4,'4. Billing Determinants'!$B$19:$P$41,8,0)/'4. Billing Determinants'!$I$41*$D35, VLOOKUP(J$4,'4. Billing Determinants'!$B$19:$P$41,3,0)/'4. Billing Determinants'!$D$41*$D35))))),0)</f>
        <v>0</v>
      </c>
      <c r="K35" s="70">
        <f>IFERROR(IF(K$4="",0,IF($E35="kWh",VLOOKUP(K$4,'4. Billing Determinants'!$B$19:$P$41,4,0)/'4. Billing Determinants'!$E$41*$D35,IF($E35="kW",VLOOKUP(K$4,'4. Billing Determinants'!$B$19:$P$41,5,0)/'4. Billing Determinants'!$F$41*$D35,IF($E35="Non-RPP kWh",VLOOKUP(K$4,'4. Billing Determinants'!$B$19:$P$41,6,0)/'4. Billing Determinants'!$G$41*$D35,IF($E35="Distribution Rev.",VLOOKUP(K$4,'4. Billing Determinants'!$B$19:$P$41,8,0)/'4. Billing Determinants'!$I$41*$D35, VLOOKUP(K$4,'4. Billing Determinants'!$B$19:$P$41,3,0)/'4. Billing Determinants'!$D$41*$D35))))),0)</f>
        <v>0</v>
      </c>
      <c r="L35" s="70">
        <f>IFERROR(IF(L$4="",0,IF($E35="kWh",VLOOKUP(L$4,'4. Billing Determinants'!$B$19:$P$41,4,0)/'4. Billing Determinants'!$E$41*$D35,IF($E35="kW",VLOOKUP(L$4,'4. Billing Determinants'!$B$19:$P$41,5,0)/'4. Billing Determinants'!$F$41*$D35,IF($E35="Non-RPP kWh",VLOOKUP(L$4,'4. Billing Determinants'!$B$19:$P$41,6,0)/'4. Billing Determinants'!$G$41*$D35,IF($E35="Distribution Rev.",VLOOKUP(L$4,'4. Billing Determinants'!$B$19:$P$41,8,0)/'4. Billing Determinants'!$I$41*$D35, VLOOKUP(L$4,'4. Billing Determinants'!$B$19:$P$41,3,0)/'4. Billing Determinants'!$D$41*$D35))))),0)</f>
        <v>0</v>
      </c>
      <c r="M35" s="70">
        <f>IFERROR(IF(M$4="",0,IF($E35="kWh",VLOOKUP(M$4,'4. Billing Determinants'!$B$19:$P$41,4,0)/'4. Billing Determinants'!$E$41*$D35,IF($E35="kW",VLOOKUP(M$4,'4. Billing Determinants'!$B$19:$P$41,5,0)/'4. Billing Determinants'!$F$41*$D35,IF($E35="Non-RPP kWh",VLOOKUP(M$4,'4. Billing Determinants'!$B$19:$P$41,6,0)/'4. Billing Determinants'!$G$41*$D35,IF($E35="Distribution Rev.",VLOOKUP(M$4,'4. Billing Determinants'!$B$19:$P$41,8,0)/'4. Billing Determinants'!$I$41*$D35, VLOOKUP(M$4,'4. Billing Determinants'!$B$19:$P$41,3,0)/'4. Billing Determinants'!$D$41*$D35))))),0)</f>
        <v>0</v>
      </c>
      <c r="N35" s="70">
        <f>IFERROR(IF(N$4="",0,IF($E35="kWh",VLOOKUP(N$4,'4. Billing Determinants'!$B$19:$P$41,4,0)/'4. Billing Determinants'!$E$41*$D35,IF($E35="kW",VLOOKUP(N$4,'4. Billing Determinants'!$B$19:$P$41,5,0)/'4. Billing Determinants'!$F$41*$D35,IF($E35="Non-RPP kWh",VLOOKUP(N$4,'4. Billing Determinants'!$B$19:$P$41,6,0)/'4. Billing Determinants'!$G$41*$D35,IF($E35="Distribution Rev.",VLOOKUP(N$4,'4. Billing Determinants'!$B$19:$P$41,8,0)/'4. Billing Determinants'!$I$41*$D35, VLOOKUP(N$4,'4. Billing Determinants'!$B$19:$P$41,3,0)/'4. Billing Determinants'!$D$41*$D35))))),0)</f>
        <v>0</v>
      </c>
      <c r="O35" s="70">
        <f>IFERROR(IF(O$4="",0,IF($E35="kWh",VLOOKUP(O$4,'4. Billing Determinants'!$B$19:$P$41,4,0)/'4. Billing Determinants'!$E$41*$D35,IF($E35="kW",VLOOKUP(O$4,'4. Billing Determinants'!$B$19:$P$41,5,0)/'4. Billing Determinants'!$F$41*$D35,IF($E35="Non-RPP kWh",VLOOKUP(O$4,'4. Billing Determinants'!$B$19:$P$41,6,0)/'4. Billing Determinants'!$G$41*$D35,IF($E35="Distribution Rev.",VLOOKUP(O$4,'4. Billing Determinants'!$B$19:$P$41,8,0)/'4. Billing Determinants'!$I$41*$D35, VLOOKUP(O$4,'4. Billing Determinants'!$B$19:$P$41,3,0)/'4. Billing Determinants'!$D$41*$D35))))),0)</f>
        <v>0</v>
      </c>
      <c r="P35" s="70">
        <f>IFERROR(IF(P$4="",0,IF($E35="kWh",VLOOKUP(P$4,'4. Billing Determinants'!$B$19:$P$41,4,0)/'4. Billing Determinants'!$E$41*$D35,IF($E35="kW",VLOOKUP(P$4,'4. Billing Determinants'!$B$19:$P$41,5,0)/'4. Billing Determinants'!$F$41*$D35,IF($E35="Non-RPP kWh",VLOOKUP(P$4,'4. Billing Determinants'!$B$19:$P$41,6,0)/'4. Billing Determinants'!$G$41*$D35,IF($E35="Distribution Rev.",VLOOKUP(P$4,'4. Billing Determinants'!$B$19:$P$41,8,0)/'4. Billing Determinants'!$I$41*$D35, VLOOKUP(P$4,'4. Billing Determinants'!$B$19:$P$41,3,0)/'4. Billing Determinants'!$D$41*$D35))))),0)</f>
        <v>0</v>
      </c>
      <c r="Q35" s="70">
        <f>IFERROR(IF(Q$4="",0,IF($E35="kWh",VLOOKUP(Q$4,'4. Billing Determinants'!$B$19:$P$41,4,0)/'4. Billing Determinants'!$E$41*$D35,IF($E35="kW",VLOOKUP(Q$4,'4. Billing Determinants'!$B$19:$P$41,5,0)/'4. Billing Determinants'!$F$41*$D35,IF($E35="Non-RPP kWh",VLOOKUP(Q$4,'4. Billing Determinants'!$B$19:$P$41,6,0)/'4. Billing Determinants'!$G$41*$D35,IF($E35="Distribution Rev.",VLOOKUP(Q$4,'4. Billing Determinants'!$B$19:$P$41,8,0)/'4. Billing Determinants'!$I$41*$D35, VLOOKUP(Q$4,'4. Billing Determinants'!$B$19:$P$41,3,0)/'4. Billing Determinants'!$D$41*$D35))))),0)</f>
        <v>0</v>
      </c>
      <c r="R35" s="70">
        <f>IFERROR(IF(R$4="",0,IF($E35="kWh",VLOOKUP(R$4,'4. Billing Determinants'!$B$19:$P$41,4,0)/'4. Billing Determinants'!$E$41*$D35,IF($E35="kW",VLOOKUP(R$4,'4. Billing Determinants'!$B$19:$P$41,5,0)/'4. Billing Determinants'!$F$41*$D35,IF($E35="Non-RPP kWh",VLOOKUP(R$4,'4. Billing Determinants'!$B$19:$P$41,6,0)/'4. Billing Determinants'!$G$41*$D35,IF($E35="Distribution Rev.",VLOOKUP(R$4,'4. Billing Determinants'!$B$19:$P$41,8,0)/'4. Billing Determinants'!$I$41*$D35, VLOOKUP(R$4,'4. Billing Determinants'!$B$19:$P$41,3,0)/'4. Billing Determinants'!$D$41*$D35))))),0)</f>
        <v>0</v>
      </c>
      <c r="S35" s="70">
        <f>IFERROR(IF(S$4="",0,IF($E35="kWh",VLOOKUP(S$4,'4. Billing Determinants'!$B$19:$P$41,4,0)/'4. Billing Determinants'!$E$41*$D35,IF($E35="kW",VLOOKUP(S$4,'4. Billing Determinants'!$B$19:$P$41,5,0)/'4. Billing Determinants'!$F$41*$D35,IF($E35="Non-RPP kWh",VLOOKUP(S$4,'4. Billing Determinants'!$B$19:$P$41,6,0)/'4. Billing Determinants'!$G$41*$D35,IF($E35="Distribution Rev.",VLOOKUP(S$4,'4. Billing Determinants'!$B$19:$P$41,8,0)/'4. Billing Determinants'!$I$41*$D35, VLOOKUP(S$4,'4. Billing Determinants'!$B$19:$P$41,3,0)/'4. Billing Determinants'!$D$41*$D35))))),0)</f>
        <v>0</v>
      </c>
      <c r="T35" s="70">
        <f>IFERROR(IF(T$4="",0,IF($E35="kWh",VLOOKUP(T$4,'4. Billing Determinants'!$B$19:$P$41,4,0)/'4. Billing Determinants'!$E$41*$D35,IF($E35="kW",VLOOKUP(T$4,'4. Billing Determinants'!$B$19:$P$41,5,0)/'4. Billing Determinants'!$F$41*$D35,IF($E35="Non-RPP kWh",VLOOKUP(T$4,'4. Billing Determinants'!$B$19:$P$41,6,0)/'4. Billing Determinants'!$G$41*$D35,IF($E35="Distribution Rev.",VLOOKUP(T$4,'4. Billing Determinants'!$B$19:$P$41,8,0)/'4. Billing Determinants'!$I$41*$D35, VLOOKUP(T$4,'4. Billing Determinants'!$B$19:$P$41,3,0)/'4. Billing Determinants'!$D$41*$D35))))),0)</f>
        <v>0</v>
      </c>
      <c r="U35" s="70">
        <f>IFERROR(IF(U$4="",0,IF($E35="kWh",VLOOKUP(U$4,'4. Billing Determinants'!$B$19:$P$41,4,0)/'4. Billing Determinants'!$E$41*$D35,IF($E35="kW",VLOOKUP(U$4,'4. Billing Determinants'!$B$19:$P$41,5,0)/'4. Billing Determinants'!$F$41*$D35,IF($E35="Non-RPP kWh",VLOOKUP(U$4,'4. Billing Determinants'!$B$19:$P$41,6,0)/'4. Billing Determinants'!$G$41*$D35,IF($E35="Distribution Rev.",VLOOKUP(U$4,'4. Billing Determinants'!$B$19:$P$41,8,0)/'4. Billing Determinants'!$I$41*$D35, VLOOKUP(U$4,'4. Billing Determinants'!$B$19:$P$41,3,0)/'4. Billing Determinants'!$D$41*$D35))))),0)</f>
        <v>0</v>
      </c>
      <c r="V35" s="70">
        <f>IFERROR(IF(V$4="",0,IF($E35="kWh",VLOOKUP(V$4,'4. Billing Determinants'!$B$19:$P$41,4,0)/'4. Billing Determinants'!$E$41*$D35,IF($E35="kW",VLOOKUP(V$4,'4. Billing Determinants'!$B$19:$P$41,5,0)/'4. Billing Determinants'!$F$41*$D35,IF($E35="Non-RPP kWh",VLOOKUP(V$4,'4. Billing Determinants'!$B$19:$P$41,6,0)/'4. Billing Determinants'!$G$41*$D35,IF($E35="Distribution Rev.",VLOOKUP(V$4,'4. Billing Determinants'!$B$19:$P$41,8,0)/'4. Billing Determinants'!$I$41*$D35, VLOOKUP(V$4,'4. Billing Determinants'!$B$19:$P$41,3,0)/'4. Billing Determinants'!$D$41*$D35))))),0)</f>
        <v>0</v>
      </c>
      <c r="W35" s="70">
        <f>IFERROR(IF(W$4="",0,IF($E35="kWh",VLOOKUP(W$4,'4. Billing Determinants'!$B$19:$P$41,4,0)/'4. Billing Determinants'!$E$41*$D35,IF($E35="kW",VLOOKUP(W$4,'4. Billing Determinants'!$B$19:$P$41,5,0)/'4. Billing Determinants'!$F$41*$D35,IF($E35="Non-RPP kWh",VLOOKUP(W$4,'4. Billing Determinants'!$B$19:$P$41,6,0)/'4. Billing Determinants'!$G$41*$D35,IF($E35="Distribution Rev.",VLOOKUP(W$4,'4. Billing Determinants'!$B$19:$P$41,8,0)/'4. Billing Determinants'!$I$41*$D35, VLOOKUP(W$4,'4. Billing Determinants'!$B$19:$P$41,3,0)/'4. Billing Determinants'!$D$41*$D35))))),0)</f>
        <v>0</v>
      </c>
      <c r="X35" s="70">
        <f>IFERROR(IF(X$4="",0,IF($E35="kWh",VLOOKUP(X$4,'4. Billing Determinants'!$B$19:$P$41,4,0)/'4. Billing Determinants'!$E$41*$D35,IF($E35="kW",VLOOKUP(X$4,'4. Billing Determinants'!$B$19:$P$41,5,0)/'4. Billing Determinants'!$F$41*$D35,IF($E35="Non-RPP kWh",VLOOKUP(X$4,'4. Billing Determinants'!$B$19:$P$41,6,0)/'4. Billing Determinants'!$G$41*$D35,IF($E35="Distribution Rev.",VLOOKUP(X$4,'4. Billing Determinants'!$B$19:$P$41,8,0)/'4. Billing Determinants'!$I$41*$D35, VLOOKUP(X$4,'4. Billing Determinants'!$B$19:$P$41,3,0)/'4. Billing Determinants'!$D$41*$D35))))),0)</f>
        <v>0</v>
      </c>
      <c r="Y35" s="70">
        <f>IFERROR(IF(Y$4="",0,IF($E35="kWh",VLOOKUP(Y$4,'4. Billing Determinants'!$B$19:$P$41,4,0)/'4. Billing Determinants'!$E$41*$D35,IF($E35="kW",VLOOKUP(Y$4,'4. Billing Determinants'!$B$19:$P$41,5,0)/'4. Billing Determinants'!$F$41*$D35,IF($E35="Non-RPP kWh",VLOOKUP(Y$4,'4. Billing Determinants'!$B$19:$P$41,6,0)/'4. Billing Determinants'!$G$41*$D35,IF($E35="Distribution Rev.",VLOOKUP(Y$4,'4. Billing Determinants'!$B$19:$P$41,8,0)/'4. Billing Determinants'!$I$41*$D35, VLOOKUP(Y$4,'4. Billing Determinants'!$B$19:$P$41,3,0)/'4. Billing Determinants'!$D$41*$D35))))),0)</f>
        <v>0</v>
      </c>
    </row>
    <row r="36" spans="1:25" x14ac:dyDescent="0.2">
      <c r="B36" s="68" t="s">
        <v>40</v>
      </c>
      <c r="C36" s="69">
        <v>1582</v>
      </c>
      <c r="D36" s="70">
        <f>'2. 2014 Continuity Schedule'!BO59</f>
        <v>1.3642420526593924E-12</v>
      </c>
      <c r="E36" s="130"/>
      <c r="F36" s="70">
        <f>IFERROR(IF(F$4="",0,IF($E36="kWh",VLOOKUP(F$4,'4. Billing Determinants'!$B$19:$P$41,4,0)/'4. Billing Determinants'!$E$41*$D36,IF($E36="kW",VLOOKUP(F$4,'4. Billing Determinants'!$B$19:$P$41,5,0)/'4. Billing Determinants'!$F$41*$D36,IF($E36="Non-RPP kWh",VLOOKUP(F$4,'4. Billing Determinants'!$B$19:$P$41,6,0)/'4. Billing Determinants'!$G$41*$D36,IF($E36="Distribution Rev.",VLOOKUP(F$4,'4. Billing Determinants'!$B$19:$P$41,8,0)/'4. Billing Determinants'!$I$41*$D36, VLOOKUP(F$4,'4. Billing Determinants'!$B$19:$P$41,3,0)/'4. Billing Determinants'!$D$41*$D36))))),0)</f>
        <v>1.2184465990766578E-12</v>
      </c>
      <c r="G36" s="70">
        <f>IFERROR(IF(G$4="",0,IF($E36="kWh",VLOOKUP(G$4,'4. Billing Determinants'!$B$19:$P$41,4,0)/'4. Billing Determinants'!$E$41*$D36,IF($E36="kW",VLOOKUP(G$4,'4. Billing Determinants'!$B$19:$P$41,5,0)/'4. Billing Determinants'!$F$41*$D36,IF($E36="Non-RPP kWh",VLOOKUP(G$4,'4. Billing Determinants'!$B$19:$P$41,6,0)/'4. Billing Determinants'!$G$41*$D36,IF($E36="Distribution Rev.",VLOOKUP(G$4,'4. Billing Determinants'!$B$19:$P$41,8,0)/'4. Billing Determinants'!$I$41*$D36, VLOOKUP(G$4,'4. Billing Determinants'!$B$19:$P$41,3,0)/'4. Billing Determinants'!$D$41*$D36))))),0)</f>
        <v>1.1361881564195399E-13</v>
      </c>
      <c r="H36" s="70">
        <f>IFERROR(IF(H$4="",0,IF($E36="kWh",VLOOKUP(H$4,'4. Billing Determinants'!$B$19:$P$41,4,0)/'4. Billing Determinants'!$E$41*$D36,IF($E36="kW",VLOOKUP(H$4,'4. Billing Determinants'!$B$19:$P$41,5,0)/'4. Billing Determinants'!$F$41*$D36,IF($E36="Non-RPP kWh",VLOOKUP(H$4,'4. Billing Determinants'!$B$19:$P$41,6,0)/'4. Billing Determinants'!$G$41*$D36,IF($E36="Distribution Rev.",VLOOKUP(H$4,'4. Billing Determinants'!$B$19:$P$41,8,0)/'4. Billing Determinants'!$I$41*$D36, VLOOKUP(H$4,'4. Billing Determinants'!$B$19:$P$41,3,0)/'4. Billing Determinants'!$D$41*$D36))))),0)</f>
        <v>2.2723763128390796E-14</v>
      </c>
      <c r="I36" s="70">
        <f>IFERROR(IF(I$4="",0,IF($E36="kWh",VLOOKUP(I$4,'4. Billing Determinants'!$B$19:$P$41,4,0)/'4. Billing Determinants'!$E$41*$D36,IF($E36="kW",VLOOKUP(I$4,'4. Billing Determinants'!$B$19:$P$41,5,0)/'4. Billing Determinants'!$F$41*$D36,IF($E36="Non-RPP kWh",VLOOKUP(I$4,'4. Billing Determinants'!$B$19:$P$41,6,0)/'4. Billing Determinants'!$G$41*$D36,IF($E36="Distribution Rev.",VLOOKUP(I$4,'4. Billing Determinants'!$B$19:$P$41,8,0)/'4. Billing Determinants'!$I$41*$D36, VLOOKUP(I$4,'4. Billing Determinants'!$B$19:$P$41,3,0)/'4. Billing Determinants'!$D$41*$D36))))),0)</f>
        <v>4.4762916938892654E-16</v>
      </c>
      <c r="J36" s="70">
        <f>IFERROR(IF(J$4="",0,IF($E36="kWh",VLOOKUP(J$4,'4. Billing Determinants'!$B$19:$P$41,4,0)/'4. Billing Determinants'!$E$41*$D36,IF($E36="kW",VLOOKUP(J$4,'4. Billing Determinants'!$B$19:$P$41,5,0)/'4. Billing Determinants'!$F$41*$D36,IF($E36="Non-RPP kWh",VLOOKUP(J$4,'4. Billing Determinants'!$B$19:$P$41,6,0)/'4. Billing Determinants'!$G$41*$D36,IF($E36="Distribution Rev.",VLOOKUP(J$4,'4. Billing Determinants'!$B$19:$P$41,8,0)/'4. Billing Determinants'!$I$41*$D36, VLOOKUP(J$4,'4. Billing Determinants'!$B$19:$P$41,3,0)/'4. Billing Determinants'!$D$41*$D36))))),0)</f>
        <v>8.8735900049451906E-15</v>
      </c>
      <c r="K36" s="70">
        <f>IFERROR(IF(K$4="",0,IF($E36="kWh",VLOOKUP(K$4,'4. Billing Determinants'!$B$19:$P$41,4,0)/'4. Billing Determinants'!$E$41*$D36,IF($E36="kW",VLOOKUP(K$4,'4. Billing Determinants'!$B$19:$P$41,5,0)/'4. Billing Determinants'!$F$41*$D36,IF($E36="Non-RPP kWh",VLOOKUP(K$4,'4. Billing Determinants'!$B$19:$P$41,6,0)/'4. Billing Determinants'!$G$41*$D36,IF($E36="Distribution Rev.",VLOOKUP(K$4,'4. Billing Determinants'!$B$19:$P$41,8,0)/'4. Billing Determinants'!$I$41*$D36, VLOOKUP(K$4,'4. Billing Determinants'!$B$19:$P$41,3,0)/'4. Billing Determinants'!$D$41*$D36))))),0)</f>
        <v>1.3165563805556661E-16</v>
      </c>
      <c r="L36" s="70">
        <f>IFERROR(IF(L$4="",0,IF($E36="kWh",VLOOKUP(L$4,'4. Billing Determinants'!$B$19:$P$41,4,0)/'4. Billing Determinants'!$E$41*$D36,IF($E36="kW",VLOOKUP(L$4,'4. Billing Determinants'!$B$19:$P$41,5,0)/'4. Billing Determinants'!$F$41*$D36,IF($E36="Non-RPP kWh",VLOOKUP(L$4,'4. Billing Determinants'!$B$19:$P$41,6,0)/'4. Billing Determinants'!$G$41*$D36,IF($E36="Distribution Rev.",VLOOKUP(L$4,'4. Billing Determinants'!$B$19:$P$41,8,0)/'4. Billing Determinants'!$I$41*$D36, VLOOKUP(L$4,'4. Billing Determinants'!$B$19:$P$41,3,0)/'4. Billing Determinants'!$D$41*$D36))))),0)</f>
        <v>0</v>
      </c>
      <c r="M36" s="70">
        <f>IFERROR(IF(M$4="",0,IF($E36="kWh",VLOOKUP(M$4,'4. Billing Determinants'!$B$19:$P$41,4,0)/'4. Billing Determinants'!$E$41*$D36,IF($E36="kW",VLOOKUP(M$4,'4. Billing Determinants'!$B$19:$P$41,5,0)/'4. Billing Determinants'!$F$41*$D36,IF($E36="Non-RPP kWh",VLOOKUP(M$4,'4. Billing Determinants'!$B$19:$P$41,6,0)/'4. Billing Determinants'!$G$41*$D36,IF($E36="Distribution Rev.",VLOOKUP(M$4,'4. Billing Determinants'!$B$19:$P$41,8,0)/'4. Billing Determinants'!$I$41*$D36, VLOOKUP(M$4,'4. Billing Determinants'!$B$19:$P$41,3,0)/'4. Billing Determinants'!$D$41*$D36))))),0)</f>
        <v>0</v>
      </c>
      <c r="N36" s="70">
        <f>IFERROR(IF(N$4="",0,IF($E36="kWh",VLOOKUP(N$4,'4. Billing Determinants'!$B$19:$P$41,4,0)/'4. Billing Determinants'!$E$41*$D36,IF($E36="kW",VLOOKUP(N$4,'4. Billing Determinants'!$B$19:$P$41,5,0)/'4. Billing Determinants'!$F$41*$D36,IF($E36="Non-RPP kWh",VLOOKUP(N$4,'4. Billing Determinants'!$B$19:$P$41,6,0)/'4. Billing Determinants'!$G$41*$D36,IF($E36="Distribution Rev.",VLOOKUP(N$4,'4. Billing Determinants'!$B$19:$P$41,8,0)/'4. Billing Determinants'!$I$41*$D36, VLOOKUP(N$4,'4. Billing Determinants'!$B$19:$P$41,3,0)/'4. Billing Determinants'!$D$41*$D36))))),0)</f>
        <v>0</v>
      </c>
      <c r="O36" s="70">
        <f>IFERROR(IF(O$4="",0,IF($E36="kWh",VLOOKUP(O$4,'4. Billing Determinants'!$B$19:$P$41,4,0)/'4. Billing Determinants'!$E$41*$D36,IF($E36="kW",VLOOKUP(O$4,'4. Billing Determinants'!$B$19:$P$41,5,0)/'4. Billing Determinants'!$F$41*$D36,IF($E36="Non-RPP kWh",VLOOKUP(O$4,'4. Billing Determinants'!$B$19:$P$41,6,0)/'4. Billing Determinants'!$G$41*$D36,IF($E36="Distribution Rev.",VLOOKUP(O$4,'4. Billing Determinants'!$B$19:$P$41,8,0)/'4. Billing Determinants'!$I$41*$D36, VLOOKUP(O$4,'4. Billing Determinants'!$B$19:$P$41,3,0)/'4. Billing Determinants'!$D$41*$D36))))),0)</f>
        <v>0</v>
      </c>
      <c r="P36" s="70">
        <f>IFERROR(IF(P$4="",0,IF($E36="kWh",VLOOKUP(P$4,'4. Billing Determinants'!$B$19:$P$41,4,0)/'4. Billing Determinants'!$E$41*$D36,IF($E36="kW",VLOOKUP(P$4,'4. Billing Determinants'!$B$19:$P$41,5,0)/'4. Billing Determinants'!$F$41*$D36,IF($E36="Non-RPP kWh",VLOOKUP(P$4,'4. Billing Determinants'!$B$19:$P$41,6,0)/'4. Billing Determinants'!$G$41*$D36,IF($E36="Distribution Rev.",VLOOKUP(P$4,'4. Billing Determinants'!$B$19:$P$41,8,0)/'4. Billing Determinants'!$I$41*$D36, VLOOKUP(P$4,'4. Billing Determinants'!$B$19:$P$41,3,0)/'4. Billing Determinants'!$D$41*$D36))))),0)</f>
        <v>0</v>
      </c>
      <c r="Q36" s="70">
        <f>IFERROR(IF(Q$4="",0,IF($E36="kWh",VLOOKUP(Q$4,'4. Billing Determinants'!$B$19:$P$41,4,0)/'4. Billing Determinants'!$E$41*$D36,IF($E36="kW",VLOOKUP(Q$4,'4. Billing Determinants'!$B$19:$P$41,5,0)/'4. Billing Determinants'!$F$41*$D36,IF($E36="Non-RPP kWh",VLOOKUP(Q$4,'4. Billing Determinants'!$B$19:$P$41,6,0)/'4. Billing Determinants'!$G$41*$D36,IF($E36="Distribution Rev.",VLOOKUP(Q$4,'4. Billing Determinants'!$B$19:$P$41,8,0)/'4. Billing Determinants'!$I$41*$D36, VLOOKUP(Q$4,'4. Billing Determinants'!$B$19:$P$41,3,0)/'4. Billing Determinants'!$D$41*$D36))))),0)</f>
        <v>0</v>
      </c>
      <c r="R36" s="70">
        <f>IFERROR(IF(R$4="",0,IF($E36="kWh",VLOOKUP(R$4,'4. Billing Determinants'!$B$19:$P$41,4,0)/'4. Billing Determinants'!$E$41*$D36,IF($E36="kW",VLOOKUP(R$4,'4. Billing Determinants'!$B$19:$P$41,5,0)/'4. Billing Determinants'!$F$41*$D36,IF($E36="Non-RPP kWh",VLOOKUP(R$4,'4. Billing Determinants'!$B$19:$P$41,6,0)/'4. Billing Determinants'!$G$41*$D36,IF($E36="Distribution Rev.",VLOOKUP(R$4,'4. Billing Determinants'!$B$19:$P$41,8,0)/'4. Billing Determinants'!$I$41*$D36, VLOOKUP(R$4,'4. Billing Determinants'!$B$19:$P$41,3,0)/'4. Billing Determinants'!$D$41*$D36))))),0)</f>
        <v>0</v>
      </c>
      <c r="S36" s="70">
        <f>IFERROR(IF(S$4="",0,IF($E36="kWh",VLOOKUP(S$4,'4. Billing Determinants'!$B$19:$P$41,4,0)/'4. Billing Determinants'!$E$41*$D36,IF($E36="kW",VLOOKUP(S$4,'4. Billing Determinants'!$B$19:$P$41,5,0)/'4. Billing Determinants'!$F$41*$D36,IF($E36="Non-RPP kWh",VLOOKUP(S$4,'4. Billing Determinants'!$B$19:$P$41,6,0)/'4. Billing Determinants'!$G$41*$D36,IF($E36="Distribution Rev.",VLOOKUP(S$4,'4. Billing Determinants'!$B$19:$P$41,8,0)/'4. Billing Determinants'!$I$41*$D36, VLOOKUP(S$4,'4. Billing Determinants'!$B$19:$P$41,3,0)/'4. Billing Determinants'!$D$41*$D36))))),0)</f>
        <v>0</v>
      </c>
      <c r="T36" s="70">
        <f>IFERROR(IF(T$4="",0,IF($E36="kWh",VLOOKUP(T$4,'4. Billing Determinants'!$B$19:$P$41,4,0)/'4. Billing Determinants'!$E$41*$D36,IF($E36="kW",VLOOKUP(T$4,'4. Billing Determinants'!$B$19:$P$41,5,0)/'4. Billing Determinants'!$F$41*$D36,IF($E36="Non-RPP kWh",VLOOKUP(T$4,'4. Billing Determinants'!$B$19:$P$41,6,0)/'4. Billing Determinants'!$G$41*$D36,IF($E36="Distribution Rev.",VLOOKUP(T$4,'4. Billing Determinants'!$B$19:$P$41,8,0)/'4. Billing Determinants'!$I$41*$D36, VLOOKUP(T$4,'4. Billing Determinants'!$B$19:$P$41,3,0)/'4. Billing Determinants'!$D$41*$D36))))),0)</f>
        <v>0</v>
      </c>
      <c r="U36" s="70">
        <f>IFERROR(IF(U$4="",0,IF($E36="kWh",VLOOKUP(U$4,'4. Billing Determinants'!$B$19:$P$41,4,0)/'4. Billing Determinants'!$E$41*$D36,IF($E36="kW",VLOOKUP(U$4,'4. Billing Determinants'!$B$19:$P$41,5,0)/'4. Billing Determinants'!$F$41*$D36,IF($E36="Non-RPP kWh",VLOOKUP(U$4,'4. Billing Determinants'!$B$19:$P$41,6,0)/'4. Billing Determinants'!$G$41*$D36,IF($E36="Distribution Rev.",VLOOKUP(U$4,'4. Billing Determinants'!$B$19:$P$41,8,0)/'4. Billing Determinants'!$I$41*$D36, VLOOKUP(U$4,'4. Billing Determinants'!$B$19:$P$41,3,0)/'4. Billing Determinants'!$D$41*$D36))))),0)</f>
        <v>0</v>
      </c>
      <c r="V36" s="70">
        <f>IFERROR(IF(V$4="",0,IF($E36="kWh",VLOOKUP(V$4,'4. Billing Determinants'!$B$19:$P$41,4,0)/'4. Billing Determinants'!$E$41*$D36,IF($E36="kW",VLOOKUP(V$4,'4. Billing Determinants'!$B$19:$P$41,5,0)/'4. Billing Determinants'!$F$41*$D36,IF($E36="Non-RPP kWh",VLOOKUP(V$4,'4. Billing Determinants'!$B$19:$P$41,6,0)/'4. Billing Determinants'!$G$41*$D36,IF($E36="Distribution Rev.",VLOOKUP(V$4,'4. Billing Determinants'!$B$19:$P$41,8,0)/'4. Billing Determinants'!$I$41*$D36, VLOOKUP(V$4,'4. Billing Determinants'!$B$19:$P$41,3,0)/'4. Billing Determinants'!$D$41*$D36))))),0)</f>
        <v>0</v>
      </c>
      <c r="W36" s="70">
        <f>IFERROR(IF(W$4="",0,IF($E36="kWh",VLOOKUP(W$4,'4. Billing Determinants'!$B$19:$P$41,4,0)/'4. Billing Determinants'!$E$41*$D36,IF($E36="kW",VLOOKUP(W$4,'4. Billing Determinants'!$B$19:$P$41,5,0)/'4. Billing Determinants'!$F$41*$D36,IF($E36="Non-RPP kWh",VLOOKUP(W$4,'4. Billing Determinants'!$B$19:$P$41,6,0)/'4. Billing Determinants'!$G$41*$D36,IF($E36="Distribution Rev.",VLOOKUP(W$4,'4. Billing Determinants'!$B$19:$P$41,8,0)/'4. Billing Determinants'!$I$41*$D36, VLOOKUP(W$4,'4. Billing Determinants'!$B$19:$P$41,3,0)/'4. Billing Determinants'!$D$41*$D36))))),0)</f>
        <v>0</v>
      </c>
      <c r="X36" s="70">
        <f>IFERROR(IF(X$4="",0,IF($E36="kWh",VLOOKUP(X$4,'4. Billing Determinants'!$B$19:$P$41,4,0)/'4. Billing Determinants'!$E$41*$D36,IF($E36="kW",VLOOKUP(X$4,'4. Billing Determinants'!$B$19:$P$41,5,0)/'4. Billing Determinants'!$F$41*$D36,IF($E36="Non-RPP kWh",VLOOKUP(X$4,'4. Billing Determinants'!$B$19:$P$41,6,0)/'4. Billing Determinants'!$G$41*$D36,IF($E36="Distribution Rev.",VLOOKUP(X$4,'4. Billing Determinants'!$B$19:$P$41,8,0)/'4. Billing Determinants'!$I$41*$D36, VLOOKUP(X$4,'4. Billing Determinants'!$B$19:$P$41,3,0)/'4. Billing Determinants'!$D$41*$D36))))),0)</f>
        <v>0</v>
      </c>
      <c r="Y36" s="70">
        <f>IFERROR(IF(Y$4="",0,IF($E36="kWh",VLOOKUP(Y$4,'4. Billing Determinants'!$B$19:$P$41,4,0)/'4. Billing Determinants'!$E$41*$D36,IF($E36="kW",VLOOKUP(Y$4,'4. Billing Determinants'!$B$19:$P$41,5,0)/'4. Billing Determinants'!$F$41*$D36,IF($E36="Non-RPP kWh",VLOOKUP(Y$4,'4. Billing Determinants'!$B$19:$P$41,6,0)/'4. Billing Determinants'!$G$41*$D36,IF($E36="Distribution Rev.",VLOOKUP(Y$4,'4. Billing Determinants'!$B$19:$P$41,8,0)/'4. Billing Determinants'!$I$41*$D36, VLOOKUP(Y$4,'4. Billing Determinants'!$B$19:$P$41,3,0)/'4. Billing Determinants'!$D$41*$D36))))),0)</f>
        <v>0</v>
      </c>
    </row>
    <row r="37" spans="1:25" x14ac:dyDescent="0.2">
      <c r="B37" s="68" t="s">
        <v>7</v>
      </c>
      <c r="C37" s="69">
        <v>2425</v>
      </c>
      <c r="D37" s="70">
        <f>'2. 2014 Continuity Schedule'!BO60</f>
        <v>0</v>
      </c>
      <c r="E37" s="130"/>
      <c r="F37" s="70">
        <f>IFERROR(IF(F$4="",0,IF($E37="kWh",VLOOKUP(F$4,'4. Billing Determinants'!$B$19:$P$41,4,0)/'4. Billing Determinants'!$E$41*$D37,IF($E37="kW",VLOOKUP(F$4,'4. Billing Determinants'!$B$19:$P$41,5,0)/'4. Billing Determinants'!$F$41*$D37,IF($E37="Non-RPP kWh",VLOOKUP(F$4,'4. Billing Determinants'!$B$19:$P$41,6,0)/'4. Billing Determinants'!$G$41*$D37,IF($E37="Distribution Rev.",VLOOKUP(F$4,'4. Billing Determinants'!$B$19:$P$41,8,0)/'4. Billing Determinants'!$I$41*$D37, VLOOKUP(F$4,'4. Billing Determinants'!$B$19:$P$41,3,0)/'4. Billing Determinants'!$D$41*$D37))))),0)</f>
        <v>0</v>
      </c>
      <c r="G37" s="70">
        <f>IFERROR(IF(G$4="",0,IF($E37="kWh",VLOOKUP(G$4,'4. Billing Determinants'!$B$19:$P$41,4,0)/'4. Billing Determinants'!$E$41*$D37,IF($E37="kW",VLOOKUP(G$4,'4. Billing Determinants'!$B$19:$P$41,5,0)/'4. Billing Determinants'!$F$41*$D37,IF($E37="Non-RPP kWh",VLOOKUP(G$4,'4. Billing Determinants'!$B$19:$P$41,6,0)/'4. Billing Determinants'!$G$41*$D37,IF($E37="Distribution Rev.",VLOOKUP(G$4,'4. Billing Determinants'!$B$19:$P$41,8,0)/'4. Billing Determinants'!$I$41*$D37, VLOOKUP(G$4,'4. Billing Determinants'!$B$19:$P$41,3,0)/'4. Billing Determinants'!$D$41*$D37))))),0)</f>
        <v>0</v>
      </c>
      <c r="H37" s="70">
        <f>IFERROR(IF(H$4="",0,IF($E37="kWh",VLOOKUP(H$4,'4. Billing Determinants'!$B$19:$P$41,4,0)/'4. Billing Determinants'!$E$41*$D37,IF($E37="kW",VLOOKUP(H$4,'4. Billing Determinants'!$B$19:$P$41,5,0)/'4. Billing Determinants'!$F$41*$D37,IF($E37="Non-RPP kWh",VLOOKUP(H$4,'4. Billing Determinants'!$B$19:$P$41,6,0)/'4. Billing Determinants'!$G$41*$D37,IF($E37="Distribution Rev.",VLOOKUP(H$4,'4. Billing Determinants'!$B$19:$P$41,8,0)/'4. Billing Determinants'!$I$41*$D37, VLOOKUP(H$4,'4. Billing Determinants'!$B$19:$P$41,3,0)/'4. Billing Determinants'!$D$41*$D37))))),0)</f>
        <v>0</v>
      </c>
      <c r="I37" s="70">
        <f>IFERROR(IF(I$4="",0,IF($E37="kWh",VLOOKUP(I$4,'4. Billing Determinants'!$B$19:$P$41,4,0)/'4. Billing Determinants'!$E$41*$D37,IF($E37="kW",VLOOKUP(I$4,'4. Billing Determinants'!$B$19:$P$41,5,0)/'4. Billing Determinants'!$F$41*$D37,IF($E37="Non-RPP kWh",VLOOKUP(I$4,'4. Billing Determinants'!$B$19:$P$41,6,0)/'4. Billing Determinants'!$G$41*$D37,IF($E37="Distribution Rev.",VLOOKUP(I$4,'4. Billing Determinants'!$B$19:$P$41,8,0)/'4. Billing Determinants'!$I$41*$D37, VLOOKUP(I$4,'4. Billing Determinants'!$B$19:$P$41,3,0)/'4. Billing Determinants'!$D$41*$D37))))),0)</f>
        <v>0</v>
      </c>
      <c r="J37" s="70">
        <f>IFERROR(IF(J$4="",0,IF($E37="kWh",VLOOKUP(J$4,'4. Billing Determinants'!$B$19:$P$41,4,0)/'4. Billing Determinants'!$E$41*$D37,IF($E37="kW",VLOOKUP(J$4,'4. Billing Determinants'!$B$19:$P$41,5,0)/'4. Billing Determinants'!$F$41*$D37,IF($E37="Non-RPP kWh",VLOOKUP(J$4,'4. Billing Determinants'!$B$19:$P$41,6,0)/'4. Billing Determinants'!$G$41*$D37,IF($E37="Distribution Rev.",VLOOKUP(J$4,'4. Billing Determinants'!$B$19:$P$41,8,0)/'4. Billing Determinants'!$I$41*$D37, VLOOKUP(J$4,'4. Billing Determinants'!$B$19:$P$41,3,0)/'4. Billing Determinants'!$D$41*$D37))))),0)</f>
        <v>0</v>
      </c>
      <c r="K37" s="70">
        <f>IFERROR(IF(K$4="",0,IF($E37="kWh",VLOOKUP(K$4,'4. Billing Determinants'!$B$19:$P$41,4,0)/'4. Billing Determinants'!$E$41*$D37,IF($E37="kW",VLOOKUP(K$4,'4. Billing Determinants'!$B$19:$P$41,5,0)/'4. Billing Determinants'!$F$41*$D37,IF($E37="Non-RPP kWh",VLOOKUP(K$4,'4. Billing Determinants'!$B$19:$P$41,6,0)/'4. Billing Determinants'!$G$41*$D37,IF($E37="Distribution Rev.",VLOOKUP(K$4,'4. Billing Determinants'!$B$19:$P$41,8,0)/'4. Billing Determinants'!$I$41*$D37, VLOOKUP(K$4,'4. Billing Determinants'!$B$19:$P$41,3,0)/'4. Billing Determinants'!$D$41*$D37))))),0)</f>
        <v>0</v>
      </c>
      <c r="L37" s="70">
        <f>IFERROR(IF(L$4="",0,IF($E37="kWh",VLOOKUP(L$4,'4. Billing Determinants'!$B$19:$P$41,4,0)/'4. Billing Determinants'!$E$41*$D37,IF($E37="kW",VLOOKUP(L$4,'4. Billing Determinants'!$B$19:$P$41,5,0)/'4. Billing Determinants'!$F$41*$D37,IF($E37="Non-RPP kWh",VLOOKUP(L$4,'4. Billing Determinants'!$B$19:$P$41,6,0)/'4. Billing Determinants'!$G$41*$D37,IF($E37="Distribution Rev.",VLOOKUP(L$4,'4. Billing Determinants'!$B$19:$P$41,8,0)/'4. Billing Determinants'!$I$41*$D37, VLOOKUP(L$4,'4. Billing Determinants'!$B$19:$P$41,3,0)/'4. Billing Determinants'!$D$41*$D37))))),0)</f>
        <v>0</v>
      </c>
      <c r="M37" s="70">
        <f>IFERROR(IF(M$4="",0,IF($E37="kWh",VLOOKUP(M$4,'4. Billing Determinants'!$B$19:$P$41,4,0)/'4. Billing Determinants'!$E$41*$D37,IF($E37="kW",VLOOKUP(M$4,'4. Billing Determinants'!$B$19:$P$41,5,0)/'4. Billing Determinants'!$F$41*$D37,IF($E37="Non-RPP kWh",VLOOKUP(M$4,'4. Billing Determinants'!$B$19:$P$41,6,0)/'4. Billing Determinants'!$G$41*$D37,IF($E37="Distribution Rev.",VLOOKUP(M$4,'4. Billing Determinants'!$B$19:$P$41,8,0)/'4. Billing Determinants'!$I$41*$D37, VLOOKUP(M$4,'4. Billing Determinants'!$B$19:$P$41,3,0)/'4. Billing Determinants'!$D$41*$D37))))),0)</f>
        <v>0</v>
      </c>
      <c r="N37" s="70">
        <f>IFERROR(IF(N$4="",0,IF($E37="kWh",VLOOKUP(N$4,'4. Billing Determinants'!$B$19:$P$41,4,0)/'4. Billing Determinants'!$E$41*$D37,IF($E37="kW",VLOOKUP(N$4,'4. Billing Determinants'!$B$19:$P$41,5,0)/'4. Billing Determinants'!$F$41*$D37,IF($E37="Non-RPP kWh",VLOOKUP(N$4,'4. Billing Determinants'!$B$19:$P$41,6,0)/'4. Billing Determinants'!$G$41*$D37,IF($E37="Distribution Rev.",VLOOKUP(N$4,'4. Billing Determinants'!$B$19:$P$41,8,0)/'4. Billing Determinants'!$I$41*$D37, VLOOKUP(N$4,'4. Billing Determinants'!$B$19:$P$41,3,0)/'4. Billing Determinants'!$D$41*$D37))))),0)</f>
        <v>0</v>
      </c>
      <c r="O37" s="70">
        <f>IFERROR(IF(O$4="",0,IF($E37="kWh",VLOOKUP(O$4,'4. Billing Determinants'!$B$19:$P$41,4,0)/'4. Billing Determinants'!$E$41*$D37,IF($E37="kW",VLOOKUP(O$4,'4. Billing Determinants'!$B$19:$P$41,5,0)/'4. Billing Determinants'!$F$41*$D37,IF($E37="Non-RPP kWh",VLOOKUP(O$4,'4. Billing Determinants'!$B$19:$P$41,6,0)/'4. Billing Determinants'!$G$41*$D37,IF($E37="Distribution Rev.",VLOOKUP(O$4,'4. Billing Determinants'!$B$19:$P$41,8,0)/'4. Billing Determinants'!$I$41*$D37, VLOOKUP(O$4,'4. Billing Determinants'!$B$19:$P$41,3,0)/'4. Billing Determinants'!$D$41*$D37))))),0)</f>
        <v>0</v>
      </c>
      <c r="P37" s="70">
        <f>IFERROR(IF(P$4="",0,IF($E37="kWh",VLOOKUP(P$4,'4. Billing Determinants'!$B$19:$P$41,4,0)/'4. Billing Determinants'!$E$41*$D37,IF($E37="kW",VLOOKUP(P$4,'4. Billing Determinants'!$B$19:$P$41,5,0)/'4. Billing Determinants'!$F$41*$D37,IF($E37="Non-RPP kWh",VLOOKUP(P$4,'4. Billing Determinants'!$B$19:$P$41,6,0)/'4. Billing Determinants'!$G$41*$D37,IF($E37="Distribution Rev.",VLOOKUP(P$4,'4. Billing Determinants'!$B$19:$P$41,8,0)/'4. Billing Determinants'!$I$41*$D37, VLOOKUP(P$4,'4. Billing Determinants'!$B$19:$P$41,3,0)/'4. Billing Determinants'!$D$41*$D37))))),0)</f>
        <v>0</v>
      </c>
      <c r="Q37" s="70">
        <f>IFERROR(IF(Q$4="",0,IF($E37="kWh",VLOOKUP(Q$4,'4. Billing Determinants'!$B$19:$P$41,4,0)/'4. Billing Determinants'!$E$41*$D37,IF($E37="kW",VLOOKUP(Q$4,'4. Billing Determinants'!$B$19:$P$41,5,0)/'4. Billing Determinants'!$F$41*$D37,IF($E37="Non-RPP kWh",VLOOKUP(Q$4,'4. Billing Determinants'!$B$19:$P$41,6,0)/'4. Billing Determinants'!$G$41*$D37,IF($E37="Distribution Rev.",VLOOKUP(Q$4,'4. Billing Determinants'!$B$19:$P$41,8,0)/'4. Billing Determinants'!$I$41*$D37, VLOOKUP(Q$4,'4. Billing Determinants'!$B$19:$P$41,3,0)/'4. Billing Determinants'!$D$41*$D37))))),0)</f>
        <v>0</v>
      </c>
      <c r="R37" s="70">
        <f>IFERROR(IF(R$4="",0,IF($E37="kWh",VLOOKUP(R$4,'4. Billing Determinants'!$B$19:$P$41,4,0)/'4. Billing Determinants'!$E$41*$D37,IF($E37="kW",VLOOKUP(R$4,'4. Billing Determinants'!$B$19:$P$41,5,0)/'4. Billing Determinants'!$F$41*$D37,IF($E37="Non-RPP kWh",VLOOKUP(R$4,'4. Billing Determinants'!$B$19:$P$41,6,0)/'4. Billing Determinants'!$G$41*$D37,IF($E37="Distribution Rev.",VLOOKUP(R$4,'4. Billing Determinants'!$B$19:$P$41,8,0)/'4. Billing Determinants'!$I$41*$D37, VLOOKUP(R$4,'4. Billing Determinants'!$B$19:$P$41,3,0)/'4. Billing Determinants'!$D$41*$D37))))),0)</f>
        <v>0</v>
      </c>
      <c r="S37" s="70">
        <f>IFERROR(IF(S$4="",0,IF($E37="kWh",VLOOKUP(S$4,'4. Billing Determinants'!$B$19:$P$41,4,0)/'4. Billing Determinants'!$E$41*$D37,IF($E37="kW",VLOOKUP(S$4,'4. Billing Determinants'!$B$19:$P$41,5,0)/'4. Billing Determinants'!$F$41*$D37,IF($E37="Non-RPP kWh",VLOOKUP(S$4,'4. Billing Determinants'!$B$19:$P$41,6,0)/'4. Billing Determinants'!$G$41*$D37,IF($E37="Distribution Rev.",VLOOKUP(S$4,'4. Billing Determinants'!$B$19:$P$41,8,0)/'4. Billing Determinants'!$I$41*$D37, VLOOKUP(S$4,'4. Billing Determinants'!$B$19:$P$41,3,0)/'4. Billing Determinants'!$D$41*$D37))))),0)</f>
        <v>0</v>
      </c>
      <c r="T37" s="70">
        <f>IFERROR(IF(T$4="",0,IF($E37="kWh",VLOOKUP(T$4,'4. Billing Determinants'!$B$19:$P$41,4,0)/'4. Billing Determinants'!$E$41*$D37,IF($E37="kW",VLOOKUP(T$4,'4. Billing Determinants'!$B$19:$P$41,5,0)/'4. Billing Determinants'!$F$41*$D37,IF($E37="Non-RPP kWh",VLOOKUP(T$4,'4. Billing Determinants'!$B$19:$P$41,6,0)/'4. Billing Determinants'!$G$41*$D37,IF($E37="Distribution Rev.",VLOOKUP(T$4,'4. Billing Determinants'!$B$19:$P$41,8,0)/'4. Billing Determinants'!$I$41*$D37, VLOOKUP(T$4,'4. Billing Determinants'!$B$19:$P$41,3,0)/'4. Billing Determinants'!$D$41*$D37))))),0)</f>
        <v>0</v>
      </c>
      <c r="U37" s="70">
        <f>IFERROR(IF(U$4="",0,IF($E37="kWh",VLOOKUP(U$4,'4. Billing Determinants'!$B$19:$P$41,4,0)/'4. Billing Determinants'!$E$41*$D37,IF($E37="kW",VLOOKUP(U$4,'4. Billing Determinants'!$B$19:$P$41,5,0)/'4. Billing Determinants'!$F$41*$D37,IF($E37="Non-RPP kWh",VLOOKUP(U$4,'4. Billing Determinants'!$B$19:$P$41,6,0)/'4. Billing Determinants'!$G$41*$D37,IF($E37="Distribution Rev.",VLOOKUP(U$4,'4. Billing Determinants'!$B$19:$P$41,8,0)/'4. Billing Determinants'!$I$41*$D37, VLOOKUP(U$4,'4. Billing Determinants'!$B$19:$P$41,3,0)/'4. Billing Determinants'!$D$41*$D37))))),0)</f>
        <v>0</v>
      </c>
      <c r="V37" s="70">
        <f>IFERROR(IF(V$4="",0,IF($E37="kWh",VLOOKUP(V$4,'4. Billing Determinants'!$B$19:$P$41,4,0)/'4. Billing Determinants'!$E$41*$D37,IF($E37="kW",VLOOKUP(V$4,'4. Billing Determinants'!$B$19:$P$41,5,0)/'4. Billing Determinants'!$F$41*$D37,IF($E37="Non-RPP kWh",VLOOKUP(V$4,'4. Billing Determinants'!$B$19:$P$41,6,0)/'4. Billing Determinants'!$G$41*$D37,IF($E37="Distribution Rev.",VLOOKUP(V$4,'4. Billing Determinants'!$B$19:$P$41,8,0)/'4. Billing Determinants'!$I$41*$D37, VLOOKUP(V$4,'4. Billing Determinants'!$B$19:$P$41,3,0)/'4. Billing Determinants'!$D$41*$D37))))),0)</f>
        <v>0</v>
      </c>
      <c r="W37" s="70">
        <f>IFERROR(IF(W$4="",0,IF($E37="kWh",VLOOKUP(W$4,'4. Billing Determinants'!$B$19:$P$41,4,0)/'4. Billing Determinants'!$E$41*$D37,IF($E37="kW",VLOOKUP(W$4,'4. Billing Determinants'!$B$19:$P$41,5,0)/'4. Billing Determinants'!$F$41*$D37,IF($E37="Non-RPP kWh",VLOOKUP(W$4,'4. Billing Determinants'!$B$19:$P$41,6,0)/'4. Billing Determinants'!$G$41*$D37,IF($E37="Distribution Rev.",VLOOKUP(W$4,'4. Billing Determinants'!$B$19:$P$41,8,0)/'4. Billing Determinants'!$I$41*$D37, VLOOKUP(W$4,'4. Billing Determinants'!$B$19:$P$41,3,0)/'4. Billing Determinants'!$D$41*$D37))))),0)</f>
        <v>0</v>
      </c>
      <c r="X37" s="70">
        <f>IFERROR(IF(X$4="",0,IF($E37="kWh",VLOOKUP(X$4,'4. Billing Determinants'!$B$19:$P$41,4,0)/'4. Billing Determinants'!$E$41*$D37,IF($E37="kW",VLOOKUP(X$4,'4. Billing Determinants'!$B$19:$P$41,5,0)/'4. Billing Determinants'!$F$41*$D37,IF($E37="Non-RPP kWh",VLOOKUP(X$4,'4. Billing Determinants'!$B$19:$P$41,6,0)/'4. Billing Determinants'!$G$41*$D37,IF($E37="Distribution Rev.",VLOOKUP(X$4,'4. Billing Determinants'!$B$19:$P$41,8,0)/'4. Billing Determinants'!$I$41*$D37, VLOOKUP(X$4,'4. Billing Determinants'!$B$19:$P$41,3,0)/'4. Billing Determinants'!$D$41*$D37))))),0)</f>
        <v>0</v>
      </c>
      <c r="Y37" s="70">
        <f>IFERROR(IF(Y$4="",0,IF($E37="kWh",VLOOKUP(Y$4,'4. Billing Determinants'!$B$19:$P$41,4,0)/'4. Billing Determinants'!$E$41*$D37,IF($E37="kW",VLOOKUP(Y$4,'4. Billing Determinants'!$B$19:$P$41,5,0)/'4. Billing Determinants'!$F$41*$D37,IF($E37="Non-RPP kWh",VLOOKUP(Y$4,'4. Billing Determinants'!$B$19:$P$41,6,0)/'4. Billing Determinants'!$G$41*$D37,IF($E37="Distribution Rev.",VLOOKUP(Y$4,'4. Billing Determinants'!$B$19:$P$41,8,0)/'4. Billing Determinants'!$I$41*$D37, VLOOKUP(Y$4,'4. Billing Determinants'!$B$19:$P$41,3,0)/'4. Billing Determinants'!$D$41*$D37))))),0)</f>
        <v>0</v>
      </c>
    </row>
    <row r="38" spans="1:25" s="57" customFormat="1" x14ac:dyDescent="0.2">
      <c r="A38" s="56"/>
      <c r="B38" s="88" t="s">
        <v>114</v>
      </c>
      <c r="C38" s="90"/>
      <c r="D38" s="89">
        <f>SUM(D19:D37)</f>
        <v>360669.01678800001</v>
      </c>
      <c r="E38" s="90"/>
      <c r="F38" s="89">
        <f t="shared" ref="F38:Y38" si="1">SUM(F19:F37)</f>
        <v>307888.61565963679</v>
      </c>
      <c r="G38" s="89">
        <f t="shared" si="1"/>
        <v>31739.728748512018</v>
      </c>
      <c r="H38" s="89">
        <f t="shared" si="1"/>
        <v>18297.675472246759</v>
      </c>
      <c r="I38" s="89">
        <f t="shared" si="1"/>
        <v>307.84736265481331</v>
      </c>
      <c r="J38" s="89">
        <f t="shared" si="1"/>
        <v>2145.5123146169835</v>
      </c>
      <c r="K38" s="89">
        <f t="shared" si="1"/>
        <v>289.6372303325951</v>
      </c>
      <c r="L38" s="89">
        <f t="shared" si="1"/>
        <v>0</v>
      </c>
      <c r="M38" s="89">
        <f t="shared" si="1"/>
        <v>0</v>
      </c>
      <c r="N38" s="89">
        <f t="shared" si="1"/>
        <v>0</v>
      </c>
      <c r="O38" s="89">
        <f t="shared" si="1"/>
        <v>0</v>
      </c>
      <c r="P38" s="89">
        <f t="shared" si="1"/>
        <v>0</v>
      </c>
      <c r="Q38" s="89">
        <f t="shared" si="1"/>
        <v>0</v>
      </c>
      <c r="R38" s="89">
        <f t="shared" si="1"/>
        <v>0</v>
      </c>
      <c r="S38" s="89">
        <f t="shared" si="1"/>
        <v>0</v>
      </c>
      <c r="T38" s="89">
        <f t="shared" si="1"/>
        <v>0</v>
      </c>
      <c r="U38" s="89">
        <f t="shared" si="1"/>
        <v>0</v>
      </c>
      <c r="V38" s="89">
        <f t="shared" si="1"/>
        <v>0</v>
      </c>
      <c r="W38" s="89">
        <f t="shared" si="1"/>
        <v>0</v>
      </c>
      <c r="X38" s="89">
        <f t="shared" si="1"/>
        <v>0</v>
      </c>
      <c r="Y38" s="89">
        <f t="shared" si="1"/>
        <v>0</v>
      </c>
    </row>
    <row r="39" spans="1:25" s="76" customFormat="1" x14ac:dyDescent="0.2">
      <c r="B39" s="77"/>
      <c r="C39" s="78"/>
      <c r="D39" s="79"/>
      <c r="E39" s="84"/>
      <c r="F39" s="79"/>
      <c r="G39" s="79"/>
      <c r="H39" s="79"/>
      <c r="I39" s="79"/>
      <c r="J39" s="79"/>
      <c r="K39" s="79"/>
      <c r="L39" s="79"/>
      <c r="M39" s="79"/>
      <c r="N39" s="79"/>
      <c r="O39" s="79"/>
      <c r="P39" s="79"/>
      <c r="Q39" s="79"/>
      <c r="R39" s="79"/>
      <c r="S39" s="79"/>
      <c r="T39" s="79"/>
      <c r="U39" s="79"/>
      <c r="V39" s="79"/>
      <c r="W39" s="79"/>
      <c r="X39" s="79"/>
      <c r="Y39" s="79"/>
    </row>
    <row r="40" spans="1:25" x14ac:dyDescent="0.2">
      <c r="B40" s="85" t="s">
        <v>8</v>
      </c>
      <c r="C40" s="83">
        <v>1562</v>
      </c>
      <c r="D40" s="70">
        <f>'2. 2014 Continuity Schedule'!BO64</f>
        <v>-5.8207660913467407E-11</v>
      </c>
      <c r="E40" s="130"/>
      <c r="F40" s="70">
        <f>IFERROR(IF(F$4="",0,IF($E40="kWh",VLOOKUP(F$4,'4. Billing Determinants'!$B$19:$P$41,4,0)/'4. Billing Determinants'!$E$41*$D40,IF($E40="kW",VLOOKUP(F$4,'4. Billing Determinants'!$B$19:$P$41,5,0)/'4. Billing Determinants'!$F$41*$D40,IF($E40="Non-RPP kWh",VLOOKUP(F$4,'4. Billing Determinants'!$B$19:$P$41,6,0)/'4. Billing Determinants'!$G$41*$D40,IF($E40="Distribution Rev.",VLOOKUP(F$4,'4. Billing Determinants'!$B$19:$P$41,8,0)/'4. Billing Determinants'!$I$41*$D40, VLOOKUP(F$4,'4. Billing Determinants'!$B$19:$P$41,3,0)/'4. Billing Determinants'!$D$41*$D40))))),0)</f>
        <v>-5.1987054893937402E-11</v>
      </c>
      <c r="G40" s="70">
        <f>IFERROR(IF(G$4="",0,IF($E40="kWh",VLOOKUP(G$4,'4. Billing Determinants'!$B$19:$P$41,4,0)/'4. Billing Determinants'!$E$41*$D40,IF($E40="kW",VLOOKUP(G$4,'4. Billing Determinants'!$B$19:$P$41,5,0)/'4. Billing Determinants'!$F$41*$D40,IF($E40="Non-RPP kWh",VLOOKUP(G$4,'4. Billing Determinants'!$B$19:$P$41,6,0)/'4. Billing Determinants'!$G$41*$D40,IF($E40="Distribution Rev.",VLOOKUP(G$4,'4. Billing Determinants'!$B$19:$P$41,8,0)/'4. Billing Determinants'!$I$41*$D40, VLOOKUP(G$4,'4. Billing Determinants'!$B$19:$P$41,3,0)/'4. Billing Determinants'!$D$41*$D40))))),0)</f>
        <v>-4.8477361340567035E-12</v>
      </c>
      <c r="H40" s="70">
        <f>IFERROR(IF(H$4="",0,IF($E40="kWh",VLOOKUP(H$4,'4. Billing Determinants'!$B$19:$P$41,4,0)/'4. Billing Determinants'!$E$41*$D40,IF($E40="kW",VLOOKUP(H$4,'4. Billing Determinants'!$B$19:$P$41,5,0)/'4. Billing Determinants'!$F$41*$D40,IF($E40="Non-RPP kWh",VLOOKUP(H$4,'4. Billing Determinants'!$B$19:$P$41,6,0)/'4. Billing Determinants'!$G$41*$D40,IF($E40="Distribution Rev.",VLOOKUP(H$4,'4. Billing Determinants'!$B$19:$P$41,8,0)/'4. Billing Determinants'!$I$41*$D40, VLOOKUP(H$4,'4. Billing Determinants'!$B$19:$P$41,3,0)/'4. Billing Determinants'!$D$41*$D40))))),0)</f>
        <v>-9.6954722681134061E-13</v>
      </c>
      <c r="I40" s="70">
        <f>IFERROR(IF(I$4="",0,IF($E40="kWh",VLOOKUP(I$4,'4. Billing Determinants'!$B$19:$P$41,4,0)/'4. Billing Determinants'!$E$41*$D40,IF($E40="kW",VLOOKUP(I$4,'4. Billing Determinants'!$B$19:$P$41,5,0)/'4. Billing Determinants'!$F$41*$D40,IF($E40="Non-RPP kWh",VLOOKUP(I$4,'4. Billing Determinants'!$B$19:$P$41,6,0)/'4. Billing Determinants'!$G$41*$D40,IF($E40="Distribution Rev.",VLOOKUP(I$4,'4. Billing Determinants'!$B$19:$P$41,8,0)/'4. Billing Determinants'!$I$41*$D40, VLOOKUP(I$4,'4. Billing Determinants'!$B$19:$P$41,3,0)/'4. Billing Determinants'!$D$41*$D40))))),0)</f>
        <v>-1.9098844560594197E-14</v>
      </c>
      <c r="J40" s="70">
        <f>IFERROR(IF(J$4="",0,IF($E40="kWh",VLOOKUP(J$4,'4. Billing Determinants'!$B$19:$P$41,4,0)/'4. Billing Determinants'!$E$41*$D40,IF($E40="kW",VLOOKUP(J$4,'4. Billing Determinants'!$B$19:$P$41,5,0)/'4. Billing Determinants'!$F$41*$D40,IF($E40="Non-RPP kWh",VLOOKUP(J$4,'4. Billing Determinants'!$B$19:$P$41,6,0)/'4. Billing Determinants'!$G$41*$D40,IF($E40="Distribution Rev.",VLOOKUP(J$4,'4. Billing Determinants'!$B$19:$P$41,8,0)/'4. Billing Determinants'!$I$41*$D40, VLOOKUP(J$4,'4. Billing Determinants'!$B$19:$P$41,3,0)/'4. Billing Determinants'!$D$41*$D40))))),0)</f>
        <v>-3.7860650687766145E-13</v>
      </c>
      <c r="K40" s="70">
        <f>IFERROR(IF(K$4="",0,IF($E40="kWh",VLOOKUP(K$4,'4. Billing Determinants'!$B$19:$P$41,4,0)/'4. Billing Determinants'!$E$41*$D40,IF($E40="kW",VLOOKUP(K$4,'4. Billing Determinants'!$B$19:$P$41,5,0)/'4. Billing Determinants'!$F$41*$D40,IF($E40="Non-RPP kWh",VLOOKUP(K$4,'4. Billing Determinants'!$B$19:$P$41,6,0)/'4. Billing Determinants'!$G$41*$D40,IF($E40="Distribution Rev.",VLOOKUP(K$4,'4. Billing Determinants'!$B$19:$P$41,8,0)/'4. Billing Determinants'!$I$41*$D40, VLOOKUP(K$4,'4. Billing Determinants'!$B$19:$P$41,3,0)/'4. Billing Determinants'!$D$41*$D40))))),0)</f>
        <v>-5.6173072237041755E-15</v>
      </c>
      <c r="L40" s="70">
        <f>IFERROR(IF(L$4="",0,IF($E40="kWh",VLOOKUP(L$4,'4. Billing Determinants'!$B$19:$P$41,4,0)/'4. Billing Determinants'!$E$41*$D40,IF($E40="kW",VLOOKUP(L$4,'4. Billing Determinants'!$B$19:$P$41,5,0)/'4. Billing Determinants'!$F$41*$D40,IF($E40="Non-RPP kWh",VLOOKUP(L$4,'4. Billing Determinants'!$B$19:$P$41,6,0)/'4. Billing Determinants'!$G$41*$D40,IF($E40="Distribution Rev.",VLOOKUP(L$4,'4. Billing Determinants'!$B$19:$P$41,8,0)/'4. Billing Determinants'!$I$41*$D40, VLOOKUP(L$4,'4. Billing Determinants'!$B$19:$P$41,3,0)/'4. Billing Determinants'!$D$41*$D40))))),0)</f>
        <v>0</v>
      </c>
      <c r="M40" s="70">
        <f>IFERROR(IF(M$4="",0,IF($E40="kWh",VLOOKUP(M$4,'4. Billing Determinants'!$B$19:$P$41,4,0)/'4. Billing Determinants'!$E$41*$D40,IF($E40="kW",VLOOKUP(M$4,'4. Billing Determinants'!$B$19:$P$41,5,0)/'4. Billing Determinants'!$F$41*$D40,IF($E40="Non-RPP kWh",VLOOKUP(M$4,'4. Billing Determinants'!$B$19:$P$41,6,0)/'4. Billing Determinants'!$G$41*$D40,IF($E40="Distribution Rev.",VLOOKUP(M$4,'4. Billing Determinants'!$B$19:$P$41,8,0)/'4. Billing Determinants'!$I$41*$D40, VLOOKUP(M$4,'4. Billing Determinants'!$B$19:$P$41,3,0)/'4. Billing Determinants'!$D$41*$D40))))),0)</f>
        <v>0</v>
      </c>
      <c r="N40" s="70">
        <f>IFERROR(IF(N$4="",0,IF($E40="kWh",VLOOKUP(N$4,'4. Billing Determinants'!$B$19:$P$41,4,0)/'4. Billing Determinants'!$E$41*$D40,IF($E40="kW",VLOOKUP(N$4,'4. Billing Determinants'!$B$19:$P$41,5,0)/'4. Billing Determinants'!$F$41*$D40,IF($E40="Non-RPP kWh",VLOOKUP(N$4,'4. Billing Determinants'!$B$19:$P$41,6,0)/'4. Billing Determinants'!$G$41*$D40,IF($E40="Distribution Rev.",VLOOKUP(N$4,'4. Billing Determinants'!$B$19:$P$41,8,0)/'4. Billing Determinants'!$I$41*$D40, VLOOKUP(N$4,'4. Billing Determinants'!$B$19:$P$41,3,0)/'4. Billing Determinants'!$D$41*$D40))))),0)</f>
        <v>0</v>
      </c>
      <c r="O40" s="70">
        <f>IFERROR(IF(O$4="",0,IF($E40="kWh",VLOOKUP(O$4,'4. Billing Determinants'!$B$19:$P$41,4,0)/'4. Billing Determinants'!$E$41*$D40,IF($E40="kW",VLOOKUP(O$4,'4. Billing Determinants'!$B$19:$P$41,5,0)/'4. Billing Determinants'!$F$41*$D40,IF($E40="Non-RPP kWh",VLOOKUP(O$4,'4. Billing Determinants'!$B$19:$P$41,6,0)/'4. Billing Determinants'!$G$41*$D40,IF($E40="Distribution Rev.",VLOOKUP(O$4,'4. Billing Determinants'!$B$19:$P$41,8,0)/'4. Billing Determinants'!$I$41*$D40, VLOOKUP(O$4,'4. Billing Determinants'!$B$19:$P$41,3,0)/'4. Billing Determinants'!$D$41*$D40))))),0)</f>
        <v>0</v>
      </c>
      <c r="P40" s="70">
        <f>IFERROR(IF(P$4="",0,IF($E40="kWh",VLOOKUP(P$4,'4. Billing Determinants'!$B$19:$P$41,4,0)/'4. Billing Determinants'!$E$41*$D40,IF($E40="kW",VLOOKUP(P$4,'4. Billing Determinants'!$B$19:$P$41,5,0)/'4. Billing Determinants'!$F$41*$D40,IF($E40="Non-RPP kWh",VLOOKUP(P$4,'4. Billing Determinants'!$B$19:$P$41,6,0)/'4. Billing Determinants'!$G$41*$D40,IF($E40="Distribution Rev.",VLOOKUP(P$4,'4. Billing Determinants'!$B$19:$P$41,8,0)/'4. Billing Determinants'!$I$41*$D40, VLOOKUP(P$4,'4. Billing Determinants'!$B$19:$P$41,3,0)/'4. Billing Determinants'!$D$41*$D40))))),0)</f>
        <v>0</v>
      </c>
      <c r="Q40" s="70">
        <f>IFERROR(IF(Q$4="",0,IF($E40="kWh",VLOOKUP(Q$4,'4. Billing Determinants'!$B$19:$P$41,4,0)/'4. Billing Determinants'!$E$41*$D40,IF($E40="kW",VLOOKUP(Q$4,'4. Billing Determinants'!$B$19:$P$41,5,0)/'4. Billing Determinants'!$F$41*$D40,IF($E40="Non-RPP kWh",VLOOKUP(Q$4,'4. Billing Determinants'!$B$19:$P$41,6,0)/'4. Billing Determinants'!$G$41*$D40,IF($E40="Distribution Rev.",VLOOKUP(Q$4,'4. Billing Determinants'!$B$19:$P$41,8,0)/'4. Billing Determinants'!$I$41*$D40, VLOOKUP(Q$4,'4. Billing Determinants'!$B$19:$P$41,3,0)/'4. Billing Determinants'!$D$41*$D40))))),0)</f>
        <v>0</v>
      </c>
      <c r="R40" s="70">
        <f>IFERROR(IF(R$4="",0,IF($E40="kWh",VLOOKUP(R$4,'4. Billing Determinants'!$B$19:$P$41,4,0)/'4. Billing Determinants'!$E$41*$D40,IF($E40="kW",VLOOKUP(R$4,'4. Billing Determinants'!$B$19:$P$41,5,0)/'4. Billing Determinants'!$F$41*$D40,IF($E40="Non-RPP kWh",VLOOKUP(R$4,'4. Billing Determinants'!$B$19:$P$41,6,0)/'4. Billing Determinants'!$G$41*$D40,IF($E40="Distribution Rev.",VLOOKUP(R$4,'4. Billing Determinants'!$B$19:$P$41,8,0)/'4. Billing Determinants'!$I$41*$D40, VLOOKUP(R$4,'4. Billing Determinants'!$B$19:$P$41,3,0)/'4. Billing Determinants'!$D$41*$D40))))),0)</f>
        <v>0</v>
      </c>
      <c r="S40" s="70">
        <f>IFERROR(IF(S$4="",0,IF($E40="kWh",VLOOKUP(S$4,'4. Billing Determinants'!$B$19:$P$41,4,0)/'4. Billing Determinants'!$E$41*$D40,IF($E40="kW",VLOOKUP(S$4,'4. Billing Determinants'!$B$19:$P$41,5,0)/'4. Billing Determinants'!$F$41*$D40,IF($E40="Non-RPP kWh",VLOOKUP(S$4,'4. Billing Determinants'!$B$19:$P$41,6,0)/'4. Billing Determinants'!$G$41*$D40,IF($E40="Distribution Rev.",VLOOKUP(S$4,'4. Billing Determinants'!$B$19:$P$41,8,0)/'4. Billing Determinants'!$I$41*$D40, VLOOKUP(S$4,'4. Billing Determinants'!$B$19:$P$41,3,0)/'4. Billing Determinants'!$D$41*$D40))))),0)</f>
        <v>0</v>
      </c>
      <c r="T40" s="70">
        <f>IFERROR(IF(T$4="",0,IF($E40="kWh",VLOOKUP(T$4,'4. Billing Determinants'!$B$19:$P$41,4,0)/'4. Billing Determinants'!$E$41*$D40,IF($E40="kW",VLOOKUP(T$4,'4. Billing Determinants'!$B$19:$P$41,5,0)/'4. Billing Determinants'!$F$41*$D40,IF($E40="Non-RPP kWh",VLOOKUP(T$4,'4. Billing Determinants'!$B$19:$P$41,6,0)/'4. Billing Determinants'!$G$41*$D40,IF($E40="Distribution Rev.",VLOOKUP(T$4,'4. Billing Determinants'!$B$19:$P$41,8,0)/'4. Billing Determinants'!$I$41*$D40, VLOOKUP(T$4,'4. Billing Determinants'!$B$19:$P$41,3,0)/'4. Billing Determinants'!$D$41*$D40))))),0)</f>
        <v>0</v>
      </c>
      <c r="U40" s="70">
        <f>IFERROR(IF(U$4="",0,IF($E40="kWh",VLOOKUP(U$4,'4. Billing Determinants'!$B$19:$P$41,4,0)/'4. Billing Determinants'!$E$41*$D40,IF($E40="kW",VLOOKUP(U$4,'4. Billing Determinants'!$B$19:$P$41,5,0)/'4. Billing Determinants'!$F$41*$D40,IF($E40="Non-RPP kWh",VLOOKUP(U$4,'4. Billing Determinants'!$B$19:$P$41,6,0)/'4. Billing Determinants'!$G$41*$D40,IF($E40="Distribution Rev.",VLOOKUP(U$4,'4. Billing Determinants'!$B$19:$P$41,8,0)/'4. Billing Determinants'!$I$41*$D40, VLOOKUP(U$4,'4. Billing Determinants'!$B$19:$P$41,3,0)/'4. Billing Determinants'!$D$41*$D40))))),0)</f>
        <v>0</v>
      </c>
      <c r="V40" s="70">
        <f>IFERROR(IF(V$4="",0,IF($E40="kWh",VLOOKUP(V$4,'4. Billing Determinants'!$B$19:$P$41,4,0)/'4. Billing Determinants'!$E$41*$D40,IF($E40="kW",VLOOKUP(V$4,'4. Billing Determinants'!$B$19:$P$41,5,0)/'4. Billing Determinants'!$F$41*$D40,IF($E40="Non-RPP kWh",VLOOKUP(V$4,'4. Billing Determinants'!$B$19:$P$41,6,0)/'4. Billing Determinants'!$G$41*$D40,IF($E40="Distribution Rev.",VLOOKUP(V$4,'4. Billing Determinants'!$B$19:$P$41,8,0)/'4. Billing Determinants'!$I$41*$D40, VLOOKUP(V$4,'4. Billing Determinants'!$B$19:$P$41,3,0)/'4. Billing Determinants'!$D$41*$D40))))),0)</f>
        <v>0</v>
      </c>
      <c r="W40" s="70">
        <f>IFERROR(IF(W$4="",0,IF($E40="kWh",VLOOKUP(W$4,'4. Billing Determinants'!$B$19:$P$41,4,0)/'4. Billing Determinants'!$E$41*$D40,IF($E40="kW",VLOOKUP(W$4,'4. Billing Determinants'!$B$19:$P$41,5,0)/'4. Billing Determinants'!$F$41*$D40,IF($E40="Non-RPP kWh",VLOOKUP(W$4,'4. Billing Determinants'!$B$19:$P$41,6,0)/'4. Billing Determinants'!$G$41*$D40,IF($E40="Distribution Rev.",VLOOKUP(W$4,'4. Billing Determinants'!$B$19:$P$41,8,0)/'4. Billing Determinants'!$I$41*$D40, VLOOKUP(W$4,'4. Billing Determinants'!$B$19:$P$41,3,0)/'4. Billing Determinants'!$D$41*$D40))))),0)</f>
        <v>0</v>
      </c>
      <c r="X40" s="70">
        <f>IFERROR(IF(X$4="",0,IF($E40="kWh",VLOOKUP(X$4,'4. Billing Determinants'!$B$19:$P$41,4,0)/'4. Billing Determinants'!$E$41*$D40,IF($E40="kW",VLOOKUP(X$4,'4. Billing Determinants'!$B$19:$P$41,5,0)/'4. Billing Determinants'!$F$41*$D40,IF($E40="Non-RPP kWh",VLOOKUP(X$4,'4. Billing Determinants'!$B$19:$P$41,6,0)/'4. Billing Determinants'!$G$41*$D40,IF($E40="Distribution Rev.",VLOOKUP(X$4,'4. Billing Determinants'!$B$19:$P$41,8,0)/'4. Billing Determinants'!$I$41*$D40, VLOOKUP(X$4,'4. Billing Determinants'!$B$19:$P$41,3,0)/'4. Billing Determinants'!$D$41*$D40))))),0)</f>
        <v>0</v>
      </c>
      <c r="Y40" s="70">
        <f>IFERROR(IF(Y$4="",0,IF($E40="kWh",VLOOKUP(Y$4,'4. Billing Determinants'!$B$19:$P$41,4,0)/'4. Billing Determinants'!$E$41*$D40,IF($E40="kW",VLOOKUP(Y$4,'4. Billing Determinants'!$B$19:$P$41,5,0)/'4. Billing Determinants'!$F$41*$D40,IF($E40="Non-RPP kWh",VLOOKUP(Y$4,'4. Billing Determinants'!$B$19:$P$41,6,0)/'4. Billing Determinants'!$G$41*$D40,IF($E40="Distribution Rev.",VLOOKUP(Y$4,'4. Billing Determinants'!$B$19:$P$41,8,0)/'4. Billing Determinants'!$I$41*$D40, VLOOKUP(Y$4,'4. Billing Determinants'!$B$19:$P$41,3,0)/'4. Billing Determinants'!$D$41*$D40))))),0)</f>
        <v>0</v>
      </c>
    </row>
    <row r="41" spans="1:25" ht="25.5" x14ac:dyDescent="0.2">
      <c r="B41" s="86" t="s">
        <v>117</v>
      </c>
      <c r="C41" s="83">
        <v>1592</v>
      </c>
      <c r="D41" s="70">
        <f>'2. 2014 Continuity Schedule'!BO65</f>
        <v>0</v>
      </c>
      <c r="E41" s="130"/>
      <c r="F41" s="70">
        <f>IFERROR(IF(F$4="",0,IF($E41="kWh",VLOOKUP(F$4,'4. Billing Determinants'!$B$19:$P$41,4,0)/'4. Billing Determinants'!$E$41*$D41,IF($E41="kW",VLOOKUP(F$4,'4. Billing Determinants'!$B$19:$P$41,5,0)/'4. Billing Determinants'!$F$41*$D41,IF($E41="Non-RPP kWh",VLOOKUP(F$4,'4. Billing Determinants'!$B$19:$P$41,6,0)/'4. Billing Determinants'!$G$41*$D41,IF($E41="Distribution Rev.",VLOOKUP(F$4,'4. Billing Determinants'!$B$19:$P$41,8,0)/'4. Billing Determinants'!$I$41*$D41, VLOOKUP(F$4,'4. Billing Determinants'!$B$19:$P$41,3,0)/'4. Billing Determinants'!$D$41*$D41))))),0)</f>
        <v>0</v>
      </c>
      <c r="G41" s="70">
        <f>IFERROR(IF(G$4="",0,IF($E41="kWh",VLOOKUP(G$4,'4. Billing Determinants'!$B$19:$P$41,4,0)/'4. Billing Determinants'!$E$41*$D41,IF($E41="kW",VLOOKUP(G$4,'4. Billing Determinants'!$B$19:$P$41,5,0)/'4. Billing Determinants'!$F$41*$D41,IF($E41="Non-RPP kWh",VLOOKUP(G$4,'4. Billing Determinants'!$B$19:$P$41,6,0)/'4. Billing Determinants'!$G$41*$D41,IF($E41="Distribution Rev.",VLOOKUP(G$4,'4. Billing Determinants'!$B$19:$P$41,8,0)/'4. Billing Determinants'!$I$41*$D41, VLOOKUP(G$4,'4. Billing Determinants'!$B$19:$P$41,3,0)/'4. Billing Determinants'!$D$41*$D41))))),0)</f>
        <v>0</v>
      </c>
      <c r="H41" s="70">
        <f>IFERROR(IF(H$4="",0,IF($E41="kWh",VLOOKUP(H$4,'4. Billing Determinants'!$B$19:$P$41,4,0)/'4. Billing Determinants'!$E$41*$D41,IF($E41="kW",VLOOKUP(H$4,'4. Billing Determinants'!$B$19:$P$41,5,0)/'4. Billing Determinants'!$F$41*$D41,IF($E41="Non-RPP kWh",VLOOKUP(H$4,'4. Billing Determinants'!$B$19:$P$41,6,0)/'4. Billing Determinants'!$G$41*$D41,IF($E41="Distribution Rev.",VLOOKUP(H$4,'4. Billing Determinants'!$B$19:$P$41,8,0)/'4. Billing Determinants'!$I$41*$D41, VLOOKUP(H$4,'4. Billing Determinants'!$B$19:$P$41,3,0)/'4. Billing Determinants'!$D$41*$D41))))),0)</f>
        <v>0</v>
      </c>
      <c r="I41" s="70">
        <f>IFERROR(IF(I$4="",0,IF($E41="kWh",VLOOKUP(I$4,'4. Billing Determinants'!$B$19:$P$41,4,0)/'4. Billing Determinants'!$E$41*$D41,IF($E41="kW",VLOOKUP(I$4,'4. Billing Determinants'!$B$19:$P$41,5,0)/'4. Billing Determinants'!$F$41*$D41,IF($E41="Non-RPP kWh",VLOOKUP(I$4,'4. Billing Determinants'!$B$19:$P$41,6,0)/'4. Billing Determinants'!$G$41*$D41,IF($E41="Distribution Rev.",VLOOKUP(I$4,'4. Billing Determinants'!$B$19:$P$41,8,0)/'4. Billing Determinants'!$I$41*$D41, VLOOKUP(I$4,'4. Billing Determinants'!$B$19:$P$41,3,0)/'4. Billing Determinants'!$D$41*$D41))))),0)</f>
        <v>0</v>
      </c>
      <c r="J41" s="70">
        <f>IFERROR(IF(J$4="",0,IF($E41="kWh",VLOOKUP(J$4,'4. Billing Determinants'!$B$19:$P$41,4,0)/'4. Billing Determinants'!$E$41*$D41,IF($E41="kW",VLOOKUP(J$4,'4. Billing Determinants'!$B$19:$P$41,5,0)/'4. Billing Determinants'!$F$41*$D41,IF($E41="Non-RPP kWh",VLOOKUP(J$4,'4. Billing Determinants'!$B$19:$P$41,6,0)/'4. Billing Determinants'!$G$41*$D41,IF($E41="Distribution Rev.",VLOOKUP(J$4,'4. Billing Determinants'!$B$19:$P$41,8,0)/'4. Billing Determinants'!$I$41*$D41, VLOOKUP(J$4,'4. Billing Determinants'!$B$19:$P$41,3,0)/'4. Billing Determinants'!$D$41*$D41))))),0)</f>
        <v>0</v>
      </c>
      <c r="K41" s="70">
        <f>IFERROR(IF(K$4="",0,IF($E41="kWh",VLOOKUP(K$4,'4. Billing Determinants'!$B$19:$P$41,4,0)/'4. Billing Determinants'!$E$41*$D41,IF($E41="kW",VLOOKUP(K$4,'4. Billing Determinants'!$B$19:$P$41,5,0)/'4. Billing Determinants'!$F$41*$D41,IF($E41="Non-RPP kWh",VLOOKUP(K$4,'4. Billing Determinants'!$B$19:$P$41,6,0)/'4. Billing Determinants'!$G$41*$D41,IF($E41="Distribution Rev.",VLOOKUP(K$4,'4. Billing Determinants'!$B$19:$P$41,8,0)/'4. Billing Determinants'!$I$41*$D41, VLOOKUP(K$4,'4. Billing Determinants'!$B$19:$P$41,3,0)/'4. Billing Determinants'!$D$41*$D41))))),0)</f>
        <v>0</v>
      </c>
      <c r="L41" s="70">
        <f>IFERROR(IF(L$4="",0,IF($E41="kWh",VLOOKUP(L$4,'4. Billing Determinants'!$B$19:$P$41,4,0)/'4. Billing Determinants'!$E$41*$D41,IF($E41="kW",VLOOKUP(L$4,'4. Billing Determinants'!$B$19:$P$41,5,0)/'4. Billing Determinants'!$F$41*$D41,IF($E41="Non-RPP kWh",VLOOKUP(L$4,'4. Billing Determinants'!$B$19:$P$41,6,0)/'4. Billing Determinants'!$G$41*$D41,IF($E41="Distribution Rev.",VLOOKUP(L$4,'4. Billing Determinants'!$B$19:$P$41,8,0)/'4. Billing Determinants'!$I$41*$D41, VLOOKUP(L$4,'4. Billing Determinants'!$B$19:$P$41,3,0)/'4. Billing Determinants'!$D$41*$D41))))),0)</f>
        <v>0</v>
      </c>
      <c r="M41" s="70">
        <f>IFERROR(IF(M$4="",0,IF($E41="kWh",VLOOKUP(M$4,'4. Billing Determinants'!$B$19:$P$41,4,0)/'4. Billing Determinants'!$E$41*$D41,IF($E41="kW",VLOOKUP(M$4,'4. Billing Determinants'!$B$19:$P$41,5,0)/'4. Billing Determinants'!$F$41*$D41,IF($E41="Non-RPP kWh",VLOOKUP(M$4,'4. Billing Determinants'!$B$19:$P$41,6,0)/'4. Billing Determinants'!$G$41*$D41,IF($E41="Distribution Rev.",VLOOKUP(M$4,'4. Billing Determinants'!$B$19:$P$41,8,0)/'4. Billing Determinants'!$I$41*$D41, VLOOKUP(M$4,'4. Billing Determinants'!$B$19:$P$41,3,0)/'4. Billing Determinants'!$D$41*$D41))))),0)</f>
        <v>0</v>
      </c>
      <c r="N41" s="70">
        <f>IFERROR(IF(N$4="",0,IF($E41="kWh",VLOOKUP(N$4,'4. Billing Determinants'!$B$19:$P$41,4,0)/'4. Billing Determinants'!$E$41*$D41,IF($E41="kW",VLOOKUP(N$4,'4. Billing Determinants'!$B$19:$P$41,5,0)/'4. Billing Determinants'!$F$41*$D41,IF($E41="Non-RPP kWh",VLOOKUP(N$4,'4. Billing Determinants'!$B$19:$P$41,6,0)/'4. Billing Determinants'!$G$41*$D41,IF($E41="Distribution Rev.",VLOOKUP(N$4,'4. Billing Determinants'!$B$19:$P$41,8,0)/'4. Billing Determinants'!$I$41*$D41, VLOOKUP(N$4,'4. Billing Determinants'!$B$19:$P$41,3,0)/'4. Billing Determinants'!$D$41*$D41))))),0)</f>
        <v>0</v>
      </c>
      <c r="O41" s="70">
        <f>IFERROR(IF(O$4="",0,IF($E41="kWh",VLOOKUP(O$4,'4. Billing Determinants'!$B$19:$P$41,4,0)/'4. Billing Determinants'!$E$41*$D41,IF($E41="kW",VLOOKUP(O$4,'4. Billing Determinants'!$B$19:$P$41,5,0)/'4. Billing Determinants'!$F$41*$D41,IF($E41="Non-RPP kWh",VLOOKUP(O$4,'4. Billing Determinants'!$B$19:$P$41,6,0)/'4. Billing Determinants'!$G$41*$D41,IF($E41="Distribution Rev.",VLOOKUP(O$4,'4. Billing Determinants'!$B$19:$P$41,8,0)/'4. Billing Determinants'!$I$41*$D41, VLOOKUP(O$4,'4. Billing Determinants'!$B$19:$P$41,3,0)/'4. Billing Determinants'!$D$41*$D41))))),0)</f>
        <v>0</v>
      </c>
      <c r="P41" s="70">
        <f>IFERROR(IF(P$4="",0,IF($E41="kWh",VLOOKUP(P$4,'4. Billing Determinants'!$B$19:$P$41,4,0)/'4. Billing Determinants'!$E$41*$D41,IF($E41="kW",VLOOKUP(P$4,'4. Billing Determinants'!$B$19:$P$41,5,0)/'4. Billing Determinants'!$F$41*$D41,IF($E41="Non-RPP kWh",VLOOKUP(P$4,'4. Billing Determinants'!$B$19:$P$41,6,0)/'4. Billing Determinants'!$G$41*$D41,IF($E41="Distribution Rev.",VLOOKUP(P$4,'4. Billing Determinants'!$B$19:$P$41,8,0)/'4. Billing Determinants'!$I$41*$D41, VLOOKUP(P$4,'4. Billing Determinants'!$B$19:$P$41,3,0)/'4. Billing Determinants'!$D$41*$D41))))),0)</f>
        <v>0</v>
      </c>
      <c r="Q41" s="70">
        <f>IFERROR(IF(Q$4="",0,IF($E41="kWh",VLOOKUP(Q$4,'4. Billing Determinants'!$B$19:$P$41,4,0)/'4. Billing Determinants'!$E$41*$D41,IF($E41="kW",VLOOKUP(Q$4,'4. Billing Determinants'!$B$19:$P$41,5,0)/'4. Billing Determinants'!$F$41*$D41,IF($E41="Non-RPP kWh",VLOOKUP(Q$4,'4. Billing Determinants'!$B$19:$P$41,6,0)/'4. Billing Determinants'!$G$41*$D41,IF($E41="Distribution Rev.",VLOOKUP(Q$4,'4. Billing Determinants'!$B$19:$P$41,8,0)/'4. Billing Determinants'!$I$41*$D41, VLOOKUP(Q$4,'4. Billing Determinants'!$B$19:$P$41,3,0)/'4. Billing Determinants'!$D$41*$D41))))),0)</f>
        <v>0</v>
      </c>
      <c r="R41" s="70">
        <f>IFERROR(IF(R$4="",0,IF($E41="kWh",VLOOKUP(R$4,'4. Billing Determinants'!$B$19:$P$41,4,0)/'4. Billing Determinants'!$E$41*$D41,IF($E41="kW",VLOOKUP(R$4,'4. Billing Determinants'!$B$19:$P$41,5,0)/'4. Billing Determinants'!$F$41*$D41,IF($E41="Non-RPP kWh",VLOOKUP(R$4,'4. Billing Determinants'!$B$19:$P$41,6,0)/'4. Billing Determinants'!$G$41*$D41,IF($E41="Distribution Rev.",VLOOKUP(R$4,'4. Billing Determinants'!$B$19:$P$41,8,0)/'4. Billing Determinants'!$I$41*$D41, VLOOKUP(R$4,'4. Billing Determinants'!$B$19:$P$41,3,0)/'4. Billing Determinants'!$D$41*$D41))))),0)</f>
        <v>0</v>
      </c>
      <c r="S41" s="70">
        <f>IFERROR(IF(S$4="",0,IF($E41="kWh",VLOOKUP(S$4,'4. Billing Determinants'!$B$19:$P$41,4,0)/'4. Billing Determinants'!$E$41*$D41,IF($E41="kW",VLOOKUP(S$4,'4. Billing Determinants'!$B$19:$P$41,5,0)/'4. Billing Determinants'!$F$41*$D41,IF($E41="Non-RPP kWh",VLOOKUP(S$4,'4. Billing Determinants'!$B$19:$P$41,6,0)/'4. Billing Determinants'!$G$41*$D41,IF($E41="Distribution Rev.",VLOOKUP(S$4,'4. Billing Determinants'!$B$19:$P$41,8,0)/'4. Billing Determinants'!$I$41*$D41, VLOOKUP(S$4,'4. Billing Determinants'!$B$19:$P$41,3,0)/'4. Billing Determinants'!$D$41*$D41))))),0)</f>
        <v>0</v>
      </c>
      <c r="T41" s="70">
        <f>IFERROR(IF(T$4="",0,IF($E41="kWh",VLOOKUP(T$4,'4. Billing Determinants'!$B$19:$P$41,4,0)/'4. Billing Determinants'!$E$41*$D41,IF($E41="kW",VLOOKUP(T$4,'4. Billing Determinants'!$B$19:$P$41,5,0)/'4. Billing Determinants'!$F$41*$D41,IF($E41="Non-RPP kWh",VLOOKUP(T$4,'4. Billing Determinants'!$B$19:$P$41,6,0)/'4. Billing Determinants'!$G$41*$D41,IF($E41="Distribution Rev.",VLOOKUP(T$4,'4. Billing Determinants'!$B$19:$P$41,8,0)/'4. Billing Determinants'!$I$41*$D41, VLOOKUP(T$4,'4. Billing Determinants'!$B$19:$P$41,3,0)/'4. Billing Determinants'!$D$41*$D41))))),0)</f>
        <v>0</v>
      </c>
      <c r="U41" s="70">
        <f>IFERROR(IF(U$4="",0,IF($E41="kWh",VLOOKUP(U$4,'4. Billing Determinants'!$B$19:$P$41,4,0)/'4. Billing Determinants'!$E$41*$D41,IF($E41="kW",VLOOKUP(U$4,'4. Billing Determinants'!$B$19:$P$41,5,0)/'4. Billing Determinants'!$F$41*$D41,IF($E41="Non-RPP kWh",VLOOKUP(U$4,'4. Billing Determinants'!$B$19:$P$41,6,0)/'4. Billing Determinants'!$G$41*$D41,IF($E41="Distribution Rev.",VLOOKUP(U$4,'4. Billing Determinants'!$B$19:$P$41,8,0)/'4. Billing Determinants'!$I$41*$D41, VLOOKUP(U$4,'4. Billing Determinants'!$B$19:$P$41,3,0)/'4. Billing Determinants'!$D$41*$D41))))),0)</f>
        <v>0</v>
      </c>
      <c r="V41" s="70">
        <f>IFERROR(IF(V$4="",0,IF($E41="kWh",VLOOKUP(V$4,'4. Billing Determinants'!$B$19:$P$41,4,0)/'4. Billing Determinants'!$E$41*$D41,IF($E41="kW",VLOOKUP(V$4,'4. Billing Determinants'!$B$19:$P$41,5,0)/'4. Billing Determinants'!$F$41*$D41,IF($E41="Non-RPP kWh",VLOOKUP(V$4,'4. Billing Determinants'!$B$19:$P$41,6,0)/'4. Billing Determinants'!$G$41*$D41,IF($E41="Distribution Rev.",VLOOKUP(V$4,'4. Billing Determinants'!$B$19:$P$41,8,0)/'4. Billing Determinants'!$I$41*$D41, VLOOKUP(V$4,'4. Billing Determinants'!$B$19:$P$41,3,0)/'4. Billing Determinants'!$D$41*$D41))))),0)</f>
        <v>0</v>
      </c>
      <c r="W41" s="70">
        <f>IFERROR(IF(W$4="",0,IF($E41="kWh",VLOOKUP(W$4,'4. Billing Determinants'!$B$19:$P$41,4,0)/'4. Billing Determinants'!$E$41*$D41,IF($E41="kW",VLOOKUP(W$4,'4. Billing Determinants'!$B$19:$P$41,5,0)/'4. Billing Determinants'!$F$41*$D41,IF($E41="Non-RPP kWh",VLOOKUP(W$4,'4. Billing Determinants'!$B$19:$P$41,6,0)/'4. Billing Determinants'!$G$41*$D41,IF($E41="Distribution Rev.",VLOOKUP(W$4,'4. Billing Determinants'!$B$19:$P$41,8,0)/'4. Billing Determinants'!$I$41*$D41, VLOOKUP(W$4,'4. Billing Determinants'!$B$19:$P$41,3,0)/'4. Billing Determinants'!$D$41*$D41))))),0)</f>
        <v>0</v>
      </c>
      <c r="X41" s="70">
        <f>IFERROR(IF(X$4="",0,IF($E41="kWh",VLOOKUP(X$4,'4. Billing Determinants'!$B$19:$P$41,4,0)/'4. Billing Determinants'!$E$41*$D41,IF($E41="kW",VLOOKUP(X$4,'4. Billing Determinants'!$B$19:$P$41,5,0)/'4. Billing Determinants'!$F$41*$D41,IF($E41="Non-RPP kWh",VLOOKUP(X$4,'4. Billing Determinants'!$B$19:$P$41,6,0)/'4. Billing Determinants'!$G$41*$D41,IF($E41="Distribution Rev.",VLOOKUP(X$4,'4. Billing Determinants'!$B$19:$P$41,8,0)/'4. Billing Determinants'!$I$41*$D41, VLOOKUP(X$4,'4. Billing Determinants'!$B$19:$P$41,3,0)/'4. Billing Determinants'!$D$41*$D41))))),0)</f>
        <v>0</v>
      </c>
      <c r="Y41" s="70">
        <f>IFERROR(IF(Y$4="",0,IF($E41="kWh",VLOOKUP(Y$4,'4. Billing Determinants'!$B$19:$P$41,4,0)/'4. Billing Determinants'!$E$41*$D41,IF($E41="kW",VLOOKUP(Y$4,'4. Billing Determinants'!$B$19:$P$41,5,0)/'4. Billing Determinants'!$F$41*$D41,IF($E41="Non-RPP kWh",VLOOKUP(Y$4,'4. Billing Determinants'!$B$19:$P$41,6,0)/'4. Billing Determinants'!$G$41*$D41,IF($E41="Distribution Rev.",VLOOKUP(Y$4,'4. Billing Determinants'!$B$19:$P$41,8,0)/'4. Billing Determinants'!$I$41*$D41, VLOOKUP(Y$4,'4. Billing Determinants'!$B$19:$P$41,3,0)/'4. Billing Determinants'!$D$41*$D41))))),0)</f>
        <v>0</v>
      </c>
    </row>
    <row r="42" spans="1:25" ht="25.5" x14ac:dyDescent="0.2">
      <c r="B42" s="86" t="s">
        <v>112</v>
      </c>
      <c r="C42" s="83">
        <v>1592</v>
      </c>
      <c r="D42" s="70">
        <f>'2. 2014 Continuity Schedule'!BO66</f>
        <v>-63049.565979999992</v>
      </c>
      <c r="E42" s="130" t="s">
        <v>297</v>
      </c>
      <c r="F42" s="70">
        <f>IFERROR(IF(F$4="",0,IF($E42="kWh",VLOOKUP(F$4,'4. Billing Determinants'!$B$19:$P$41,4,0)/'4. Billing Determinants'!$E$41*$D42,IF($E42="kW",VLOOKUP(F$4,'4. Billing Determinants'!$B$19:$P$41,5,0)/'4. Billing Determinants'!$F$41*$D42,IF($E42="Non-RPP kWh",VLOOKUP(F$4,'4. Billing Determinants'!$B$19:$P$41,6,0)/'4. Billing Determinants'!$G$41*$D42,IF($E42="Distribution Rev.",VLOOKUP(F$4,'4. Billing Determinants'!$B$19:$P$41,8,0)/'4. Billing Determinants'!$I$41*$D42, VLOOKUP(F$4,'4. Billing Determinants'!$B$19:$P$41,3,0)/'4. Billing Determinants'!$D$41*$D42))))),0)</f>
        <v>-35412.654286530102</v>
      </c>
      <c r="G42" s="70">
        <f>IFERROR(IF(G$4="",0,IF($E42="kWh",VLOOKUP(G$4,'4. Billing Determinants'!$B$19:$P$41,4,0)/'4. Billing Determinants'!$E$41*$D42,IF($E42="kW",VLOOKUP(G$4,'4. Billing Determinants'!$B$19:$P$41,5,0)/'4. Billing Determinants'!$F$41*$D42,IF($E42="Non-RPP kWh",VLOOKUP(G$4,'4. Billing Determinants'!$B$19:$P$41,6,0)/'4. Billing Determinants'!$G$41*$D42,IF($E42="Distribution Rev.",VLOOKUP(G$4,'4. Billing Determinants'!$B$19:$P$41,8,0)/'4. Billing Determinants'!$I$41*$D42, VLOOKUP(G$4,'4. Billing Determinants'!$B$19:$P$41,3,0)/'4. Billing Determinants'!$D$41*$D42))))),0)</f>
        <v>-7749.5148711315669</v>
      </c>
      <c r="H42" s="70">
        <f>IFERROR(IF(H$4="",0,IF($E42="kWh",VLOOKUP(H$4,'4. Billing Determinants'!$B$19:$P$41,4,0)/'4. Billing Determinants'!$E$41*$D42,IF($E42="kW",VLOOKUP(H$4,'4. Billing Determinants'!$B$19:$P$41,5,0)/'4. Billing Determinants'!$F$41*$D42,IF($E42="Non-RPP kWh",VLOOKUP(H$4,'4. Billing Determinants'!$B$19:$P$41,6,0)/'4. Billing Determinants'!$G$41*$D42,IF($E42="Distribution Rev.",VLOOKUP(H$4,'4. Billing Determinants'!$B$19:$P$41,8,0)/'4. Billing Determinants'!$I$41*$D42, VLOOKUP(H$4,'4. Billing Determinants'!$B$19:$P$41,3,0)/'4. Billing Determinants'!$D$41*$D42))))),0)</f>
        <v>-19092.456997874458</v>
      </c>
      <c r="I42" s="70">
        <f>IFERROR(IF(I$4="",0,IF($E42="kWh",VLOOKUP(I$4,'4. Billing Determinants'!$B$19:$P$41,4,0)/'4. Billing Determinants'!$E$41*$D42,IF($E42="kW",VLOOKUP(I$4,'4. Billing Determinants'!$B$19:$P$41,5,0)/'4. Billing Determinants'!$F$41*$D42,IF($E42="Non-RPP kWh",VLOOKUP(I$4,'4. Billing Determinants'!$B$19:$P$41,6,0)/'4. Billing Determinants'!$G$41*$D42,IF($E42="Distribution Rev.",VLOOKUP(I$4,'4. Billing Determinants'!$B$19:$P$41,8,0)/'4. Billing Determinants'!$I$41*$D42, VLOOKUP(I$4,'4. Billing Determinants'!$B$19:$P$41,3,0)/'4. Billing Determinants'!$D$41*$D42))))),0)</f>
        <v>-298.88823368710331</v>
      </c>
      <c r="J42" s="70">
        <f>IFERROR(IF(J$4="",0,IF($E42="kWh",VLOOKUP(J$4,'4. Billing Determinants'!$B$19:$P$41,4,0)/'4. Billing Determinants'!$E$41*$D42,IF($E42="kW",VLOOKUP(J$4,'4. Billing Determinants'!$B$19:$P$41,5,0)/'4. Billing Determinants'!$F$41*$D42,IF($E42="Non-RPP kWh",VLOOKUP(J$4,'4. Billing Determinants'!$B$19:$P$41,6,0)/'4. Billing Determinants'!$G$41*$D42,IF($E42="Distribution Rev.",VLOOKUP(J$4,'4. Billing Determinants'!$B$19:$P$41,8,0)/'4. Billing Determinants'!$I$41*$D42, VLOOKUP(J$4,'4. Billing Determinants'!$B$19:$P$41,3,0)/'4. Billing Determinants'!$D$41*$D42))))),0)</f>
        <v>-115.86761410453165</v>
      </c>
      <c r="K42" s="70">
        <f>IFERROR(IF(K$4="",0,IF($E42="kWh",VLOOKUP(K$4,'4. Billing Determinants'!$B$19:$P$41,4,0)/'4. Billing Determinants'!$E$41*$D42,IF($E42="kW",VLOOKUP(K$4,'4. Billing Determinants'!$B$19:$P$41,5,0)/'4. Billing Determinants'!$F$41*$D42,IF($E42="Non-RPP kWh",VLOOKUP(K$4,'4. Billing Determinants'!$B$19:$P$41,6,0)/'4. Billing Determinants'!$G$41*$D42,IF($E42="Distribution Rev.",VLOOKUP(K$4,'4. Billing Determinants'!$B$19:$P$41,8,0)/'4. Billing Determinants'!$I$41*$D42, VLOOKUP(K$4,'4. Billing Determinants'!$B$19:$P$41,3,0)/'4. Billing Determinants'!$D$41*$D42))))),0)</f>
        <v>-380.18397667222712</v>
      </c>
      <c r="L42" s="70">
        <f>IFERROR(IF(L$4="",0,IF($E42="kWh",VLOOKUP(L$4,'4. Billing Determinants'!$B$19:$P$41,4,0)/'4. Billing Determinants'!$E$41*$D42,IF($E42="kW",VLOOKUP(L$4,'4. Billing Determinants'!$B$19:$P$41,5,0)/'4. Billing Determinants'!$F$41*$D42,IF($E42="Non-RPP kWh",VLOOKUP(L$4,'4. Billing Determinants'!$B$19:$P$41,6,0)/'4. Billing Determinants'!$G$41*$D42,IF($E42="Distribution Rev.",VLOOKUP(L$4,'4. Billing Determinants'!$B$19:$P$41,8,0)/'4. Billing Determinants'!$I$41*$D42, VLOOKUP(L$4,'4. Billing Determinants'!$B$19:$P$41,3,0)/'4. Billing Determinants'!$D$41*$D42))))),0)</f>
        <v>0</v>
      </c>
      <c r="M42" s="70">
        <f>IFERROR(IF(M$4="",0,IF($E42="kWh",VLOOKUP(M$4,'4. Billing Determinants'!$B$19:$P$41,4,0)/'4. Billing Determinants'!$E$41*$D42,IF($E42="kW",VLOOKUP(M$4,'4. Billing Determinants'!$B$19:$P$41,5,0)/'4. Billing Determinants'!$F$41*$D42,IF($E42="Non-RPP kWh",VLOOKUP(M$4,'4. Billing Determinants'!$B$19:$P$41,6,0)/'4. Billing Determinants'!$G$41*$D42,IF($E42="Distribution Rev.",VLOOKUP(M$4,'4. Billing Determinants'!$B$19:$P$41,8,0)/'4. Billing Determinants'!$I$41*$D42, VLOOKUP(M$4,'4. Billing Determinants'!$B$19:$P$41,3,0)/'4. Billing Determinants'!$D$41*$D42))))),0)</f>
        <v>0</v>
      </c>
      <c r="N42" s="70">
        <f>IFERROR(IF(N$4="",0,IF($E42="kWh",VLOOKUP(N$4,'4. Billing Determinants'!$B$19:$P$41,4,0)/'4. Billing Determinants'!$E$41*$D42,IF($E42="kW",VLOOKUP(N$4,'4. Billing Determinants'!$B$19:$P$41,5,0)/'4. Billing Determinants'!$F$41*$D42,IF($E42="Non-RPP kWh",VLOOKUP(N$4,'4. Billing Determinants'!$B$19:$P$41,6,0)/'4. Billing Determinants'!$G$41*$D42,IF($E42="Distribution Rev.",VLOOKUP(N$4,'4. Billing Determinants'!$B$19:$P$41,8,0)/'4. Billing Determinants'!$I$41*$D42, VLOOKUP(N$4,'4. Billing Determinants'!$B$19:$P$41,3,0)/'4. Billing Determinants'!$D$41*$D42))))),0)</f>
        <v>0</v>
      </c>
      <c r="O42" s="70">
        <f>IFERROR(IF(O$4="",0,IF($E42="kWh",VLOOKUP(O$4,'4. Billing Determinants'!$B$19:$P$41,4,0)/'4. Billing Determinants'!$E$41*$D42,IF($E42="kW",VLOOKUP(O$4,'4. Billing Determinants'!$B$19:$P$41,5,0)/'4. Billing Determinants'!$F$41*$D42,IF($E42="Non-RPP kWh",VLOOKUP(O$4,'4. Billing Determinants'!$B$19:$P$41,6,0)/'4. Billing Determinants'!$G$41*$D42,IF($E42="Distribution Rev.",VLOOKUP(O$4,'4. Billing Determinants'!$B$19:$P$41,8,0)/'4. Billing Determinants'!$I$41*$D42, VLOOKUP(O$4,'4. Billing Determinants'!$B$19:$P$41,3,0)/'4. Billing Determinants'!$D$41*$D42))))),0)</f>
        <v>0</v>
      </c>
      <c r="P42" s="70">
        <f>IFERROR(IF(P$4="",0,IF($E42="kWh",VLOOKUP(P$4,'4. Billing Determinants'!$B$19:$P$41,4,0)/'4. Billing Determinants'!$E$41*$D42,IF($E42="kW",VLOOKUP(P$4,'4. Billing Determinants'!$B$19:$P$41,5,0)/'4. Billing Determinants'!$F$41*$D42,IF($E42="Non-RPP kWh",VLOOKUP(P$4,'4. Billing Determinants'!$B$19:$P$41,6,0)/'4. Billing Determinants'!$G$41*$D42,IF($E42="Distribution Rev.",VLOOKUP(P$4,'4. Billing Determinants'!$B$19:$P$41,8,0)/'4. Billing Determinants'!$I$41*$D42, VLOOKUP(P$4,'4. Billing Determinants'!$B$19:$P$41,3,0)/'4. Billing Determinants'!$D$41*$D42))))),0)</f>
        <v>0</v>
      </c>
      <c r="Q42" s="70">
        <f>IFERROR(IF(Q$4="",0,IF($E42="kWh",VLOOKUP(Q$4,'4. Billing Determinants'!$B$19:$P$41,4,0)/'4. Billing Determinants'!$E$41*$D42,IF($E42="kW",VLOOKUP(Q$4,'4. Billing Determinants'!$B$19:$P$41,5,0)/'4. Billing Determinants'!$F$41*$D42,IF($E42="Non-RPP kWh",VLOOKUP(Q$4,'4. Billing Determinants'!$B$19:$P$41,6,0)/'4. Billing Determinants'!$G$41*$D42,IF($E42="Distribution Rev.",VLOOKUP(Q$4,'4. Billing Determinants'!$B$19:$P$41,8,0)/'4. Billing Determinants'!$I$41*$D42, VLOOKUP(Q$4,'4. Billing Determinants'!$B$19:$P$41,3,0)/'4. Billing Determinants'!$D$41*$D42))))),0)</f>
        <v>0</v>
      </c>
      <c r="R42" s="70">
        <f>IFERROR(IF(R$4="",0,IF($E42="kWh",VLOOKUP(R$4,'4. Billing Determinants'!$B$19:$P$41,4,0)/'4. Billing Determinants'!$E$41*$D42,IF($E42="kW",VLOOKUP(R$4,'4. Billing Determinants'!$B$19:$P$41,5,0)/'4. Billing Determinants'!$F$41*$D42,IF($E42="Non-RPP kWh",VLOOKUP(R$4,'4. Billing Determinants'!$B$19:$P$41,6,0)/'4. Billing Determinants'!$G$41*$D42,IF($E42="Distribution Rev.",VLOOKUP(R$4,'4. Billing Determinants'!$B$19:$P$41,8,0)/'4. Billing Determinants'!$I$41*$D42, VLOOKUP(R$4,'4. Billing Determinants'!$B$19:$P$41,3,0)/'4. Billing Determinants'!$D$41*$D42))))),0)</f>
        <v>0</v>
      </c>
      <c r="S42" s="70">
        <f>IFERROR(IF(S$4="",0,IF($E42="kWh",VLOOKUP(S$4,'4. Billing Determinants'!$B$19:$P$41,4,0)/'4. Billing Determinants'!$E$41*$D42,IF($E42="kW",VLOOKUP(S$4,'4. Billing Determinants'!$B$19:$P$41,5,0)/'4. Billing Determinants'!$F$41*$D42,IF($E42="Non-RPP kWh",VLOOKUP(S$4,'4. Billing Determinants'!$B$19:$P$41,6,0)/'4. Billing Determinants'!$G$41*$D42,IF($E42="Distribution Rev.",VLOOKUP(S$4,'4. Billing Determinants'!$B$19:$P$41,8,0)/'4. Billing Determinants'!$I$41*$D42, VLOOKUP(S$4,'4. Billing Determinants'!$B$19:$P$41,3,0)/'4. Billing Determinants'!$D$41*$D42))))),0)</f>
        <v>0</v>
      </c>
      <c r="T42" s="70">
        <f>IFERROR(IF(T$4="",0,IF($E42="kWh",VLOOKUP(T$4,'4. Billing Determinants'!$B$19:$P$41,4,0)/'4. Billing Determinants'!$E$41*$D42,IF($E42="kW",VLOOKUP(T$4,'4. Billing Determinants'!$B$19:$P$41,5,0)/'4. Billing Determinants'!$F$41*$D42,IF($E42="Non-RPP kWh",VLOOKUP(T$4,'4. Billing Determinants'!$B$19:$P$41,6,0)/'4. Billing Determinants'!$G$41*$D42,IF($E42="Distribution Rev.",VLOOKUP(T$4,'4. Billing Determinants'!$B$19:$P$41,8,0)/'4. Billing Determinants'!$I$41*$D42, VLOOKUP(T$4,'4. Billing Determinants'!$B$19:$P$41,3,0)/'4. Billing Determinants'!$D$41*$D42))))),0)</f>
        <v>0</v>
      </c>
      <c r="U42" s="70">
        <f>IFERROR(IF(U$4="",0,IF($E42="kWh",VLOOKUP(U$4,'4. Billing Determinants'!$B$19:$P$41,4,0)/'4. Billing Determinants'!$E$41*$D42,IF($E42="kW",VLOOKUP(U$4,'4. Billing Determinants'!$B$19:$P$41,5,0)/'4. Billing Determinants'!$F$41*$D42,IF($E42="Non-RPP kWh",VLOOKUP(U$4,'4. Billing Determinants'!$B$19:$P$41,6,0)/'4. Billing Determinants'!$G$41*$D42,IF($E42="Distribution Rev.",VLOOKUP(U$4,'4. Billing Determinants'!$B$19:$P$41,8,0)/'4. Billing Determinants'!$I$41*$D42, VLOOKUP(U$4,'4. Billing Determinants'!$B$19:$P$41,3,0)/'4. Billing Determinants'!$D$41*$D42))))),0)</f>
        <v>0</v>
      </c>
      <c r="V42" s="70">
        <f>IFERROR(IF(V$4="",0,IF($E42="kWh",VLOOKUP(V$4,'4. Billing Determinants'!$B$19:$P$41,4,0)/'4. Billing Determinants'!$E$41*$D42,IF($E42="kW",VLOOKUP(V$4,'4. Billing Determinants'!$B$19:$P$41,5,0)/'4. Billing Determinants'!$F$41*$D42,IF($E42="Non-RPP kWh",VLOOKUP(V$4,'4. Billing Determinants'!$B$19:$P$41,6,0)/'4. Billing Determinants'!$G$41*$D42,IF($E42="Distribution Rev.",VLOOKUP(V$4,'4. Billing Determinants'!$B$19:$P$41,8,0)/'4. Billing Determinants'!$I$41*$D42, VLOOKUP(V$4,'4. Billing Determinants'!$B$19:$P$41,3,0)/'4. Billing Determinants'!$D$41*$D42))))),0)</f>
        <v>0</v>
      </c>
      <c r="W42" s="70">
        <f>IFERROR(IF(W$4="",0,IF($E42="kWh",VLOOKUP(W$4,'4. Billing Determinants'!$B$19:$P$41,4,0)/'4. Billing Determinants'!$E$41*$D42,IF($E42="kW",VLOOKUP(W$4,'4. Billing Determinants'!$B$19:$P$41,5,0)/'4. Billing Determinants'!$F$41*$D42,IF($E42="Non-RPP kWh",VLOOKUP(W$4,'4. Billing Determinants'!$B$19:$P$41,6,0)/'4. Billing Determinants'!$G$41*$D42,IF($E42="Distribution Rev.",VLOOKUP(W$4,'4. Billing Determinants'!$B$19:$P$41,8,0)/'4. Billing Determinants'!$I$41*$D42, VLOOKUP(W$4,'4. Billing Determinants'!$B$19:$P$41,3,0)/'4. Billing Determinants'!$D$41*$D42))))),0)</f>
        <v>0</v>
      </c>
      <c r="X42" s="70">
        <f>IFERROR(IF(X$4="",0,IF($E42="kWh",VLOOKUP(X$4,'4. Billing Determinants'!$B$19:$P$41,4,0)/'4. Billing Determinants'!$E$41*$D42,IF($E42="kW",VLOOKUP(X$4,'4. Billing Determinants'!$B$19:$P$41,5,0)/'4. Billing Determinants'!$F$41*$D42,IF($E42="Non-RPP kWh",VLOOKUP(X$4,'4. Billing Determinants'!$B$19:$P$41,6,0)/'4. Billing Determinants'!$G$41*$D42,IF($E42="Distribution Rev.",VLOOKUP(X$4,'4. Billing Determinants'!$B$19:$P$41,8,0)/'4. Billing Determinants'!$I$41*$D42, VLOOKUP(X$4,'4. Billing Determinants'!$B$19:$P$41,3,0)/'4. Billing Determinants'!$D$41*$D42))))),0)</f>
        <v>0</v>
      </c>
      <c r="Y42" s="70">
        <f>IFERROR(IF(Y$4="",0,IF($E42="kWh",VLOOKUP(Y$4,'4. Billing Determinants'!$B$19:$P$41,4,0)/'4. Billing Determinants'!$E$41*$D42,IF($E42="kW",VLOOKUP(Y$4,'4. Billing Determinants'!$B$19:$P$41,5,0)/'4. Billing Determinants'!$F$41*$D42,IF($E42="Non-RPP kWh",VLOOKUP(Y$4,'4. Billing Determinants'!$B$19:$P$41,6,0)/'4. Billing Determinants'!$G$41*$D42,IF($E42="Distribution Rev.",VLOOKUP(Y$4,'4. Billing Determinants'!$B$19:$P$41,8,0)/'4. Billing Determinants'!$I$41*$D42, VLOOKUP(Y$4,'4. Billing Determinants'!$B$19:$P$41,3,0)/'4. Billing Determinants'!$D$41*$D42))))),0)</f>
        <v>0</v>
      </c>
    </row>
    <row r="43" spans="1:25" s="57" customFormat="1" x14ac:dyDescent="0.2">
      <c r="A43" s="56"/>
      <c r="B43" s="88" t="s">
        <v>118</v>
      </c>
      <c r="C43" s="90"/>
      <c r="D43" s="89">
        <f>SUM(D40:D42)</f>
        <v>-63049.56598000005</v>
      </c>
      <c r="E43" s="90"/>
      <c r="F43" s="89">
        <f>SUM(F40:F42)</f>
        <v>-35412.654286530153</v>
      </c>
      <c r="G43" s="89">
        <f t="shared" ref="G43:Y43" si="2">SUM(G40:G42)</f>
        <v>-7749.5148711315715</v>
      </c>
      <c r="H43" s="89">
        <f t="shared" si="2"/>
        <v>-19092.456997874458</v>
      </c>
      <c r="I43" s="89">
        <f t="shared" si="2"/>
        <v>-298.88823368710331</v>
      </c>
      <c r="J43" s="89">
        <f t="shared" si="2"/>
        <v>-115.86761410453204</v>
      </c>
      <c r="K43" s="89">
        <f t="shared" si="2"/>
        <v>-380.18397667222712</v>
      </c>
      <c r="L43" s="89">
        <f t="shared" si="2"/>
        <v>0</v>
      </c>
      <c r="M43" s="89">
        <f t="shared" si="2"/>
        <v>0</v>
      </c>
      <c r="N43" s="89">
        <f t="shared" si="2"/>
        <v>0</v>
      </c>
      <c r="O43" s="89">
        <f t="shared" si="2"/>
        <v>0</v>
      </c>
      <c r="P43" s="89">
        <f t="shared" si="2"/>
        <v>0</v>
      </c>
      <c r="Q43" s="89">
        <f t="shared" si="2"/>
        <v>0</v>
      </c>
      <c r="R43" s="89">
        <f t="shared" si="2"/>
        <v>0</v>
      </c>
      <c r="S43" s="89">
        <f t="shared" si="2"/>
        <v>0</v>
      </c>
      <c r="T43" s="89">
        <f t="shared" si="2"/>
        <v>0</v>
      </c>
      <c r="U43" s="89">
        <f t="shared" si="2"/>
        <v>0</v>
      </c>
      <c r="V43" s="89">
        <f t="shared" si="2"/>
        <v>0</v>
      </c>
      <c r="W43" s="89">
        <f t="shared" si="2"/>
        <v>0</v>
      </c>
      <c r="X43" s="89">
        <f t="shared" si="2"/>
        <v>0</v>
      </c>
      <c r="Y43" s="89">
        <f t="shared" si="2"/>
        <v>0</v>
      </c>
    </row>
    <row r="44" spans="1:25" x14ac:dyDescent="0.2">
      <c r="B44" s="77"/>
      <c r="C44" s="80"/>
      <c r="D44" s="81"/>
      <c r="E44" s="80"/>
    </row>
    <row r="45" spans="1:25" x14ac:dyDescent="0.2">
      <c r="B45" s="86" t="s">
        <v>119</v>
      </c>
      <c r="C45" s="83">
        <v>1568</v>
      </c>
      <c r="D45" s="70">
        <f>'2. 2014 Continuity Schedule'!BO71</f>
        <v>0</v>
      </c>
      <c r="E45" s="94"/>
      <c r="F45" s="131"/>
      <c r="G45" s="131"/>
      <c r="H45" s="131"/>
      <c r="I45" s="131"/>
      <c r="J45" s="131"/>
      <c r="K45" s="131"/>
      <c r="L45" s="131"/>
      <c r="M45" s="131"/>
      <c r="N45" s="131"/>
      <c r="O45" s="131"/>
      <c r="P45" s="131"/>
      <c r="Q45" s="131"/>
      <c r="R45" s="131"/>
      <c r="S45" s="131"/>
      <c r="T45" s="131"/>
      <c r="U45" s="131"/>
      <c r="V45" s="131"/>
      <c r="W45" s="131"/>
      <c r="X45" s="131"/>
      <c r="Y45" s="131"/>
    </row>
    <row r="46" spans="1:25" s="76" customFormat="1" x14ac:dyDescent="0.2">
      <c r="B46" s="270" t="s">
        <v>121</v>
      </c>
      <c r="C46" s="270"/>
      <c r="D46" s="95">
        <f>SUM(F45:Y45)</f>
        <v>0</v>
      </c>
    </row>
    <row r="47" spans="1:25" s="76" customFormat="1" x14ac:dyDescent="0.2">
      <c r="B47" s="271" t="s">
        <v>107</v>
      </c>
      <c r="C47" s="271"/>
      <c r="D47" s="79">
        <f>D45-D46</f>
        <v>0</v>
      </c>
      <c r="E47" s="93"/>
    </row>
    <row r="48" spans="1:25" s="76" customFormat="1" x14ac:dyDescent="0.2"/>
    <row r="49" spans="2:25" s="97" customFormat="1" x14ac:dyDescent="0.2">
      <c r="B49" s="272" t="s">
        <v>280</v>
      </c>
      <c r="C49" s="272"/>
      <c r="D49" s="102">
        <f>SUM(F49:Y49)</f>
        <v>-1083704.6494639998</v>
      </c>
      <c r="E49" s="103"/>
      <c r="F49" s="102">
        <f>SUM(F43,F38,F17)</f>
        <v>-201211.7563537042</v>
      </c>
      <c r="G49" s="102">
        <f t="shared" ref="G49:Y49" si="3">SUM(G43,G38,G17)</f>
        <v>-118679.63199444039</v>
      </c>
      <c r="H49" s="102">
        <f t="shared" si="3"/>
        <v>-754435.17938751297</v>
      </c>
      <c r="I49" s="102">
        <f t="shared" si="3"/>
        <v>-2573.6192194990413</v>
      </c>
      <c r="J49" s="102">
        <f t="shared" si="3"/>
        <v>1724.4789608478843</v>
      </c>
      <c r="K49" s="102">
        <f t="shared" si="3"/>
        <v>-8528.9414696911881</v>
      </c>
      <c r="L49" s="102">
        <f t="shared" si="3"/>
        <v>0</v>
      </c>
      <c r="M49" s="102">
        <f t="shared" si="3"/>
        <v>0</v>
      </c>
      <c r="N49" s="102">
        <f t="shared" si="3"/>
        <v>0</v>
      </c>
      <c r="O49" s="102">
        <f t="shared" si="3"/>
        <v>0</v>
      </c>
      <c r="P49" s="102">
        <f t="shared" si="3"/>
        <v>0</v>
      </c>
      <c r="Q49" s="102">
        <f t="shared" si="3"/>
        <v>0</v>
      </c>
      <c r="R49" s="102">
        <f t="shared" si="3"/>
        <v>0</v>
      </c>
      <c r="S49" s="102">
        <f t="shared" si="3"/>
        <v>0</v>
      </c>
      <c r="T49" s="102">
        <f t="shared" si="3"/>
        <v>0</v>
      </c>
      <c r="U49" s="102">
        <f t="shared" si="3"/>
        <v>0</v>
      </c>
      <c r="V49" s="102">
        <f t="shared" si="3"/>
        <v>0</v>
      </c>
      <c r="W49" s="102">
        <f t="shared" si="3"/>
        <v>0</v>
      </c>
      <c r="X49" s="102">
        <f t="shared" si="3"/>
        <v>0</v>
      </c>
      <c r="Y49" s="102">
        <f t="shared" si="3"/>
        <v>0</v>
      </c>
    </row>
    <row r="50" spans="2:25" s="98" customFormat="1" x14ac:dyDescent="0.2">
      <c r="B50" s="272" t="s">
        <v>149</v>
      </c>
      <c r="C50" s="272"/>
      <c r="D50" s="102">
        <f>D11</f>
        <v>1582460.9506639994</v>
      </c>
      <c r="E50" s="102"/>
      <c r="F50" s="102">
        <f>F11</f>
        <v>74796.991134517419</v>
      </c>
      <c r="G50" s="102">
        <f t="shared" ref="G50:Y50" si="4">G11</f>
        <v>40890.132523907261</v>
      </c>
      <c r="H50" s="102">
        <f t="shared" si="4"/>
        <v>1449692.9994950823</v>
      </c>
      <c r="I50" s="102">
        <f t="shared" si="4"/>
        <v>0</v>
      </c>
      <c r="J50" s="102">
        <f t="shared" si="4"/>
        <v>118.29690292641583</v>
      </c>
      <c r="K50" s="102">
        <f t="shared" si="4"/>
        <v>16962.530607565808</v>
      </c>
      <c r="L50" s="102">
        <f t="shared" si="4"/>
        <v>0</v>
      </c>
      <c r="M50" s="102">
        <f t="shared" si="4"/>
        <v>0</v>
      </c>
      <c r="N50" s="102">
        <f t="shared" si="4"/>
        <v>0</v>
      </c>
      <c r="O50" s="102">
        <f t="shared" si="4"/>
        <v>0</v>
      </c>
      <c r="P50" s="102">
        <f t="shared" si="4"/>
        <v>0</v>
      </c>
      <c r="Q50" s="102">
        <f t="shared" si="4"/>
        <v>0</v>
      </c>
      <c r="R50" s="102">
        <f t="shared" si="4"/>
        <v>0</v>
      </c>
      <c r="S50" s="102">
        <f t="shared" si="4"/>
        <v>0</v>
      </c>
      <c r="T50" s="102">
        <f t="shared" si="4"/>
        <v>0</v>
      </c>
      <c r="U50" s="102">
        <f t="shared" si="4"/>
        <v>0</v>
      </c>
      <c r="V50" s="102">
        <f t="shared" si="4"/>
        <v>0</v>
      </c>
      <c r="W50" s="102">
        <f t="shared" si="4"/>
        <v>0</v>
      </c>
      <c r="X50" s="102">
        <f t="shared" si="4"/>
        <v>0</v>
      </c>
      <c r="Y50" s="102">
        <f t="shared" si="4"/>
        <v>0</v>
      </c>
    </row>
    <row r="51" spans="2:25" s="76" customFormat="1" x14ac:dyDescent="0.2">
      <c r="B51" s="273" t="s">
        <v>281</v>
      </c>
      <c r="C51" s="273"/>
      <c r="D51" s="104">
        <f>SUM(D49:D50)</f>
        <v>498756.30119999964</v>
      </c>
      <c r="E51" s="105"/>
      <c r="F51" s="104">
        <f t="shared" ref="F51:Y51" si="5">SUM(F49:F50)</f>
        <v>-126414.76521918678</v>
      </c>
      <c r="G51" s="104">
        <f t="shared" si="5"/>
        <v>-77789.499470533134</v>
      </c>
      <c r="H51" s="104">
        <f t="shared" si="5"/>
        <v>695257.82010756934</v>
      </c>
      <c r="I51" s="104">
        <f t="shared" si="5"/>
        <v>-2573.6192194990413</v>
      </c>
      <c r="J51" s="104">
        <f t="shared" si="5"/>
        <v>1842.7758637743002</v>
      </c>
      <c r="K51" s="104">
        <f t="shared" si="5"/>
        <v>8433.5891378746201</v>
      </c>
      <c r="L51" s="104">
        <f t="shared" si="5"/>
        <v>0</v>
      </c>
      <c r="M51" s="104">
        <f t="shared" si="5"/>
        <v>0</v>
      </c>
      <c r="N51" s="104">
        <f t="shared" si="5"/>
        <v>0</v>
      </c>
      <c r="O51" s="104">
        <f t="shared" si="5"/>
        <v>0</v>
      </c>
      <c r="P51" s="104">
        <f t="shared" si="5"/>
        <v>0</v>
      </c>
      <c r="Q51" s="104">
        <f t="shared" si="5"/>
        <v>0</v>
      </c>
      <c r="R51" s="104">
        <f t="shared" si="5"/>
        <v>0</v>
      </c>
      <c r="S51" s="104">
        <f t="shared" si="5"/>
        <v>0</v>
      </c>
      <c r="T51" s="104">
        <f t="shared" si="5"/>
        <v>0</v>
      </c>
      <c r="U51" s="104">
        <f t="shared" si="5"/>
        <v>0</v>
      </c>
      <c r="V51" s="104">
        <f t="shared" si="5"/>
        <v>0</v>
      </c>
      <c r="W51" s="104">
        <f t="shared" si="5"/>
        <v>0</v>
      </c>
      <c r="X51" s="104">
        <f t="shared" si="5"/>
        <v>0</v>
      </c>
      <c r="Y51" s="104">
        <f t="shared" si="5"/>
        <v>0</v>
      </c>
    </row>
    <row r="52" spans="2:25" x14ac:dyDescent="0.2">
      <c r="D52" s="82"/>
    </row>
    <row r="53" spans="2:25" x14ac:dyDescent="0.2">
      <c r="B53" s="71" t="s">
        <v>230</v>
      </c>
      <c r="C53" s="71">
        <v>1575</v>
      </c>
      <c r="D53" s="70">
        <f>'2. 2014 Continuity Schedule'!BO81</f>
        <v>0</v>
      </c>
      <c r="E53" s="130"/>
      <c r="F53" s="70">
        <f>IFERROR(IF(F$4="",0,IF($E53="kWh",VLOOKUP(F$4,'4. Billing Determinants'!$B$19:$P$41,4,0)/'4. Billing Determinants'!$E$41*$D53,IF($E53="kW",VLOOKUP(F$4,'4. Billing Determinants'!$B$19:$P$41,5,0)/'4. Billing Determinants'!$F$41*$D53,IF($E53="Non-RPP kWh",VLOOKUP(F$4,'4. Billing Determinants'!$B$19:$P$41,6,0)/'4. Billing Determinants'!$G$41*$D53,IF($E53="Distribution Rev.",VLOOKUP(F$4,'4. Billing Determinants'!$B$19:$P$41,8,0)/'4. Billing Determinants'!$I$41*$D53, VLOOKUP(F$4,'4. Billing Determinants'!$B$19:$P$41,3,0)/'4. Billing Determinants'!$D$41*$D53))))),0)</f>
        <v>0</v>
      </c>
      <c r="G53" s="70">
        <f>IFERROR(IF(G$4="",0,IF($E53="kWh",VLOOKUP(G$4,'4. Billing Determinants'!$B$19:$P$41,4,0)/'4. Billing Determinants'!$E$41*$D53,IF($E53="kW",VLOOKUP(G$4,'4. Billing Determinants'!$B$19:$P$41,5,0)/'4. Billing Determinants'!$F$41*$D53,IF($E53="Non-RPP kWh",VLOOKUP(G$4,'4. Billing Determinants'!$B$19:$P$41,6,0)/'4. Billing Determinants'!$G$41*$D53,IF($E53="Distribution Rev.",VLOOKUP(G$4,'4. Billing Determinants'!$B$19:$P$41,8,0)/'4. Billing Determinants'!$I$41*$D53, VLOOKUP(G$4,'4. Billing Determinants'!$B$19:$P$41,3,0)/'4. Billing Determinants'!$D$41*$D53))))),0)</f>
        <v>0</v>
      </c>
      <c r="H53" s="70">
        <f>IFERROR(IF(H$4="",0,IF($E53="kWh",VLOOKUP(H$4,'4. Billing Determinants'!$B$19:$P$41,4,0)/'4. Billing Determinants'!$E$41*$D53,IF($E53="kW",VLOOKUP(H$4,'4. Billing Determinants'!$B$19:$P$41,5,0)/'4. Billing Determinants'!$F$41*$D53,IF($E53="Non-RPP kWh",VLOOKUP(H$4,'4. Billing Determinants'!$B$19:$P$41,6,0)/'4. Billing Determinants'!$G$41*$D53,IF($E53="Distribution Rev.",VLOOKUP(H$4,'4. Billing Determinants'!$B$19:$P$41,8,0)/'4. Billing Determinants'!$I$41*$D53, VLOOKUP(H$4,'4. Billing Determinants'!$B$19:$P$41,3,0)/'4. Billing Determinants'!$D$41*$D53))))),0)</f>
        <v>0</v>
      </c>
      <c r="I53" s="70">
        <f>IFERROR(IF(I$4="",0,IF($E53="kWh",VLOOKUP(I$4,'4. Billing Determinants'!$B$19:$P$41,4,0)/'4. Billing Determinants'!$E$41*$D53,IF($E53="kW",VLOOKUP(I$4,'4. Billing Determinants'!$B$19:$P$41,5,0)/'4. Billing Determinants'!$F$41*$D53,IF($E53="Non-RPP kWh",VLOOKUP(I$4,'4. Billing Determinants'!$B$19:$P$41,6,0)/'4. Billing Determinants'!$G$41*$D53,IF($E53="Distribution Rev.",VLOOKUP(I$4,'4. Billing Determinants'!$B$19:$P$41,8,0)/'4. Billing Determinants'!$I$41*$D53, VLOOKUP(I$4,'4. Billing Determinants'!$B$19:$P$41,3,0)/'4. Billing Determinants'!$D$41*$D53))))),0)</f>
        <v>0</v>
      </c>
      <c r="J53" s="70">
        <f>IFERROR(IF(J$4="",0,IF($E53="kWh",VLOOKUP(J$4,'4. Billing Determinants'!$B$19:$P$41,4,0)/'4. Billing Determinants'!$E$41*$D53,IF($E53="kW",VLOOKUP(J$4,'4. Billing Determinants'!$B$19:$P$41,5,0)/'4. Billing Determinants'!$F$41*$D53,IF($E53="Non-RPP kWh",VLOOKUP(J$4,'4. Billing Determinants'!$B$19:$P$41,6,0)/'4. Billing Determinants'!$G$41*$D53,IF($E53="Distribution Rev.",VLOOKUP(J$4,'4. Billing Determinants'!$B$19:$P$41,8,0)/'4. Billing Determinants'!$I$41*$D53, VLOOKUP(J$4,'4. Billing Determinants'!$B$19:$P$41,3,0)/'4. Billing Determinants'!$D$41*$D53))))),0)</f>
        <v>0</v>
      </c>
      <c r="K53" s="70">
        <f>IFERROR(IF(K$4="",0,IF($E53="kWh",VLOOKUP(K$4,'4. Billing Determinants'!$B$19:$P$41,4,0)/'4. Billing Determinants'!$E$41*$D53,IF($E53="kW",VLOOKUP(K$4,'4. Billing Determinants'!$B$19:$P$41,5,0)/'4. Billing Determinants'!$F$41*$D53,IF($E53="Non-RPP kWh",VLOOKUP(K$4,'4. Billing Determinants'!$B$19:$P$41,6,0)/'4. Billing Determinants'!$G$41*$D53,IF($E53="Distribution Rev.",VLOOKUP(K$4,'4. Billing Determinants'!$B$19:$P$41,8,0)/'4. Billing Determinants'!$I$41*$D53, VLOOKUP(K$4,'4. Billing Determinants'!$B$19:$P$41,3,0)/'4. Billing Determinants'!$D$41*$D53))))),0)</f>
        <v>0</v>
      </c>
      <c r="L53" s="70">
        <f>IFERROR(IF(L$4="",0,IF($E53="kWh",VLOOKUP(L$4,'4. Billing Determinants'!$B$19:$P$41,4,0)/'4. Billing Determinants'!$E$41*$D53,IF($E53="kW",VLOOKUP(L$4,'4. Billing Determinants'!$B$19:$P$41,5,0)/'4. Billing Determinants'!$F$41*$D53,IF($E53="Non-RPP kWh",VLOOKUP(L$4,'4. Billing Determinants'!$B$19:$P$41,6,0)/'4. Billing Determinants'!$G$41*$D53,IF($E53="Distribution Rev.",VLOOKUP(L$4,'4. Billing Determinants'!$B$19:$P$41,8,0)/'4. Billing Determinants'!$I$41*$D53, VLOOKUP(L$4,'4. Billing Determinants'!$B$19:$P$41,3,0)/'4. Billing Determinants'!$D$41*$D53))))),0)</f>
        <v>0</v>
      </c>
      <c r="M53" s="70">
        <f>IFERROR(IF(M$4="",0,IF($E53="kWh",VLOOKUP(M$4,'4. Billing Determinants'!$B$19:$P$41,4,0)/'4. Billing Determinants'!$E$41*$D53,IF($E53="kW",VLOOKUP(M$4,'4. Billing Determinants'!$B$19:$P$41,5,0)/'4. Billing Determinants'!$F$41*$D53,IF($E53="Non-RPP kWh",VLOOKUP(M$4,'4. Billing Determinants'!$B$19:$P$41,6,0)/'4. Billing Determinants'!$G$41*$D53,IF($E53="Distribution Rev.",VLOOKUP(M$4,'4. Billing Determinants'!$B$19:$P$41,8,0)/'4. Billing Determinants'!$I$41*$D53, VLOOKUP(M$4,'4. Billing Determinants'!$B$19:$P$41,3,0)/'4. Billing Determinants'!$D$41*$D53))))),0)</f>
        <v>0</v>
      </c>
      <c r="N53" s="70">
        <f>IFERROR(IF(N$4="",0,IF($E53="kWh",VLOOKUP(N$4,'4. Billing Determinants'!$B$19:$P$41,4,0)/'4. Billing Determinants'!$E$41*$D53,IF($E53="kW",VLOOKUP(N$4,'4. Billing Determinants'!$B$19:$P$41,5,0)/'4. Billing Determinants'!$F$41*$D53,IF($E53="Non-RPP kWh",VLOOKUP(N$4,'4. Billing Determinants'!$B$19:$P$41,6,0)/'4. Billing Determinants'!$G$41*$D53,IF($E53="Distribution Rev.",VLOOKUP(N$4,'4. Billing Determinants'!$B$19:$P$41,8,0)/'4. Billing Determinants'!$I$41*$D53, VLOOKUP(N$4,'4. Billing Determinants'!$B$19:$P$41,3,0)/'4. Billing Determinants'!$D$41*$D53))))),0)</f>
        <v>0</v>
      </c>
      <c r="O53" s="70">
        <f>IFERROR(IF(O$4="",0,IF($E53="kWh",VLOOKUP(O$4,'4. Billing Determinants'!$B$19:$P$41,4,0)/'4. Billing Determinants'!$E$41*$D53,IF($E53="kW",VLOOKUP(O$4,'4. Billing Determinants'!$B$19:$P$41,5,0)/'4. Billing Determinants'!$F$41*$D53,IF($E53="Non-RPP kWh",VLOOKUP(O$4,'4. Billing Determinants'!$B$19:$P$41,6,0)/'4. Billing Determinants'!$G$41*$D53,IF($E53="Distribution Rev.",VLOOKUP(O$4,'4. Billing Determinants'!$B$19:$P$41,8,0)/'4. Billing Determinants'!$I$41*$D53, VLOOKUP(O$4,'4. Billing Determinants'!$B$19:$P$41,3,0)/'4. Billing Determinants'!$D$41*$D53))))),0)</f>
        <v>0</v>
      </c>
      <c r="P53" s="70">
        <f>IFERROR(IF(P$4="",0,IF($E53="kWh",VLOOKUP(P$4,'4. Billing Determinants'!$B$19:$P$41,4,0)/'4. Billing Determinants'!$E$41*$D53,IF($E53="kW",VLOOKUP(P$4,'4. Billing Determinants'!$B$19:$P$41,5,0)/'4. Billing Determinants'!$F$41*$D53,IF($E53="Non-RPP kWh",VLOOKUP(P$4,'4. Billing Determinants'!$B$19:$P$41,6,0)/'4. Billing Determinants'!$G$41*$D53,IF($E53="Distribution Rev.",VLOOKUP(P$4,'4. Billing Determinants'!$B$19:$P$41,8,0)/'4. Billing Determinants'!$I$41*$D53, VLOOKUP(P$4,'4. Billing Determinants'!$B$19:$P$41,3,0)/'4. Billing Determinants'!$D$41*$D53))))),0)</f>
        <v>0</v>
      </c>
      <c r="Q53" s="70">
        <f>IFERROR(IF(Q$4="",0,IF($E53="kWh",VLOOKUP(Q$4,'4. Billing Determinants'!$B$19:$P$41,4,0)/'4. Billing Determinants'!$E$41*$D53,IF($E53="kW",VLOOKUP(Q$4,'4. Billing Determinants'!$B$19:$P$41,5,0)/'4. Billing Determinants'!$F$41*$D53,IF($E53="Non-RPP kWh",VLOOKUP(Q$4,'4. Billing Determinants'!$B$19:$P$41,6,0)/'4. Billing Determinants'!$G$41*$D53,IF($E53="Distribution Rev.",VLOOKUP(Q$4,'4. Billing Determinants'!$B$19:$P$41,8,0)/'4. Billing Determinants'!$I$41*$D53, VLOOKUP(Q$4,'4. Billing Determinants'!$B$19:$P$41,3,0)/'4. Billing Determinants'!$D$41*$D53))))),0)</f>
        <v>0</v>
      </c>
      <c r="R53" s="70">
        <f>IFERROR(IF(R$4="",0,IF($E53="kWh",VLOOKUP(R$4,'4. Billing Determinants'!$B$19:$P$41,4,0)/'4. Billing Determinants'!$E$41*$D53,IF($E53="kW",VLOOKUP(R$4,'4. Billing Determinants'!$B$19:$P$41,5,0)/'4. Billing Determinants'!$F$41*$D53,IF($E53="Non-RPP kWh",VLOOKUP(R$4,'4. Billing Determinants'!$B$19:$P$41,6,0)/'4. Billing Determinants'!$G$41*$D53,IF($E53="Distribution Rev.",VLOOKUP(R$4,'4. Billing Determinants'!$B$19:$P$41,8,0)/'4. Billing Determinants'!$I$41*$D53, VLOOKUP(R$4,'4. Billing Determinants'!$B$19:$P$41,3,0)/'4. Billing Determinants'!$D$41*$D53))))),0)</f>
        <v>0</v>
      </c>
      <c r="S53" s="70">
        <f>IFERROR(IF(S$4="",0,IF($E53="kWh",VLOOKUP(S$4,'4. Billing Determinants'!$B$19:$P$41,4,0)/'4. Billing Determinants'!$E$41*$D53,IF($E53="kW",VLOOKUP(S$4,'4. Billing Determinants'!$B$19:$P$41,5,0)/'4. Billing Determinants'!$F$41*$D53,IF($E53="Non-RPP kWh",VLOOKUP(S$4,'4. Billing Determinants'!$B$19:$P$41,6,0)/'4. Billing Determinants'!$G$41*$D53,IF($E53="Distribution Rev.",VLOOKUP(S$4,'4. Billing Determinants'!$B$19:$P$41,8,0)/'4. Billing Determinants'!$I$41*$D53, VLOOKUP(S$4,'4. Billing Determinants'!$B$19:$P$41,3,0)/'4. Billing Determinants'!$D$41*$D53))))),0)</f>
        <v>0</v>
      </c>
      <c r="T53" s="70">
        <f>IFERROR(IF(T$4="",0,IF($E53="kWh",VLOOKUP(T$4,'4. Billing Determinants'!$B$19:$P$41,4,0)/'4. Billing Determinants'!$E$41*$D53,IF($E53="kW",VLOOKUP(T$4,'4. Billing Determinants'!$B$19:$P$41,5,0)/'4. Billing Determinants'!$F$41*$D53,IF($E53="Non-RPP kWh",VLOOKUP(T$4,'4. Billing Determinants'!$B$19:$P$41,6,0)/'4. Billing Determinants'!$G$41*$D53,IF($E53="Distribution Rev.",VLOOKUP(T$4,'4. Billing Determinants'!$B$19:$P$41,8,0)/'4. Billing Determinants'!$I$41*$D53, VLOOKUP(T$4,'4. Billing Determinants'!$B$19:$P$41,3,0)/'4. Billing Determinants'!$D$41*$D53))))),0)</f>
        <v>0</v>
      </c>
      <c r="U53" s="70">
        <f>IFERROR(IF(U$4="",0,IF($E53="kWh",VLOOKUP(U$4,'4. Billing Determinants'!$B$19:$P$41,4,0)/'4. Billing Determinants'!$E$41*$D53,IF($E53="kW",VLOOKUP(U$4,'4. Billing Determinants'!$B$19:$P$41,5,0)/'4. Billing Determinants'!$F$41*$D53,IF($E53="Non-RPP kWh",VLOOKUP(U$4,'4. Billing Determinants'!$B$19:$P$41,6,0)/'4. Billing Determinants'!$G$41*$D53,IF($E53="Distribution Rev.",VLOOKUP(U$4,'4. Billing Determinants'!$B$19:$P$41,8,0)/'4. Billing Determinants'!$I$41*$D53, VLOOKUP(U$4,'4. Billing Determinants'!$B$19:$P$41,3,0)/'4. Billing Determinants'!$D$41*$D53))))),0)</f>
        <v>0</v>
      </c>
      <c r="V53" s="70">
        <f>IFERROR(IF(V$4="",0,IF($E53="kWh",VLOOKUP(V$4,'4. Billing Determinants'!$B$19:$P$41,4,0)/'4. Billing Determinants'!$E$41*$D53,IF($E53="kW",VLOOKUP(V$4,'4. Billing Determinants'!$B$19:$P$41,5,0)/'4. Billing Determinants'!$F$41*$D53,IF($E53="Non-RPP kWh",VLOOKUP(V$4,'4. Billing Determinants'!$B$19:$P$41,6,0)/'4. Billing Determinants'!$G$41*$D53,IF($E53="Distribution Rev.",VLOOKUP(V$4,'4. Billing Determinants'!$B$19:$P$41,8,0)/'4. Billing Determinants'!$I$41*$D53, VLOOKUP(V$4,'4. Billing Determinants'!$B$19:$P$41,3,0)/'4. Billing Determinants'!$D$41*$D53))))),0)</f>
        <v>0</v>
      </c>
      <c r="W53" s="70">
        <f>IFERROR(IF(W$4="",0,IF($E53="kWh",VLOOKUP(W$4,'4. Billing Determinants'!$B$19:$P$41,4,0)/'4. Billing Determinants'!$E$41*$D53,IF($E53="kW",VLOOKUP(W$4,'4. Billing Determinants'!$B$19:$P$41,5,0)/'4. Billing Determinants'!$F$41*$D53,IF($E53="Non-RPP kWh",VLOOKUP(W$4,'4. Billing Determinants'!$B$19:$P$41,6,0)/'4. Billing Determinants'!$G$41*$D53,IF($E53="Distribution Rev.",VLOOKUP(W$4,'4. Billing Determinants'!$B$19:$P$41,8,0)/'4. Billing Determinants'!$I$41*$D53, VLOOKUP(W$4,'4. Billing Determinants'!$B$19:$P$41,3,0)/'4. Billing Determinants'!$D$41*$D53))))),0)</f>
        <v>0</v>
      </c>
      <c r="X53" s="70">
        <f>IFERROR(IF(X$4="",0,IF($E53="kWh",VLOOKUP(X$4,'4. Billing Determinants'!$B$19:$P$41,4,0)/'4. Billing Determinants'!$E$41*$D53,IF($E53="kW",VLOOKUP(X$4,'4. Billing Determinants'!$B$19:$P$41,5,0)/'4. Billing Determinants'!$F$41*$D53,IF($E53="Non-RPP kWh",VLOOKUP(X$4,'4. Billing Determinants'!$B$19:$P$41,6,0)/'4. Billing Determinants'!$G$41*$D53,IF($E53="Distribution Rev.",VLOOKUP(X$4,'4. Billing Determinants'!$B$19:$P$41,8,0)/'4. Billing Determinants'!$I$41*$D53, VLOOKUP(X$4,'4. Billing Determinants'!$B$19:$P$41,3,0)/'4. Billing Determinants'!$D$41*$D53))))),0)</f>
        <v>0</v>
      </c>
      <c r="Y53" s="70">
        <f>IFERROR(IF(Y$4="",0,IF($E53="kWh",VLOOKUP(Y$4,'4. Billing Determinants'!$B$19:$P$41,4,0)/'4. Billing Determinants'!$E$41*$D53,IF($E53="kW",VLOOKUP(Y$4,'4. Billing Determinants'!$B$19:$P$41,5,0)/'4. Billing Determinants'!$F$41*$D53,IF($E53="Non-RPP kWh",VLOOKUP(Y$4,'4. Billing Determinants'!$B$19:$P$41,6,0)/'4. Billing Determinants'!$G$41*$D53,IF($E53="Distribution Rev.",VLOOKUP(Y$4,'4. Billing Determinants'!$B$19:$P$41,8,0)/'4. Billing Determinants'!$I$41*$D53, VLOOKUP(Y$4,'4. Billing Determinants'!$B$19:$P$41,3,0)/'4. Billing Determinants'!$D$41*$D53))))),0)</f>
        <v>0</v>
      </c>
    </row>
    <row r="54" spans="2:25" x14ac:dyDescent="0.2">
      <c r="B54" s="71" t="s">
        <v>231</v>
      </c>
      <c r="C54" s="71">
        <v>1576</v>
      </c>
      <c r="D54" s="70">
        <f>'2. 2014 Continuity Schedule'!BO82</f>
        <v>-7183832.3493090114</v>
      </c>
      <c r="E54" s="130" t="s">
        <v>276</v>
      </c>
      <c r="F54" s="70">
        <f>IFERROR(IF(F$4="",0,IF($E54="kWh",VLOOKUP(F$4,'4. Billing Determinants'!$B$19:$P$41,4,0)/'4. Billing Determinants'!$E$41*$D54,IF($E54="kW",VLOOKUP(F$4,'4. Billing Determinants'!$B$19:$P$41,5,0)/'4. Billing Determinants'!$F$41*$D54,IF($E54="Non-RPP kWh",VLOOKUP(F$4,'4. Billing Determinants'!$B$19:$P$41,6,0)/'4. Billing Determinants'!$G$41*$D54,IF($E54="Distribution Rev.",VLOOKUP(F$4,'4. Billing Determinants'!$B$19:$P$41,8,0)/'4. Billing Determinants'!$I$41*$D54, VLOOKUP(F$4,'4. Billing Determinants'!$B$19:$P$41,3,0)/'4. Billing Determinants'!$D$41*$D54))))),0)</f>
        <v>-2463502.2346515297</v>
      </c>
      <c r="G54" s="70">
        <f>IFERROR(IF(G$4="",0,IF($E54="kWh",VLOOKUP(G$4,'4. Billing Determinants'!$B$19:$P$41,4,0)/'4. Billing Determinants'!$E$41*$D54,IF($E54="kW",VLOOKUP(G$4,'4. Billing Determinants'!$B$19:$P$41,5,0)/'4. Billing Determinants'!$F$41*$D54,IF($E54="Non-RPP kWh",VLOOKUP(G$4,'4. Billing Determinants'!$B$19:$P$41,6,0)/'4. Billing Determinants'!$G$41*$D54,IF($E54="Distribution Rev.",VLOOKUP(G$4,'4. Billing Determinants'!$B$19:$P$41,8,0)/'4. Billing Determinants'!$I$41*$D54, VLOOKUP(G$4,'4. Billing Determinants'!$B$19:$P$41,3,0)/'4. Billing Determinants'!$D$41*$D54))))),0)</f>
        <v>-741980.96327318321</v>
      </c>
      <c r="H54" s="70">
        <f>IFERROR(IF(H$4="",0,IF($E54="kWh",VLOOKUP(H$4,'4. Billing Determinants'!$B$19:$P$41,4,0)/'4. Billing Determinants'!$E$41*$D54,IF($E54="kW",VLOOKUP(H$4,'4. Billing Determinants'!$B$19:$P$41,5,0)/'4. Billing Determinants'!$F$41*$D54,IF($E54="Non-RPP kWh",VLOOKUP(H$4,'4. Billing Determinants'!$B$19:$P$41,6,0)/'4. Billing Determinants'!$G$41*$D54,IF($E54="Distribution Rev.",VLOOKUP(H$4,'4. Billing Determinants'!$B$19:$P$41,8,0)/'4. Billing Determinants'!$I$41*$D54, VLOOKUP(H$4,'4. Billing Determinants'!$B$19:$P$41,3,0)/'4. Billing Determinants'!$D$41*$D54))))),0)</f>
        <v>-3919445.4675340499</v>
      </c>
      <c r="I54" s="70">
        <f>IFERROR(IF(I$4="",0,IF($E54="kWh",VLOOKUP(I$4,'4. Billing Determinants'!$B$19:$P$41,4,0)/'4. Billing Determinants'!$E$41*$D54,IF($E54="kW",VLOOKUP(I$4,'4. Billing Determinants'!$B$19:$P$41,5,0)/'4. Billing Determinants'!$F$41*$D54,IF($E54="Non-RPP kWh",VLOOKUP(I$4,'4. Billing Determinants'!$B$19:$P$41,6,0)/'4. Billing Determinants'!$G$41*$D54,IF($E54="Distribution Rev.",VLOOKUP(I$4,'4. Billing Determinants'!$B$19:$P$41,8,0)/'4. Billing Determinants'!$I$41*$D54, VLOOKUP(I$4,'4. Billing Determinants'!$B$19:$P$41,3,0)/'4. Billing Determinants'!$D$41*$D54))))),0)</f>
        <v>-13431.174244976539</v>
      </c>
      <c r="J54" s="70">
        <f>IFERROR(IF(J$4="",0,IF($E54="kWh",VLOOKUP(J$4,'4. Billing Determinants'!$B$19:$P$41,4,0)/'4. Billing Determinants'!$E$41*$D54,IF($E54="kW",VLOOKUP(J$4,'4. Billing Determinants'!$B$19:$P$41,5,0)/'4. Billing Determinants'!$F$41*$D54,IF($E54="Non-RPP kWh",VLOOKUP(J$4,'4. Billing Determinants'!$B$19:$P$41,6,0)/'4. Billing Determinants'!$G$41*$D54,IF($E54="Distribution Rev.",VLOOKUP(J$4,'4. Billing Determinants'!$B$19:$P$41,8,0)/'4. Billing Determinants'!$I$41*$D54, VLOOKUP(J$4,'4. Billing Determinants'!$B$19:$P$41,3,0)/'4. Billing Determinants'!$D$41*$D54))))),0)</f>
        <v>-1587.0864250029799</v>
      </c>
      <c r="K54" s="70">
        <f>IFERROR(IF(K$4="",0,IF($E54="kWh",VLOOKUP(K$4,'4. Billing Determinants'!$B$19:$P$41,4,0)/'4. Billing Determinants'!$E$41*$D54,IF($E54="kW",VLOOKUP(K$4,'4. Billing Determinants'!$B$19:$P$41,5,0)/'4. Billing Determinants'!$F$41*$D54,IF($E54="Non-RPP kWh",VLOOKUP(K$4,'4. Billing Determinants'!$B$19:$P$41,6,0)/'4. Billing Determinants'!$G$41*$D54,IF($E54="Distribution Rev.",VLOOKUP(K$4,'4. Billing Determinants'!$B$19:$P$41,8,0)/'4. Billing Determinants'!$I$41*$D54, VLOOKUP(K$4,'4. Billing Determinants'!$B$19:$P$41,3,0)/'4. Billing Determinants'!$D$41*$D54))))),0)</f>
        <v>-43885.423180268772</v>
      </c>
      <c r="L54" s="70">
        <f>IFERROR(IF(L$4="",0,IF($E54="kWh",VLOOKUP(L$4,'4. Billing Determinants'!$B$19:$P$41,4,0)/'4. Billing Determinants'!$E$41*$D54,IF($E54="kW",VLOOKUP(L$4,'4. Billing Determinants'!$B$19:$P$41,5,0)/'4. Billing Determinants'!$F$41*$D54,IF($E54="Non-RPP kWh",VLOOKUP(L$4,'4. Billing Determinants'!$B$19:$P$41,6,0)/'4. Billing Determinants'!$G$41*$D54,IF($E54="Distribution Rev.",VLOOKUP(L$4,'4. Billing Determinants'!$B$19:$P$41,8,0)/'4. Billing Determinants'!$I$41*$D54, VLOOKUP(L$4,'4. Billing Determinants'!$B$19:$P$41,3,0)/'4. Billing Determinants'!$D$41*$D54))))),0)</f>
        <v>0</v>
      </c>
      <c r="M54" s="70">
        <f>IFERROR(IF(M$4="",0,IF($E54="kWh",VLOOKUP(M$4,'4. Billing Determinants'!$B$19:$P$41,4,0)/'4. Billing Determinants'!$E$41*$D54,IF($E54="kW",VLOOKUP(M$4,'4. Billing Determinants'!$B$19:$P$41,5,0)/'4. Billing Determinants'!$F$41*$D54,IF($E54="Non-RPP kWh",VLOOKUP(M$4,'4. Billing Determinants'!$B$19:$P$41,6,0)/'4. Billing Determinants'!$G$41*$D54,IF($E54="Distribution Rev.",VLOOKUP(M$4,'4. Billing Determinants'!$B$19:$P$41,8,0)/'4. Billing Determinants'!$I$41*$D54, VLOOKUP(M$4,'4. Billing Determinants'!$B$19:$P$41,3,0)/'4. Billing Determinants'!$D$41*$D54))))),0)</f>
        <v>0</v>
      </c>
      <c r="N54" s="70">
        <f>IFERROR(IF(N$4="",0,IF($E54="kWh",VLOOKUP(N$4,'4. Billing Determinants'!$B$19:$P$41,4,0)/'4. Billing Determinants'!$E$41*$D54,IF($E54="kW",VLOOKUP(N$4,'4. Billing Determinants'!$B$19:$P$41,5,0)/'4. Billing Determinants'!$F$41*$D54,IF($E54="Non-RPP kWh",VLOOKUP(N$4,'4. Billing Determinants'!$B$19:$P$41,6,0)/'4. Billing Determinants'!$G$41*$D54,IF($E54="Distribution Rev.",VLOOKUP(N$4,'4. Billing Determinants'!$B$19:$P$41,8,0)/'4. Billing Determinants'!$I$41*$D54, VLOOKUP(N$4,'4. Billing Determinants'!$B$19:$P$41,3,0)/'4. Billing Determinants'!$D$41*$D54))))),0)</f>
        <v>0</v>
      </c>
      <c r="O54" s="70">
        <f>IFERROR(IF(O$4="",0,IF($E54="kWh",VLOOKUP(O$4,'4. Billing Determinants'!$B$19:$P$41,4,0)/'4. Billing Determinants'!$E$41*$D54,IF($E54="kW",VLOOKUP(O$4,'4. Billing Determinants'!$B$19:$P$41,5,0)/'4. Billing Determinants'!$F$41*$D54,IF($E54="Non-RPP kWh",VLOOKUP(O$4,'4. Billing Determinants'!$B$19:$P$41,6,0)/'4. Billing Determinants'!$G$41*$D54,IF($E54="Distribution Rev.",VLOOKUP(O$4,'4. Billing Determinants'!$B$19:$P$41,8,0)/'4. Billing Determinants'!$I$41*$D54, VLOOKUP(O$4,'4. Billing Determinants'!$B$19:$P$41,3,0)/'4. Billing Determinants'!$D$41*$D54))))),0)</f>
        <v>0</v>
      </c>
      <c r="P54" s="70">
        <f>IFERROR(IF(P$4="",0,IF($E54="kWh",VLOOKUP(P$4,'4. Billing Determinants'!$B$19:$P$41,4,0)/'4. Billing Determinants'!$E$41*$D54,IF($E54="kW",VLOOKUP(P$4,'4. Billing Determinants'!$B$19:$P$41,5,0)/'4. Billing Determinants'!$F$41*$D54,IF($E54="Non-RPP kWh",VLOOKUP(P$4,'4. Billing Determinants'!$B$19:$P$41,6,0)/'4. Billing Determinants'!$G$41*$D54,IF($E54="Distribution Rev.",VLOOKUP(P$4,'4. Billing Determinants'!$B$19:$P$41,8,0)/'4. Billing Determinants'!$I$41*$D54, VLOOKUP(P$4,'4. Billing Determinants'!$B$19:$P$41,3,0)/'4. Billing Determinants'!$D$41*$D54))))),0)</f>
        <v>0</v>
      </c>
      <c r="Q54" s="70">
        <f>IFERROR(IF(Q$4="",0,IF($E54="kWh",VLOOKUP(Q$4,'4. Billing Determinants'!$B$19:$P$41,4,0)/'4. Billing Determinants'!$E$41*$D54,IF($E54="kW",VLOOKUP(Q$4,'4. Billing Determinants'!$B$19:$P$41,5,0)/'4. Billing Determinants'!$F$41*$D54,IF($E54="Non-RPP kWh",VLOOKUP(Q$4,'4. Billing Determinants'!$B$19:$P$41,6,0)/'4. Billing Determinants'!$G$41*$D54,IF($E54="Distribution Rev.",VLOOKUP(Q$4,'4. Billing Determinants'!$B$19:$P$41,8,0)/'4. Billing Determinants'!$I$41*$D54, VLOOKUP(Q$4,'4. Billing Determinants'!$B$19:$P$41,3,0)/'4. Billing Determinants'!$D$41*$D54))))),0)</f>
        <v>0</v>
      </c>
      <c r="R54" s="70">
        <f>IFERROR(IF(R$4="",0,IF($E54="kWh",VLOOKUP(R$4,'4. Billing Determinants'!$B$19:$P$41,4,0)/'4. Billing Determinants'!$E$41*$D54,IF($E54="kW",VLOOKUP(R$4,'4. Billing Determinants'!$B$19:$P$41,5,0)/'4. Billing Determinants'!$F$41*$D54,IF($E54="Non-RPP kWh",VLOOKUP(R$4,'4. Billing Determinants'!$B$19:$P$41,6,0)/'4. Billing Determinants'!$G$41*$D54,IF($E54="Distribution Rev.",VLOOKUP(R$4,'4. Billing Determinants'!$B$19:$P$41,8,0)/'4. Billing Determinants'!$I$41*$D54, VLOOKUP(R$4,'4. Billing Determinants'!$B$19:$P$41,3,0)/'4. Billing Determinants'!$D$41*$D54))))),0)</f>
        <v>0</v>
      </c>
      <c r="S54" s="70">
        <f>IFERROR(IF(S$4="",0,IF($E54="kWh",VLOOKUP(S$4,'4. Billing Determinants'!$B$19:$P$41,4,0)/'4. Billing Determinants'!$E$41*$D54,IF($E54="kW",VLOOKUP(S$4,'4. Billing Determinants'!$B$19:$P$41,5,0)/'4. Billing Determinants'!$F$41*$D54,IF($E54="Non-RPP kWh",VLOOKUP(S$4,'4. Billing Determinants'!$B$19:$P$41,6,0)/'4. Billing Determinants'!$G$41*$D54,IF($E54="Distribution Rev.",VLOOKUP(S$4,'4. Billing Determinants'!$B$19:$P$41,8,0)/'4. Billing Determinants'!$I$41*$D54, VLOOKUP(S$4,'4. Billing Determinants'!$B$19:$P$41,3,0)/'4. Billing Determinants'!$D$41*$D54))))),0)</f>
        <v>0</v>
      </c>
      <c r="T54" s="70">
        <f>IFERROR(IF(T$4="",0,IF($E54="kWh",VLOOKUP(T$4,'4. Billing Determinants'!$B$19:$P$41,4,0)/'4. Billing Determinants'!$E$41*$D54,IF($E54="kW",VLOOKUP(T$4,'4. Billing Determinants'!$B$19:$P$41,5,0)/'4. Billing Determinants'!$F$41*$D54,IF($E54="Non-RPP kWh",VLOOKUP(T$4,'4. Billing Determinants'!$B$19:$P$41,6,0)/'4. Billing Determinants'!$G$41*$D54,IF($E54="Distribution Rev.",VLOOKUP(T$4,'4. Billing Determinants'!$B$19:$P$41,8,0)/'4. Billing Determinants'!$I$41*$D54, VLOOKUP(T$4,'4. Billing Determinants'!$B$19:$P$41,3,0)/'4. Billing Determinants'!$D$41*$D54))))),0)</f>
        <v>0</v>
      </c>
      <c r="U54" s="70">
        <f>IFERROR(IF(U$4="",0,IF($E54="kWh",VLOOKUP(U$4,'4. Billing Determinants'!$B$19:$P$41,4,0)/'4. Billing Determinants'!$E$41*$D54,IF($E54="kW",VLOOKUP(U$4,'4. Billing Determinants'!$B$19:$P$41,5,0)/'4. Billing Determinants'!$F$41*$D54,IF($E54="Non-RPP kWh",VLOOKUP(U$4,'4. Billing Determinants'!$B$19:$P$41,6,0)/'4. Billing Determinants'!$G$41*$D54,IF($E54="Distribution Rev.",VLOOKUP(U$4,'4. Billing Determinants'!$B$19:$P$41,8,0)/'4. Billing Determinants'!$I$41*$D54, VLOOKUP(U$4,'4. Billing Determinants'!$B$19:$P$41,3,0)/'4. Billing Determinants'!$D$41*$D54))))),0)</f>
        <v>0</v>
      </c>
      <c r="V54" s="70">
        <f>IFERROR(IF(V$4="",0,IF($E54="kWh",VLOOKUP(V$4,'4. Billing Determinants'!$B$19:$P$41,4,0)/'4. Billing Determinants'!$E$41*$D54,IF($E54="kW",VLOOKUP(V$4,'4. Billing Determinants'!$B$19:$P$41,5,0)/'4. Billing Determinants'!$F$41*$D54,IF($E54="Non-RPP kWh",VLOOKUP(V$4,'4. Billing Determinants'!$B$19:$P$41,6,0)/'4. Billing Determinants'!$G$41*$D54,IF($E54="Distribution Rev.",VLOOKUP(V$4,'4. Billing Determinants'!$B$19:$P$41,8,0)/'4. Billing Determinants'!$I$41*$D54, VLOOKUP(V$4,'4. Billing Determinants'!$B$19:$P$41,3,0)/'4. Billing Determinants'!$D$41*$D54))))),0)</f>
        <v>0</v>
      </c>
      <c r="W54" s="70">
        <f>IFERROR(IF(W$4="",0,IF($E54="kWh",VLOOKUP(W$4,'4. Billing Determinants'!$B$19:$P$41,4,0)/'4. Billing Determinants'!$E$41*$D54,IF($E54="kW",VLOOKUP(W$4,'4. Billing Determinants'!$B$19:$P$41,5,0)/'4. Billing Determinants'!$F$41*$D54,IF($E54="Non-RPP kWh",VLOOKUP(W$4,'4. Billing Determinants'!$B$19:$P$41,6,0)/'4. Billing Determinants'!$G$41*$D54,IF($E54="Distribution Rev.",VLOOKUP(W$4,'4. Billing Determinants'!$B$19:$P$41,8,0)/'4. Billing Determinants'!$I$41*$D54, VLOOKUP(W$4,'4. Billing Determinants'!$B$19:$P$41,3,0)/'4. Billing Determinants'!$D$41*$D54))))),0)</f>
        <v>0</v>
      </c>
      <c r="X54" s="70">
        <f>IFERROR(IF(X$4="",0,IF($E54="kWh",VLOOKUP(X$4,'4. Billing Determinants'!$B$19:$P$41,4,0)/'4. Billing Determinants'!$E$41*$D54,IF($E54="kW",VLOOKUP(X$4,'4. Billing Determinants'!$B$19:$P$41,5,0)/'4. Billing Determinants'!$F$41*$D54,IF($E54="Non-RPP kWh",VLOOKUP(X$4,'4. Billing Determinants'!$B$19:$P$41,6,0)/'4. Billing Determinants'!$G$41*$D54,IF($E54="Distribution Rev.",VLOOKUP(X$4,'4. Billing Determinants'!$B$19:$P$41,8,0)/'4. Billing Determinants'!$I$41*$D54, VLOOKUP(X$4,'4. Billing Determinants'!$B$19:$P$41,3,0)/'4. Billing Determinants'!$D$41*$D54))))),0)</f>
        <v>0</v>
      </c>
      <c r="Y54" s="70">
        <f>IFERROR(IF(Y$4="",0,IF($E54="kWh",VLOOKUP(Y$4,'4. Billing Determinants'!$B$19:$P$41,4,0)/'4. Billing Determinants'!$E$41*$D54,IF($E54="kW",VLOOKUP(Y$4,'4. Billing Determinants'!$B$19:$P$41,5,0)/'4. Billing Determinants'!$F$41*$D54,IF($E54="Non-RPP kWh",VLOOKUP(Y$4,'4. Billing Determinants'!$B$19:$P$41,6,0)/'4. Billing Determinants'!$G$41*$D54,IF($E54="Distribution Rev.",VLOOKUP(Y$4,'4. Billing Determinants'!$B$19:$P$41,8,0)/'4. Billing Determinants'!$I$41*$D54, VLOOKUP(Y$4,'4. Billing Determinants'!$B$19:$P$41,3,0)/'4. Billing Determinants'!$D$41*$D54))))),0)</f>
        <v>0</v>
      </c>
    </row>
    <row r="55" spans="2:25" x14ac:dyDescent="0.2">
      <c r="B55" s="88" t="s">
        <v>151</v>
      </c>
      <c r="C55" s="88"/>
      <c r="D55" s="89">
        <f>SUM(D53:D54)</f>
        <v>-7183832.3493090114</v>
      </c>
      <c r="E55" s="89"/>
      <c r="F55" s="89">
        <f>SUM(F53:F54)</f>
        <v>-2463502.2346515297</v>
      </c>
      <c r="G55" s="89">
        <f t="shared" ref="G55:Y55" si="6">SUM(G53:G54)</f>
        <v>-741980.96327318321</v>
      </c>
      <c r="H55" s="89">
        <f t="shared" si="6"/>
        <v>-3919445.4675340499</v>
      </c>
      <c r="I55" s="89">
        <f t="shared" si="6"/>
        <v>-13431.174244976539</v>
      </c>
      <c r="J55" s="89">
        <f t="shared" si="6"/>
        <v>-1587.0864250029799</v>
      </c>
      <c r="K55" s="89">
        <f t="shared" si="6"/>
        <v>-43885.423180268772</v>
      </c>
      <c r="L55" s="89">
        <f t="shared" si="6"/>
        <v>0</v>
      </c>
      <c r="M55" s="89">
        <f t="shared" si="6"/>
        <v>0</v>
      </c>
      <c r="N55" s="89">
        <f t="shared" si="6"/>
        <v>0</v>
      </c>
      <c r="O55" s="89">
        <f t="shared" si="6"/>
        <v>0</v>
      </c>
      <c r="P55" s="89">
        <f t="shared" si="6"/>
        <v>0</v>
      </c>
      <c r="Q55" s="89">
        <f t="shared" si="6"/>
        <v>0</v>
      </c>
      <c r="R55" s="89">
        <f t="shared" si="6"/>
        <v>0</v>
      </c>
      <c r="S55" s="89">
        <f t="shared" si="6"/>
        <v>0</v>
      </c>
      <c r="T55" s="89">
        <f t="shared" si="6"/>
        <v>0</v>
      </c>
      <c r="U55" s="89">
        <f t="shared" si="6"/>
        <v>0</v>
      </c>
      <c r="V55" s="89">
        <f t="shared" si="6"/>
        <v>0</v>
      </c>
      <c r="W55" s="89">
        <f t="shared" si="6"/>
        <v>0</v>
      </c>
      <c r="X55" s="89">
        <f t="shared" si="6"/>
        <v>0</v>
      </c>
      <c r="Y55" s="89">
        <f t="shared" si="6"/>
        <v>0</v>
      </c>
    </row>
  </sheetData>
  <sheetProtection password="F8BD" sheet="1" objects="1" scenarios="1"/>
  <mergeCells count="5">
    <mergeCell ref="B46:C46"/>
    <mergeCell ref="B47:C47"/>
    <mergeCell ref="B49:C49"/>
    <mergeCell ref="B50:C50"/>
    <mergeCell ref="B51:C51"/>
  </mergeCells>
  <dataValidations count="4">
    <dataValidation type="list" allowBlank="1" showInputMessage="1" showErrorMessage="1" sqref="E5:E11">
      <formula1>"kWh, kW, Non-RPP kWh"</formula1>
    </dataValidation>
    <dataValidation type="list" allowBlank="1" showInputMessage="1" showErrorMessage="1" sqref="E40:E43 E38 E53:E54">
      <formula1>"kWh, kW, Non-RPP kWh, Distribution Rev."</formula1>
    </dataValidation>
    <dataValidation type="list" allowBlank="1" showInputMessage="1" showErrorMessage="1" sqref="E19:E37">
      <formula1>"kWh, kW, Non-RPP kWh, Distribution Rev., # of Customers"</formula1>
    </dataValidation>
    <dataValidation type="list" allowBlank="1" showInputMessage="1" showErrorMessage="1" sqref="E12:E16">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123"/>
  <sheetViews>
    <sheetView showGridLines="0" zoomScale="90" zoomScaleNormal="90" workbookViewId="0">
      <selection activeCell="I21" sqref="I21"/>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11" t="s">
        <v>123</v>
      </c>
      <c r="C13" s="112"/>
      <c r="D13" s="113">
        <v>1</v>
      </c>
    </row>
    <row r="16" spans="2:4" ht="18" x14ac:dyDescent="0.25">
      <c r="B16" s="115" t="s">
        <v>125</v>
      </c>
    </row>
    <row r="18" spans="2:7" ht="12.75" customHeight="1" x14ac:dyDescent="0.2">
      <c r="B18" s="268" t="s">
        <v>116</v>
      </c>
      <c r="C18" s="267" t="s">
        <v>102</v>
      </c>
      <c r="D18" s="274" t="s">
        <v>124</v>
      </c>
      <c r="E18" s="274" t="s">
        <v>150</v>
      </c>
      <c r="F18" s="276" t="s">
        <v>122</v>
      </c>
    </row>
    <row r="19" spans="2:7" ht="27" customHeight="1" x14ac:dyDescent="0.2">
      <c r="B19" s="269"/>
      <c r="C19" s="267"/>
      <c r="D19" s="275"/>
      <c r="E19" s="275"/>
      <c r="F19" s="276"/>
    </row>
    <row r="20" spans="2:7" x14ac:dyDescent="0.2">
      <c r="B20" s="96" t="str">
        <f>IF(ISBLANK('4. Billing Determinants'!B21), "", '4. Billing Determinants'!B21)</f>
        <v>Residential</v>
      </c>
      <c r="C20" s="130" t="s">
        <v>276</v>
      </c>
      <c r="D20" s="99">
        <f>IF(C20="", 0, IF(C20="kWh", '4. Billing Determinants'!E21, IF(C20="kW", '4. Billing Determinants'!F21, '4. Billing Determinants'!D21)))</f>
        <v>412298278</v>
      </c>
      <c r="E20" s="100">
        <f>HLOOKUP($B20, '5. Allocation of Balances'!$C$4:$Y$49, 46,FALSE)</f>
        <v>-201211.7563537042</v>
      </c>
      <c r="F20" s="110">
        <f>IF(ISERROR(E20/D20), 0, IF(C20="# of Customers", E20/D20/12/$D$13, E20/D20/$D$13))</f>
        <v>-4.8802473134196354E-4</v>
      </c>
      <c r="G20" t="str">
        <f>IF(C20="", "", IF(C20="# of Customers", "per customer per month", "$/"&amp;C20))</f>
        <v>$/kWh</v>
      </c>
    </row>
    <row r="21" spans="2:7" x14ac:dyDescent="0.2">
      <c r="B21" s="96" t="str">
        <f>IF(ISBLANK('4. Billing Determinants'!B22), "", '4. Billing Determinants'!B22)</f>
        <v>General Service &lt; 50 kW</v>
      </c>
      <c r="C21" s="130" t="s">
        <v>276</v>
      </c>
      <c r="D21" s="99">
        <f>IF(C21="", 0, IF(C21="kWh", '4. Billing Determinants'!E22, IF(C21="kW", '4. Billing Determinants'!F22, '4. Billing Determinants'!D22)))</f>
        <v>124179905</v>
      </c>
      <c r="E21" s="100">
        <f>HLOOKUP($B21, '5. Allocation of Balances'!$C$4:$Y$49, 46,FALSE)</f>
        <v>-118679.63199444039</v>
      </c>
      <c r="F21" s="110">
        <f t="shared" ref="F21:F39" si="0">IF(ISERROR(E21/D21), 0, IF(C21="# of Customers", E21/D21/12/$D$13, E21/D21/$D$13))</f>
        <v>-9.5570722166714815E-4</v>
      </c>
      <c r="G21" t="str">
        <f t="shared" ref="G21:G39" si="1">IF(C21="", "", IF(C21="# of Customers", "per customer per month", "$/"&amp;C21))</f>
        <v>$/kWh</v>
      </c>
    </row>
    <row r="22" spans="2:7" x14ac:dyDescent="0.2">
      <c r="B22" s="96" t="str">
        <f>IF(ISBLANK('4. Billing Determinants'!B23), "", '4. Billing Determinants'!B23)</f>
        <v>General Service &gt; 50</v>
      </c>
      <c r="C22" s="130" t="s">
        <v>295</v>
      </c>
      <c r="D22" s="99">
        <f>IF(C22="", 0, IF(C22="kWh", '4. Billing Determinants'!E23, IF(C22="kW", '4. Billing Determinants'!F23, '4. Billing Determinants'!D23)))</f>
        <v>1721553.9692533722</v>
      </c>
      <c r="E22" s="100">
        <f>HLOOKUP($B22, '5. Allocation of Balances'!$C$4:$Y$49, 46,FALSE)</f>
        <v>-754435.17938751297</v>
      </c>
      <c r="F22" s="110">
        <f t="shared" si="0"/>
        <v>-0.43822917716294835</v>
      </c>
      <c r="G22" t="str">
        <f t="shared" si="1"/>
        <v>$/kW</v>
      </c>
    </row>
    <row r="23" spans="2:7" x14ac:dyDescent="0.2">
      <c r="B23" s="96" t="str">
        <f>IF(ISBLANK('4. Billing Determinants'!B24), "", '4. Billing Determinants'!B24)</f>
        <v>Unmetered Scattered Load</v>
      </c>
      <c r="C23" s="130" t="s">
        <v>276</v>
      </c>
      <c r="D23" s="99">
        <f>IF(C23="", 0, IF(C23="kWh", '4. Billing Determinants'!E24, IF(C23="kW", '4. Billing Determinants'!F24, '4. Billing Determinants'!D24)))</f>
        <v>2247877</v>
      </c>
      <c r="E23" s="100">
        <f>HLOOKUP($B23, '5. Allocation of Balances'!$C$4:$Y$49, 46,FALSE)</f>
        <v>-2573.6192194990413</v>
      </c>
      <c r="F23" s="110">
        <f t="shared" si="0"/>
        <v>-1.1449110514049662E-3</v>
      </c>
      <c r="G23" t="str">
        <f t="shared" si="1"/>
        <v>$/kWh</v>
      </c>
    </row>
    <row r="24" spans="2:7" x14ac:dyDescent="0.2">
      <c r="B24" s="96" t="str">
        <f>IF(ISBLANK('4. Billing Determinants'!B25), "", '4. Billing Determinants'!B25)</f>
        <v>Sentinel Lighting</v>
      </c>
      <c r="C24" s="130" t="s">
        <v>295</v>
      </c>
      <c r="D24" s="99">
        <f>IF(C24="", 0, IF(C24="kWh", '4. Billing Determinants'!E25, IF(C24="kW", '4. Billing Determinants'!F25, '4. Billing Determinants'!D25)))</f>
        <v>716.23040649278312</v>
      </c>
      <c r="E24" s="100">
        <f>HLOOKUP($B24, '5. Allocation of Balances'!$C$4:$Y$49, 46,FALSE)</f>
        <v>1724.4789608478843</v>
      </c>
      <c r="F24" s="110">
        <f t="shared" si="0"/>
        <v>2.4077153737332435</v>
      </c>
      <c r="G24" t="str">
        <f t="shared" si="1"/>
        <v>$/kW</v>
      </c>
    </row>
    <row r="25" spans="2:7" x14ac:dyDescent="0.2">
      <c r="B25" s="96" t="str">
        <f>IF(ISBLANK('4. Billing Determinants'!B26), "", '4. Billing Determinants'!B26)</f>
        <v>Street Lighting</v>
      </c>
      <c r="C25" s="130" t="s">
        <v>295</v>
      </c>
      <c r="D25" s="99">
        <f>IF(C25="", 0, IF(C25="kWh", '4. Billing Determinants'!E26, IF(C25="kW", '4. Billing Determinants'!F26, '4. Billing Determinants'!D26)))</f>
        <v>20808.575811577328</v>
      </c>
      <c r="E25" s="100">
        <f>HLOOKUP($B25, '5. Allocation of Balances'!$C$4:$Y$49, 46,FALSE)</f>
        <v>-8528.9414696911881</v>
      </c>
      <c r="F25" s="110">
        <f t="shared" si="0"/>
        <v>-0.40987627153925238</v>
      </c>
      <c r="G25" t="str">
        <f t="shared" si="1"/>
        <v>$/kW</v>
      </c>
    </row>
    <row r="26" spans="2:7" x14ac:dyDescent="0.2">
      <c r="B26" s="96" t="str">
        <f>IF(ISBLANK('4. Billing Determinants'!B27), "", '4. Billing Determinants'!B27)</f>
        <v/>
      </c>
      <c r="C26" s="130" t="str">
        <f>IF(ISBLANK('4. Billing Determinants'!C27), "", '4. Billing Determinants'!C27)</f>
        <v/>
      </c>
      <c r="D26" s="99">
        <f>IF(C26="", 0, IF(C26="kWh", '4. Billing Determinants'!E27, IF(C26="kW", '4. Billing Determinants'!F27, '4. Billing Determinants'!D27)))</f>
        <v>0</v>
      </c>
      <c r="E26" s="100">
        <f>HLOOKUP($B26, '5. Allocation of Balances'!$C$4:$Y$49, 46,FALSE)</f>
        <v>0</v>
      </c>
      <c r="F26" s="110">
        <f t="shared" si="0"/>
        <v>0</v>
      </c>
      <c r="G26" t="str">
        <f t="shared" si="1"/>
        <v/>
      </c>
    </row>
    <row r="27" spans="2:7" x14ac:dyDescent="0.2">
      <c r="B27" s="96" t="str">
        <f>IF(ISBLANK('4. Billing Determinants'!B28), "", '4. Billing Determinants'!B28)</f>
        <v/>
      </c>
      <c r="C27" s="130" t="str">
        <f>IF(ISBLANK('4. Billing Determinants'!C28), "", '4. Billing Determinants'!C28)</f>
        <v/>
      </c>
      <c r="D27" s="99">
        <f>IF(C27="", 0, IF(C27="kWh", '4. Billing Determinants'!E28, IF(C27="kW", '4. Billing Determinants'!F28, '4. Billing Determinants'!D28)))</f>
        <v>0</v>
      </c>
      <c r="E27" s="100">
        <f>HLOOKUP($B27, '5. Allocation of Balances'!$C$4:$Y$49, 46,FALSE)</f>
        <v>0</v>
      </c>
      <c r="F27" s="110">
        <f t="shared" si="0"/>
        <v>0</v>
      </c>
      <c r="G27" t="str">
        <f t="shared" si="1"/>
        <v/>
      </c>
    </row>
    <row r="28" spans="2:7" x14ac:dyDescent="0.2">
      <c r="B28" s="96" t="str">
        <f>IF(ISBLANK('4. Billing Determinants'!B29), "", '4. Billing Determinants'!B29)</f>
        <v/>
      </c>
      <c r="C28" s="130" t="str">
        <f>IF(ISBLANK('4. Billing Determinants'!C29), "", '4. Billing Determinants'!C29)</f>
        <v/>
      </c>
      <c r="D28" s="99">
        <f>IF(C28="", 0, IF(C28="kWh", '4. Billing Determinants'!E29, IF(C28="kW", '4. Billing Determinants'!F29, '4. Billing Determinants'!D29)))</f>
        <v>0</v>
      </c>
      <c r="E28" s="100">
        <f>HLOOKUP($B28, '5. Allocation of Balances'!$C$4:$Y$49, 46,FALSE)</f>
        <v>0</v>
      </c>
      <c r="F28" s="110">
        <f t="shared" si="0"/>
        <v>0</v>
      </c>
      <c r="G28" t="str">
        <f t="shared" si="1"/>
        <v/>
      </c>
    </row>
    <row r="29" spans="2:7" x14ac:dyDescent="0.2">
      <c r="B29" s="96" t="str">
        <f>IF(ISBLANK('4. Billing Determinants'!B30), "", '4. Billing Determinants'!B30)</f>
        <v/>
      </c>
      <c r="C29" s="130" t="str">
        <f>IF(ISBLANK('4. Billing Determinants'!C30), "", '4. Billing Determinants'!C30)</f>
        <v/>
      </c>
      <c r="D29" s="99">
        <f>IF(C29="", 0, IF(C29="kWh", '4. Billing Determinants'!E30, IF(C29="kW", '4. Billing Determinants'!F30, '4. Billing Determinants'!D30)))</f>
        <v>0</v>
      </c>
      <c r="E29" s="100">
        <f>HLOOKUP($B29, '5. Allocation of Balances'!$C$4:$Y$49, 46,FALSE)</f>
        <v>0</v>
      </c>
      <c r="F29" s="110">
        <f t="shared" si="0"/>
        <v>0</v>
      </c>
      <c r="G29" t="str">
        <f t="shared" si="1"/>
        <v/>
      </c>
    </row>
    <row r="30" spans="2:7" x14ac:dyDescent="0.2">
      <c r="B30" s="96" t="str">
        <f>IF(ISBLANK('4. Billing Determinants'!B31), "", '4. Billing Determinants'!B31)</f>
        <v/>
      </c>
      <c r="C30" s="130" t="str">
        <f>IF(ISBLANK('4. Billing Determinants'!C31), "", '4. Billing Determinants'!C31)</f>
        <v/>
      </c>
      <c r="D30" s="99">
        <f>IF(C30="", 0, IF(C30="kWh", '4. Billing Determinants'!E31, IF(C30="kW", '4. Billing Determinants'!F31, '4. Billing Determinants'!D31)))</f>
        <v>0</v>
      </c>
      <c r="E30" s="100">
        <f>HLOOKUP($B30, '5. Allocation of Balances'!$C$4:$Y$49, 46,FALSE)</f>
        <v>0</v>
      </c>
      <c r="F30" s="110">
        <f t="shared" si="0"/>
        <v>0</v>
      </c>
      <c r="G30" t="str">
        <f t="shared" si="1"/>
        <v/>
      </c>
    </row>
    <row r="31" spans="2:7" x14ac:dyDescent="0.2">
      <c r="B31" s="96" t="str">
        <f>IF(ISBLANK('4. Billing Determinants'!B32), "", '4. Billing Determinants'!B32)</f>
        <v/>
      </c>
      <c r="C31" s="130" t="str">
        <f>IF(ISBLANK('4. Billing Determinants'!C32), "", '4. Billing Determinants'!C32)</f>
        <v/>
      </c>
      <c r="D31" s="99">
        <f>IF(C31="", 0, IF(C31="kWh", '4. Billing Determinants'!E32, IF(C31="kW", '4. Billing Determinants'!F32, '4. Billing Determinants'!D32)))</f>
        <v>0</v>
      </c>
      <c r="E31" s="100">
        <f>HLOOKUP($B31, '5. Allocation of Balances'!$C$4:$Y$49, 46,FALSE)</f>
        <v>0</v>
      </c>
      <c r="F31" s="110">
        <f t="shared" si="0"/>
        <v>0</v>
      </c>
      <c r="G31" t="str">
        <f t="shared" si="1"/>
        <v/>
      </c>
    </row>
    <row r="32" spans="2:7" x14ac:dyDescent="0.2">
      <c r="B32" s="96" t="str">
        <f>IF(ISBLANK('4. Billing Determinants'!B33), "", '4. Billing Determinants'!B33)</f>
        <v/>
      </c>
      <c r="C32" s="130" t="str">
        <f>IF(ISBLANK('4. Billing Determinants'!C33), "", '4. Billing Determinants'!C33)</f>
        <v/>
      </c>
      <c r="D32" s="99">
        <f>IF(C32="", 0, IF(C32="kWh", '4. Billing Determinants'!E33, IF(C32="kW", '4. Billing Determinants'!F33, '4. Billing Determinants'!D33)))</f>
        <v>0</v>
      </c>
      <c r="E32" s="100">
        <f>HLOOKUP($B32, '5. Allocation of Balances'!$C$4:$Y$49, 46,FALSE)</f>
        <v>0</v>
      </c>
      <c r="F32" s="110">
        <f t="shared" si="0"/>
        <v>0</v>
      </c>
      <c r="G32" t="str">
        <f t="shared" si="1"/>
        <v/>
      </c>
    </row>
    <row r="33" spans="2:9" x14ac:dyDescent="0.2">
      <c r="B33" s="96" t="str">
        <f>IF(ISBLANK('4. Billing Determinants'!B34), "", '4. Billing Determinants'!B34)</f>
        <v/>
      </c>
      <c r="C33" s="130"/>
      <c r="D33" s="99">
        <f>IF(C33="", 0, IF(C33="kWh", '4. Billing Determinants'!E34, IF(C33="kW", '4. Billing Determinants'!F34, '4. Billing Determinants'!D34)))</f>
        <v>0</v>
      </c>
      <c r="E33" s="100">
        <f>HLOOKUP($B33, '5. Allocation of Balances'!$C$4:$Y$49, 46,FALSE)</f>
        <v>0</v>
      </c>
      <c r="F33" s="110">
        <f t="shared" si="0"/>
        <v>0</v>
      </c>
      <c r="G33" t="str">
        <f t="shared" si="1"/>
        <v/>
      </c>
    </row>
    <row r="34" spans="2:9" x14ac:dyDescent="0.2">
      <c r="B34" s="96" t="str">
        <f>IF(ISBLANK('4. Billing Determinants'!B35), "", '4. Billing Determinants'!B35)</f>
        <v/>
      </c>
      <c r="C34" s="130" t="str">
        <f>IF(ISBLANK('4. Billing Determinants'!C35), "", '4. Billing Determinants'!C35)</f>
        <v/>
      </c>
      <c r="D34" s="99">
        <f>IF(C34="", 0, IF(C34="kWh", '4. Billing Determinants'!E35, IF(C34="kW", '4. Billing Determinants'!F35, '4. Billing Determinants'!D35)))</f>
        <v>0</v>
      </c>
      <c r="E34" s="100">
        <f>HLOOKUP($B34, '5. Allocation of Balances'!$C$4:$Y$49, 46,FALSE)</f>
        <v>0</v>
      </c>
      <c r="F34" s="110">
        <f t="shared" si="0"/>
        <v>0</v>
      </c>
      <c r="G34" t="str">
        <f t="shared" si="1"/>
        <v/>
      </c>
    </row>
    <row r="35" spans="2:9" x14ac:dyDescent="0.2">
      <c r="B35" s="96" t="str">
        <f>IF(ISBLANK('4. Billing Determinants'!B36), "", '4. Billing Determinants'!B36)</f>
        <v/>
      </c>
      <c r="C35" s="130" t="str">
        <f>IF(ISBLANK('4. Billing Determinants'!C36), "", '4. Billing Determinants'!C36)</f>
        <v/>
      </c>
      <c r="D35" s="99">
        <f>IF(C35="", 0, IF(C35="kWh", '4. Billing Determinants'!E36, IF(C35="kW", '4. Billing Determinants'!F36, '4. Billing Determinants'!D36)))</f>
        <v>0</v>
      </c>
      <c r="E35" s="100">
        <f>HLOOKUP($B35, '5. Allocation of Balances'!$C$4:$Y$49, 46,FALSE)</f>
        <v>0</v>
      </c>
      <c r="F35" s="110">
        <f t="shared" si="0"/>
        <v>0</v>
      </c>
      <c r="G35" t="str">
        <f t="shared" si="1"/>
        <v/>
      </c>
    </row>
    <row r="36" spans="2:9" x14ac:dyDescent="0.2">
      <c r="B36" s="96" t="str">
        <f>IF(ISBLANK('4. Billing Determinants'!B37), "", '4. Billing Determinants'!B37)</f>
        <v/>
      </c>
      <c r="C36" s="130" t="str">
        <f>IF(ISBLANK('4. Billing Determinants'!C37), "", '4. Billing Determinants'!C37)</f>
        <v/>
      </c>
      <c r="D36" s="99">
        <f>IF(C36="", 0, IF(C36="kWh", '4. Billing Determinants'!E37, IF(C36="kW", '4. Billing Determinants'!F37, '4. Billing Determinants'!D37)))</f>
        <v>0</v>
      </c>
      <c r="E36" s="100">
        <f>HLOOKUP($B36, '5. Allocation of Balances'!$C$4:$Y$49, 46,FALSE)</f>
        <v>0</v>
      </c>
      <c r="F36" s="110">
        <f t="shared" si="0"/>
        <v>0</v>
      </c>
      <c r="G36" t="str">
        <f t="shared" si="1"/>
        <v/>
      </c>
    </row>
    <row r="37" spans="2:9" x14ac:dyDescent="0.2">
      <c r="B37" s="96" t="str">
        <f>IF(ISBLANK('4. Billing Determinants'!B38), "", '4. Billing Determinants'!B38)</f>
        <v/>
      </c>
      <c r="C37" s="130" t="str">
        <f>IF(ISBLANK('4. Billing Determinants'!C38), "", '4. Billing Determinants'!C38)</f>
        <v/>
      </c>
      <c r="D37" s="99">
        <f>IF(C37="", 0, IF(C37="kWh", '4. Billing Determinants'!E38, IF(C37="kW", '4. Billing Determinants'!F38, '4. Billing Determinants'!D38)))</f>
        <v>0</v>
      </c>
      <c r="E37" s="100">
        <f>HLOOKUP($B37, '5. Allocation of Balances'!$C$4:$Y$49, 46,FALSE)</f>
        <v>0</v>
      </c>
      <c r="F37" s="110">
        <f t="shared" si="0"/>
        <v>0</v>
      </c>
      <c r="G37" t="str">
        <f t="shared" si="1"/>
        <v/>
      </c>
    </row>
    <row r="38" spans="2:9" x14ac:dyDescent="0.2">
      <c r="B38" s="96" t="str">
        <f>IF(ISBLANK('4. Billing Determinants'!B39), "", '4. Billing Determinants'!B39)</f>
        <v/>
      </c>
      <c r="C38" s="130" t="str">
        <f>IF(ISBLANK('4. Billing Determinants'!C39), "", '4. Billing Determinants'!C39)</f>
        <v/>
      </c>
      <c r="D38" s="99">
        <f>IF(C38="", 0, IF(C38="kWh", '4. Billing Determinants'!E39, IF(C38="kW", '4. Billing Determinants'!F39, '4. Billing Determinants'!D39)))</f>
        <v>0</v>
      </c>
      <c r="E38" s="100">
        <f>HLOOKUP($B38, '5. Allocation of Balances'!$C$4:$Y$49, 46,FALSE)</f>
        <v>0</v>
      </c>
      <c r="F38" s="110">
        <f t="shared" si="0"/>
        <v>0</v>
      </c>
      <c r="G38" t="str">
        <f t="shared" si="1"/>
        <v/>
      </c>
      <c r="I38" s="116"/>
    </row>
    <row r="39" spans="2:9" x14ac:dyDescent="0.2">
      <c r="B39" s="96" t="str">
        <f>IF(ISBLANK('4. Billing Determinants'!B40), "", '4. Billing Determinants'!B40)</f>
        <v/>
      </c>
      <c r="C39" s="130" t="str">
        <f>IF(ISBLANK('4. Billing Determinants'!C40), "", '4. Billing Determinants'!C40)</f>
        <v/>
      </c>
      <c r="D39" s="99">
        <f>IF(C39="", 0, IF(C39="kWh", '4. Billing Determinants'!E40, IF(C39="kW", '4. Billing Determinants'!F40, '4. Billing Determinants'!D40)))</f>
        <v>0</v>
      </c>
      <c r="E39" s="100">
        <f>HLOOKUP($B39, '5. Allocation of Balances'!$C$4:$Y$49, 46,FALSE)</f>
        <v>0</v>
      </c>
      <c r="F39" s="110">
        <f t="shared" si="0"/>
        <v>0</v>
      </c>
      <c r="G39" t="str">
        <f t="shared" si="1"/>
        <v/>
      </c>
    </row>
    <row r="40" spans="2:9" x14ac:dyDescent="0.2">
      <c r="B40" s="106" t="s">
        <v>103</v>
      </c>
      <c r="C40" s="107"/>
      <c r="D40" s="108"/>
      <c r="E40" s="109">
        <f>SUM(E20:E39)</f>
        <v>-1083704.6494639998</v>
      </c>
      <c r="F40" s="106"/>
    </row>
    <row r="43" spans="2:9" ht="18" x14ac:dyDescent="0.25">
      <c r="B43" s="115" t="s">
        <v>232</v>
      </c>
    </row>
    <row r="45" spans="2:9" x14ac:dyDescent="0.2">
      <c r="B45" s="268" t="s">
        <v>116</v>
      </c>
      <c r="C45" s="267" t="s">
        <v>102</v>
      </c>
      <c r="D45" s="274" t="s">
        <v>235</v>
      </c>
      <c r="E45" s="274" t="s">
        <v>233</v>
      </c>
      <c r="F45" s="276" t="s">
        <v>234</v>
      </c>
    </row>
    <row r="46" spans="2:9" ht="54.75" customHeight="1" x14ac:dyDescent="0.2">
      <c r="B46" s="269"/>
      <c r="C46" s="267"/>
      <c r="D46" s="275"/>
      <c r="E46" s="275"/>
      <c r="F46" s="276"/>
    </row>
    <row r="47" spans="2:9" x14ac:dyDescent="0.2">
      <c r="B47" s="96" t="str">
        <f t="shared" ref="B47:B66" si="2">B20</f>
        <v>Residential</v>
      </c>
      <c r="C47" s="130" t="s">
        <v>276</v>
      </c>
      <c r="D47" s="99">
        <f>IF(C47="", 0, IF(C47="kWh", '4. Billing Determinants'!G21, IF(C47="kW", '4. Billing Determinants'!H21, '4. Billing Determinants'!D21)))</f>
        <v>32043237.623106342</v>
      </c>
      <c r="E47" s="100">
        <f>HLOOKUP($B20, '5. Allocation of Balances'!$C$4:$Y$50, 47,FALSE)</f>
        <v>74796.991134517419</v>
      </c>
      <c r="F47" s="110">
        <f>IF(ISERROR(E47/D47), 0, IF(C47="# of Customers", E47/D47/12/$D$13, E47/D47/$D$13))</f>
        <v>2.3342519883378264E-3</v>
      </c>
      <c r="G47" t="str">
        <f>IF(C47="", "", IF(C47="# of Customers", "per customer per month", "$/"&amp;C47))</f>
        <v>$/kWh</v>
      </c>
    </row>
    <row r="48" spans="2:9" x14ac:dyDescent="0.2">
      <c r="B48" s="96" t="str">
        <f t="shared" si="2"/>
        <v>General Service &lt; 50 kW</v>
      </c>
      <c r="C48" s="130" t="s">
        <v>276</v>
      </c>
      <c r="D48" s="99">
        <f>IF(C48="", 0, IF(C48="kWh", '4. Billing Determinants'!G22, IF(C48="kW", '4. Billing Determinants'!H22, '4. Billing Determinants'!D22)))</f>
        <v>17517445.729166672</v>
      </c>
      <c r="E48" s="100">
        <f>HLOOKUP($B21, '5. Allocation of Balances'!$C$4:$Y$50, 47,FALSE)</f>
        <v>40890.132523907261</v>
      </c>
      <c r="F48" s="110">
        <f t="shared" ref="F48:F66" si="3">IF(ISERROR(E48/D48), 0, IF(C48="# of Customers", E48/D48/12/$D$13, E48/D48/$D$13))</f>
        <v>2.3342519883378259E-3</v>
      </c>
      <c r="G48" t="str">
        <f t="shared" ref="G48:G66" si="4">IF(C48="", "", IF(C48="# of Customers", "per customer per month", "$/"&amp;C48))</f>
        <v>$/kWh</v>
      </c>
    </row>
    <row r="49" spans="2:7" x14ac:dyDescent="0.2">
      <c r="B49" s="96" t="str">
        <f t="shared" si="2"/>
        <v>General Service &gt; 50</v>
      </c>
      <c r="C49" s="130" t="s">
        <v>295</v>
      </c>
      <c r="D49" s="99">
        <f>IF(C49="", 0, IF(C49="kWh", '4. Billing Determinants'!G23, IF(C49="kW", '4. Billing Determinants'!H23, '4. Billing Determinants'!D23)))</f>
        <v>1629918.0138431899</v>
      </c>
      <c r="E49" s="100">
        <f>HLOOKUP($B22, '5. Allocation of Balances'!$C$4:$Y$50, 47,FALSE)</f>
        <v>1449692.9994950823</v>
      </c>
      <c r="F49" s="110">
        <f t="shared" si="3"/>
        <v>0.88942694490310326</v>
      </c>
      <c r="G49" t="str">
        <f t="shared" si="4"/>
        <v>$/kW</v>
      </c>
    </row>
    <row r="50" spans="2:7" x14ac:dyDescent="0.2">
      <c r="B50" s="96" t="str">
        <f t="shared" si="2"/>
        <v>Unmetered Scattered Load</v>
      </c>
      <c r="C50" s="130" t="s">
        <v>276</v>
      </c>
      <c r="D50" s="99">
        <f>IF(C50="", 0, IF(C50="kWh", '4. Billing Determinants'!G24, IF(C50="kW", '4. Billing Determinants'!H24, '4. Billing Determinants'!D24)))</f>
        <v>0</v>
      </c>
      <c r="E50" s="100">
        <f>HLOOKUP($B23, '5. Allocation of Balances'!$C$4:$Y$50, 47,FALSE)</f>
        <v>0</v>
      </c>
      <c r="F50" s="110">
        <f t="shared" si="3"/>
        <v>0</v>
      </c>
      <c r="G50" t="str">
        <f t="shared" si="4"/>
        <v>$/kWh</v>
      </c>
    </row>
    <row r="51" spans="2:7" x14ac:dyDescent="0.2">
      <c r="B51" s="96" t="str">
        <f t="shared" si="2"/>
        <v>Sentinel Lighting</v>
      </c>
      <c r="C51" s="130" t="s">
        <v>295</v>
      </c>
      <c r="D51" s="99">
        <f>IF(C51="", 0, IF(C51="kWh", '4. Billing Determinants'!G25, IF(C51="kW", '4. Billing Determinants'!H25, '4. Billing Determinants'!D25)))</f>
        <v>136.65302642557157</v>
      </c>
      <c r="E51" s="100">
        <f>HLOOKUP($B24, '5. Allocation of Balances'!$C$4:$Y$50, 47,FALSE)</f>
        <v>118.29690292641583</v>
      </c>
      <c r="F51" s="110">
        <f t="shared" si="3"/>
        <v>0.86567349454822751</v>
      </c>
      <c r="G51" t="str">
        <f t="shared" si="4"/>
        <v>$/kW</v>
      </c>
    </row>
    <row r="52" spans="2:7" x14ac:dyDescent="0.2">
      <c r="B52" s="96" t="str">
        <f t="shared" si="2"/>
        <v>Street Lighting</v>
      </c>
      <c r="C52" s="130" t="s">
        <v>295</v>
      </c>
      <c r="D52" s="99">
        <f>IF(C52="", 0, IF(C52="kWh", '4. Billing Determinants'!G26, IF(C52="kW", '4. Billing Determinants'!H26, '4. Billing Determinants'!D26)))</f>
        <v>20587.632774950507</v>
      </c>
      <c r="E52" s="100">
        <f>HLOOKUP($B25, '5. Allocation of Balances'!$C$4:$Y$50, 47,FALSE)</f>
        <v>16962.530607565808</v>
      </c>
      <c r="F52" s="110">
        <f t="shared" si="3"/>
        <v>0.82391845594820146</v>
      </c>
      <c r="G52" t="str">
        <f t="shared" si="4"/>
        <v>$/kW</v>
      </c>
    </row>
    <row r="53" spans="2:7" x14ac:dyDescent="0.2">
      <c r="B53" s="96" t="str">
        <f t="shared" si="2"/>
        <v/>
      </c>
      <c r="C53" s="130"/>
      <c r="D53" s="99">
        <f>IF(C53="", 0, IF(C53="kWh", '4. Billing Determinants'!G27, IF(C53="kW", '4. Billing Determinants'!H27, '4. Billing Determinants'!D27)))</f>
        <v>0</v>
      </c>
      <c r="E53" s="100">
        <f>HLOOKUP($B26, '5. Allocation of Balances'!$C$4:$Y$50, 47,FALSE)</f>
        <v>0</v>
      </c>
      <c r="F53" s="110">
        <f t="shared" si="3"/>
        <v>0</v>
      </c>
      <c r="G53" t="str">
        <f t="shared" si="4"/>
        <v/>
      </c>
    </row>
    <row r="54" spans="2:7" x14ac:dyDescent="0.2">
      <c r="B54" s="96" t="str">
        <f t="shared" si="2"/>
        <v/>
      </c>
      <c r="C54" s="130" t="str">
        <f>IF(ISBLANK('4. Billing Determinants'!C52), "", '4. Billing Determinants'!C52)</f>
        <v/>
      </c>
      <c r="D54" s="99">
        <f>IF(C54="", 0, IF(C54="kWh", '4. Billing Determinants'!G28, IF(C54="kW", '4. Billing Determinants'!H28, '4. Billing Determinants'!D28)))</f>
        <v>0</v>
      </c>
      <c r="E54" s="100">
        <f>HLOOKUP($B27, '5. Allocation of Balances'!$C$4:$Y$50, 47,FALSE)</f>
        <v>0</v>
      </c>
      <c r="F54" s="110">
        <f t="shared" si="3"/>
        <v>0</v>
      </c>
      <c r="G54" t="str">
        <f t="shared" si="4"/>
        <v/>
      </c>
    </row>
    <row r="55" spans="2:7" x14ac:dyDescent="0.2">
      <c r="B55" s="96" t="str">
        <f t="shared" si="2"/>
        <v/>
      </c>
      <c r="C55" s="130" t="str">
        <f>IF(ISBLANK('4. Billing Determinants'!C53), "", '4. Billing Determinants'!C53)</f>
        <v/>
      </c>
      <c r="D55" s="99">
        <f>IF(C55="", 0, IF(C55="kWh", '4. Billing Determinants'!G29, IF(C55="kW", '4. Billing Determinants'!H29, '4. Billing Determinants'!D29)))</f>
        <v>0</v>
      </c>
      <c r="E55" s="100">
        <f>HLOOKUP($B28, '5. Allocation of Balances'!$C$4:$Y$50, 47,FALSE)</f>
        <v>0</v>
      </c>
      <c r="F55" s="110">
        <f t="shared" si="3"/>
        <v>0</v>
      </c>
      <c r="G55" t="str">
        <f t="shared" si="4"/>
        <v/>
      </c>
    </row>
    <row r="56" spans="2:7" x14ac:dyDescent="0.2">
      <c r="B56" s="96" t="str">
        <f t="shared" si="2"/>
        <v/>
      </c>
      <c r="C56" s="130"/>
      <c r="D56" s="99">
        <f>IF(C56="", 0, IF(C56="kWh", '4. Billing Determinants'!G30, IF(C56="kW", '4. Billing Determinants'!H30, '4. Billing Determinants'!D30)))</f>
        <v>0</v>
      </c>
      <c r="E56" s="100">
        <f>HLOOKUP($B29, '5. Allocation of Balances'!$C$4:$Y$50, 47,FALSE)</f>
        <v>0</v>
      </c>
      <c r="F56" s="110">
        <f t="shared" si="3"/>
        <v>0</v>
      </c>
      <c r="G56" t="str">
        <f t="shared" si="4"/>
        <v/>
      </c>
    </row>
    <row r="57" spans="2:7" x14ac:dyDescent="0.2">
      <c r="B57" s="96" t="str">
        <f t="shared" si="2"/>
        <v/>
      </c>
      <c r="C57" s="130" t="str">
        <f>IF(ISBLANK('4. Billing Determinants'!C55), "", '4. Billing Determinants'!C55)</f>
        <v/>
      </c>
      <c r="D57" s="99">
        <f>IF(C57="", 0, IF(C57="kWh", '4. Billing Determinants'!G31, IF(C57="kW", '4. Billing Determinants'!H31, '4. Billing Determinants'!D31)))</f>
        <v>0</v>
      </c>
      <c r="E57" s="100">
        <f>HLOOKUP($B30, '5. Allocation of Balances'!$C$4:$Y$50, 47,FALSE)</f>
        <v>0</v>
      </c>
      <c r="F57" s="110">
        <f t="shared" si="3"/>
        <v>0</v>
      </c>
      <c r="G57" t="str">
        <f t="shared" si="4"/>
        <v/>
      </c>
    </row>
    <row r="58" spans="2:7" x14ac:dyDescent="0.2">
      <c r="B58" s="96" t="str">
        <f t="shared" si="2"/>
        <v/>
      </c>
      <c r="C58" s="130"/>
      <c r="D58" s="99">
        <f>IF(C58="", 0, IF(C58="kWh", '4. Billing Determinants'!G32, IF(C58="kW", '4. Billing Determinants'!H32, '4. Billing Determinants'!D32)))</f>
        <v>0</v>
      </c>
      <c r="E58" s="100">
        <f>HLOOKUP($B31, '5. Allocation of Balances'!$C$4:$Y$50, 47,FALSE)</f>
        <v>0</v>
      </c>
      <c r="F58" s="110">
        <f t="shared" si="3"/>
        <v>0</v>
      </c>
      <c r="G58" t="str">
        <f t="shared" si="4"/>
        <v/>
      </c>
    </row>
    <row r="59" spans="2:7" x14ac:dyDescent="0.2">
      <c r="B59" s="96" t="str">
        <f t="shared" si="2"/>
        <v/>
      </c>
      <c r="C59" s="130" t="str">
        <f>IF(ISBLANK('4. Billing Determinants'!C57), "", '4. Billing Determinants'!C57)</f>
        <v/>
      </c>
      <c r="D59" s="99">
        <f>IF(C59="", 0, IF(C59="kWh", '4. Billing Determinants'!G33, IF(C59="kW", '4. Billing Determinants'!H33, '4. Billing Determinants'!D33)))</f>
        <v>0</v>
      </c>
      <c r="E59" s="100">
        <f>HLOOKUP($B32, '5. Allocation of Balances'!$C$4:$Y$50, 47,FALSE)</f>
        <v>0</v>
      </c>
      <c r="F59" s="110">
        <f t="shared" si="3"/>
        <v>0</v>
      </c>
      <c r="G59" t="str">
        <f t="shared" si="4"/>
        <v/>
      </c>
    </row>
    <row r="60" spans="2:7" x14ac:dyDescent="0.2">
      <c r="B60" s="96" t="str">
        <f t="shared" si="2"/>
        <v/>
      </c>
      <c r="C60" s="130" t="str">
        <f>IF(ISBLANK('4. Billing Determinants'!C58), "", '4. Billing Determinants'!C58)</f>
        <v/>
      </c>
      <c r="D60" s="99">
        <f>IF(C60="", 0, IF(C60="kWh", '4. Billing Determinants'!G34, IF(C60="kW", '4. Billing Determinants'!H34, '4. Billing Determinants'!D34)))</f>
        <v>0</v>
      </c>
      <c r="E60" s="100">
        <f>HLOOKUP($B33, '5. Allocation of Balances'!$C$4:$Y$50, 47,FALSE)</f>
        <v>0</v>
      </c>
      <c r="F60" s="110">
        <f t="shared" si="3"/>
        <v>0</v>
      </c>
      <c r="G60" t="str">
        <f t="shared" si="4"/>
        <v/>
      </c>
    </row>
    <row r="61" spans="2:7" x14ac:dyDescent="0.2">
      <c r="B61" s="96" t="str">
        <f t="shared" si="2"/>
        <v/>
      </c>
      <c r="C61" s="130" t="str">
        <f>IF(ISBLANK('4. Billing Determinants'!C59), "", '4. Billing Determinants'!C59)</f>
        <v/>
      </c>
      <c r="D61" s="99">
        <f>IF(C61="", 0, IF(C61="kWh", '4. Billing Determinants'!G35, IF(C61="kW", '4. Billing Determinants'!H35, '4. Billing Determinants'!D35)))</f>
        <v>0</v>
      </c>
      <c r="E61" s="100">
        <f>HLOOKUP($B34, '5. Allocation of Balances'!$C$4:$Y$50, 47,FALSE)</f>
        <v>0</v>
      </c>
      <c r="F61" s="110">
        <f t="shared" si="3"/>
        <v>0</v>
      </c>
      <c r="G61" t="str">
        <f t="shared" si="4"/>
        <v/>
      </c>
    </row>
    <row r="62" spans="2:7" x14ac:dyDescent="0.2">
      <c r="B62" s="96" t="str">
        <f t="shared" si="2"/>
        <v/>
      </c>
      <c r="C62" s="130"/>
      <c r="D62" s="99">
        <f>IF(C62="", 0, IF(C62="kWh", '4. Billing Determinants'!G36, IF(C62="kW", '4. Billing Determinants'!H36, '4. Billing Determinants'!D36)))</f>
        <v>0</v>
      </c>
      <c r="E62" s="100">
        <f>HLOOKUP($B35, '5. Allocation of Balances'!$C$4:$Y$50, 47,FALSE)</f>
        <v>0</v>
      </c>
      <c r="F62" s="110">
        <f t="shared" si="3"/>
        <v>0</v>
      </c>
      <c r="G62" t="str">
        <f t="shared" si="4"/>
        <v/>
      </c>
    </row>
    <row r="63" spans="2:7" x14ac:dyDescent="0.2">
      <c r="B63" s="96" t="str">
        <f t="shared" si="2"/>
        <v/>
      </c>
      <c r="C63" s="130" t="str">
        <f>IF(ISBLANK('4. Billing Determinants'!C61), "", '4. Billing Determinants'!C61)</f>
        <v/>
      </c>
      <c r="D63" s="99">
        <f>IF(C63="", 0, IF(C63="kWh", '4. Billing Determinants'!G37, IF(C63="kW", '4. Billing Determinants'!H37, '4. Billing Determinants'!D37)))</f>
        <v>0</v>
      </c>
      <c r="E63" s="100">
        <f>HLOOKUP($B36, '5. Allocation of Balances'!$C$4:$Y$50, 47,FALSE)</f>
        <v>0</v>
      </c>
      <c r="F63" s="110">
        <f t="shared" si="3"/>
        <v>0</v>
      </c>
      <c r="G63" t="str">
        <f t="shared" si="4"/>
        <v/>
      </c>
    </row>
    <row r="64" spans="2:7" x14ac:dyDescent="0.2">
      <c r="B64" s="96" t="str">
        <f t="shared" si="2"/>
        <v/>
      </c>
      <c r="C64" s="130" t="str">
        <f>IF(ISBLANK('4. Billing Determinants'!C62), "", '4. Billing Determinants'!C62)</f>
        <v/>
      </c>
      <c r="D64" s="99">
        <f>IF(C64="", 0, IF(C64="kWh", '4. Billing Determinants'!G38, IF(C64="kW", '4. Billing Determinants'!H38, '4. Billing Determinants'!D38)))</f>
        <v>0</v>
      </c>
      <c r="E64" s="100">
        <f>HLOOKUP($B37, '5. Allocation of Balances'!$C$4:$Y$50, 47,FALSE)</f>
        <v>0</v>
      </c>
      <c r="F64" s="110">
        <f t="shared" si="3"/>
        <v>0</v>
      </c>
      <c r="G64" t="str">
        <f t="shared" si="4"/>
        <v/>
      </c>
    </row>
    <row r="65" spans="2:7" x14ac:dyDescent="0.2">
      <c r="B65" s="96" t="str">
        <f t="shared" si="2"/>
        <v/>
      </c>
      <c r="C65" s="130" t="str">
        <f>IF(ISBLANK('4. Billing Determinants'!C63), "", '4. Billing Determinants'!C63)</f>
        <v/>
      </c>
      <c r="D65" s="99">
        <f>IF(C65="", 0, IF(C65="kWh", '4. Billing Determinants'!G39, IF(C65="kW", '4. Billing Determinants'!H39, '4. Billing Determinants'!D39)))</f>
        <v>0</v>
      </c>
      <c r="E65" s="100">
        <f>HLOOKUP($B38, '5. Allocation of Balances'!$C$4:$Y$50, 47,FALSE)</f>
        <v>0</v>
      </c>
      <c r="F65" s="110">
        <f t="shared" si="3"/>
        <v>0</v>
      </c>
      <c r="G65" t="str">
        <f t="shared" si="4"/>
        <v/>
      </c>
    </row>
    <row r="66" spans="2:7" x14ac:dyDescent="0.2">
      <c r="B66" s="96" t="str">
        <f t="shared" si="2"/>
        <v/>
      </c>
      <c r="C66" s="130" t="str">
        <f>IF(ISBLANK('4. Billing Determinants'!C64), "", '4. Billing Determinants'!C64)</f>
        <v/>
      </c>
      <c r="D66" s="99">
        <f>IF(C66="", 0, IF(C66="kWh", '4. Billing Determinants'!G40, IF(C66="kW", '4. Billing Determinants'!H40, '4. Billing Determinants'!D40)))</f>
        <v>0</v>
      </c>
      <c r="E66" s="100">
        <f>HLOOKUP($B39, '5. Allocation of Balances'!$C$4:$Y$50, 47,FALSE)</f>
        <v>0</v>
      </c>
      <c r="F66" s="110">
        <f t="shared" si="3"/>
        <v>0</v>
      </c>
      <c r="G66" t="str">
        <f t="shared" si="4"/>
        <v/>
      </c>
    </row>
    <row r="67" spans="2:7" x14ac:dyDescent="0.2">
      <c r="B67" s="106" t="s">
        <v>103</v>
      </c>
      <c r="C67" s="107"/>
      <c r="D67" s="108"/>
      <c r="E67" s="109">
        <f>SUM(E47:E66)</f>
        <v>1582460.9506639992</v>
      </c>
      <c r="F67" s="106"/>
    </row>
    <row r="69" spans="2:7" ht="18" x14ac:dyDescent="0.25">
      <c r="B69" s="115" t="s">
        <v>152</v>
      </c>
    </row>
    <row r="70" spans="2:7" ht="18" x14ac:dyDescent="0.25">
      <c r="B70" s="115"/>
    </row>
    <row r="71" spans="2:7" x14ac:dyDescent="0.2">
      <c r="B71" s="111" t="s">
        <v>123</v>
      </c>
      <c r="C71" s="112"/>
      <c r="D71" s="113">
        <v>2</v>
      </c>
    </row>
    <row r="73" spans="2:7" x14ac:dyDescent="0.2">
      <c r="B73" s="268" t="s">
        <v>116</v>
      </c>
      <c r="C73" s="267" t="s">
        <v>102</v>
      </c>
      <c r="D73" s="274" t="s">
        <v>124</v>
      </c>
      <c r="E73" s="274" t="s">
        <v>153</v>
      </c>
      <c r="F73" s="276" t="s">
        <v>154</v>
      </c>
    </row>
    <row r="74" spans="2:7" ht="25.5" customHeight="1" x14ac:dyDescent="0.2">
      <c r="B74" s="269"/>
      <c r="C74" s="267"/>
      <c r="D74" s="275"/>
      <c r="E74" s="275"/>
      <c r="F74" s="276"/>
    </row>
    <row r="75" spans="2:7" x14ac:dyDescent="0.2">
      <c r="B75" s="96" t="str">
        <f>B20</f>
        <v>Residential</v>
      </c>
      <c r="C75" s="130" t="s">
        <v>276</v>
      </c>
      <c r="D75" s="99">
        <f>IF(C75="", 0, IF(C75="kWh", '4. Billing Determinants'!E21, IF(C75="kW", '4. Billing Determinants'!F21, '4. Billing Determinants'!D21)))</f>
        <v>412298278</v>
      </c>
      <c r="E75" s="100">
        <f>HLOOKUP($B75, '5. Allocation of Balances'!$C$4:$Y$55, 52,FALSE)</f>
        <v>-2463502.2346515297</v>
      </c>
      <c r="F75" s="110">
        <f>IF(ISERROR(E75/D75), 0, IF(C75="# of Customers", E75/D75/12/$D$71, E75/D75/$D$71))</f>
        <v>-2.9875242829070581E-3</v>
      </c>
      <c r="G75" t="str">
        <f t="shared" ref="G75:G94" si="5">IF(C75="", "", IF(C75="# of Customers", "per customer per month", "$/"&amp;C75))</f>
        <v>$/kWh</v>
      </c>
    </row>
    <row r="76" spans="2:7" x14ac:dyDescent="0.2">
      <c r="B76" s="96" t="str">
        <f t="shared" ref="B76:B94" si="6">B21</f>
        <v>General Service &lt; 50 kW</v>
      </c>
      <c r="C76" s="130" t="s">
        <v>276</v>
      </c>
      <c r="D76" s="99">
        <f>IF(C76="", 0, IF(C76="kWh", '4. Billing Determinants'!E22, IF(C76="kW", '4. Billing Determinants'!F22, '4. Billing Determinants'!D22)))</f>
        <v>124179905</v>
      </c>
      <c r="E76" s="100">
        <f>HLOOKUP($B76, '5. Allocation of Balances'!$C$4:$Y$55, 52,FALSE)</f>
        <v>-741980.96327318321</v>
      </c>
      <c r="F76" s="110">
        <f t="shared" ref="F76:F94" si="7">IF(ISERROR(E76/D76), 0, IF(C76="# of Customers", E76/D76/12/$D$71, E76/D76/$D$71))</f>
        <v>-2.9875242829070581E-3</v>
      </c>
      <c r="G76" t="str">
        <f t="shared" si="5"/>
        <v>$/kWh</v>
      </c>
    </row>
    <row r="77" spans="2:7" x14ac:dyDescent="0.2">
      <c r="B77" s="96" t="str">
        <f t="shared" si="6"/>
        <v>General Service &gt; 50</v>
      </c>
      <c r="C77" s="130" t="s">
        <v>295</v>
      </c>
      <c r="D77" s="99">
        <f>IF(C77="", 0, IF(C77="kWh", '4. Billing Determinants'!E23, IF(C77="kW", '4. Billing Determinants'!F23, '4. Billing Determinants'!D23)))</f>
        <v>1721553.9692533722</v>
      </c>
      <c r="E77" s="100">
        <f>HLOOKUP($B77, '5. Allocation of Balances'!$C$4:$Y$55, 52,FALSE)</f>
        <v>-3919445.4675340499</v>
      </c>
      <c r="F77" s="110">
        <f t="shared" si="7"/>
        <v>-1.1383452211009948</v>
      </c>
      <c r="G77" t="str">
        <f t="shared" si="5"/>
        <v>$/kW</v>
      </c>
    </row>
    <row r="78" spans="2:7" x14ac:dyDescent="0.2">
      <c r="B78" s="96" t="str">
        <f t="shared" si="6"/>
        <v>Unmetered Scattered Load</v>
      </c>
      <c r="C78" s="130" t="s">
        <v>276</v>
      </c>
      <c r="D78" s="99">
        <f>IF(C78="", 0, IF(C78="kWh", '4. Billing Determinants'!E24, IF(C78="kW", '4. Billing Determinants'!F24, '4. Billing Determinants'!D24)))</f>
        <v>2247877</v>
      </c>
      <c r="E78" s="100">
        <f>HLOOKUP($B78, '5. Allocation of Balances'!$C$4:$Y$55, 52,FALSE)</f>
        <v>-13431.174244976539</v>
      </c>
      <c r="F78" s="110">
        <f t="shared" si="7"/>
        <v>-2.9875242829070581E-3</v>
      </c>
      <c r="G78" t="str">
        <f t="shared" si="5"/>
        <v>$/kWh</v>
      </c>
    </row>
    <row r="79" spans="2:7" x14ac:dyDescent="0.2">
      <c r="B79" s="96" t="str">
        <f t="shared" si="6"/>
        <v>Sentinel Lighting</v>
      </c>
      <c r="C79" s="130" t="s">
        <v>295</v>
      </c>
      <c r="D79" s="99">
        <f>IF(C79="", 0, IF(C79="kWh", '4. Billing Determinants'!E25, IF(C79="kW", '4. Billing Determinants'!F25, '4. Billing Determinants'!D25)))</f>
        <v>716.23040649278312</v>
      </c>
      <c r="E79" s="100">
        <f>HLOOKUP($B79, '5. Allocation of Balances'!$C$4:$Y$55, 52,FALSE)</f>
        <v>-1587.0864250029799</v>
      </c>
      <c r="F79" s="110">
        <f t="shared" si="7"/>
        <v>-1.1079440432964722</v>
      </c>
      <c r="G79" t="str">
        <f t="shared" si="5"/>
        <v>$/kW</v>
      </c>
    </row>
    <row r="80" spans="2:7" x14ac:dyDescent="0.2">
      <c r="B80" s="96" t="str">
        <f t="shared" si="6"/>
        <v>Street Lighting</v>
      </c>
      <c r="C80" s="130" t="s">
        <v>295</v>
      </c>
      <c r="D80" s="99">
        <f>IF(C80="", 0, IF(C80="kWh", '4. Billing Determinants'!E26, IF(C80="kW", '4. Billing Determinants'!F26, '4. Billing Determinants'!D26)))</f>
        <v>20808.575811577328</v>
      </c>
      <c r="E80" s="100">
        <f>HLOOKUP($B80, '5. Allocation of Balances'!$C$4:$Y$55, 52,FALSE)</f>
        <v>-43885.423180268772</v>
      </c>
      <c r="F80" s="110">
        <f t="shared" si="7"/>
        <v>-1.0545032869537403</v>
      </c>
      <c r="G80" t="str">
        <f t="shared" si="5"/>
        <v>$/kW</v>
      </c>
    </row>
    <row r="81" spans="2:7" x14ac:dyDescent="0.2">
      <c r="B81" s="96" t="str">
        <f t="shared" si="6"/>
        <v/>
      </c>
      <c r="C81" s="130"/>
      <c r="D81" s="99">
        <f>IF(C81="", 0, IF(C81="kWh", '4. Billing Determinants'!E27, IF(C81="kW", '4. Billing Determinants'!F27, '4. Billing Determinants'!D27)))</f>
        <v>0</v>
      </c>
      <c r="E81" s="100">
        <f>HLOOKUP($B81, '5. Allocation of Balances'!$C$4:$Y$55, 52,FALSE)</f>
        <v>0</v>
      </c>
      <c r="F81" s="110">
        <f t="shared" si="7"/>
        <v>0</v>
      </c>
      <c r="G81" t="str">
        <f t="shared" si="5"/>
        <v/>
      </c>
    </row>
    <row r="82" spans="2:7" x14ac:dyDescent="0.2">
      <c r="B82" s="96" t="str">
        <f t="shared" si="6"/>
        <v/>
      </c>
      <c r="C82" s="130"/>
      <c r="D82" s="99">
        <f>IF(C82="", 0, IF(C82="kWh", '4. Billing Determinants'!E28, IF(C82="kW", '4. Billing Determinants'!F28, '4. Billing Determinants'!D28)))</f>
        <v>0</v>
      </c>
      <c r="E82" s="100">
        <f>HLOOKUP($B82, '5. Allocation of Balances'!$C$4:$Y$55, 52,FALSE)</f>
        <v>0</v>
      </c>
      <c r="F82" s="110">
        <f t="shared" si="7"/>
        <v>0</v>
      </c>
      <c r="G82" t="str">
        <f t="shared" si="5"/>
        <v/>
      </c>
    </row>
    <row r="83" spans="2:7" x14ac:dyDescent="0.2">
      <c r="B83" s="96" t="str">
        <f t="shared" si="6"/>
        <v/>
      </c>
      <c r="C83" s="130"/>
      <c r="D83" s="99">
        <f>IF(C83="", 0, IF(C83="kWh", '4. Billing Determinants'!E29, IF(C83="kW", '4. Billing Determinants'!F29, '4. Billing Determinants'!D29)))</f>
        <v>0</v>
      </c>
      <c r="E83" s="100">
        <f>HLOOKUP($B83, '5. Allocation of Balances'!$C$4:$Y$55, 52,FALSE)</f>
        <v>0</v>
      </c>
      <c r="F83" s="110">
        <f t="shared" si="7"/>
        <v>0</v>
      </c>
      <c r="G83" t="str">
        <f t="shared" si="5"/>
        <v/>
      </c>
    </row>
    <row r="84" spans="2:7" x14ac:dyDescent="0.2">
      <c r="B84" s="96" t="str">
        <f t="shared" si="6"/>
        <v/>
      </c>
      <c r="C84" s="130"/>
      <c r="D84" s="99">
        <f>IF(C84="", 0, IF(C84="kWh", '4. Billing Determinants'!E30, IF(C84="kW", '4. Billing Determinants'!F30, '4. Billing Determinants'!D30)))</f>
        <v>0</v>
      </c>
      <c r="E84" s="100">
        <f>HLOOKUP($B84, '5. Allocation of Balances'!$C$4:$Y$55, 52,FALSE)</f>
        <v>0</v>
      </c>
      <c r="F84" s="110">
        <f t="shared" si="7"/>
        <v>0</v>
      </c>
      <c r="G84" t="str">
        <f t="shared" si="5"/>
        <v/>
      </c>
    </row>
    <row r="85" spans="2:7" x14ac:dyDescent="0.2">
      <c r="B85" s="96" t="str">
        <f t="shared" si="6"/>
        <v/>
      </c>
      <c r="C85" s="130"/>
      <c r="D85" s="99">
        <f>IF(C85="", 0, IF(C85="kWh", '4. Billing Determinants'!E31, IF(C85="kW", '4. Billing Determinants'!F31, '4. Billing Determinants'!D31)))</f>
        <v>0</v>
      </c>
      <c r="E85" s="100">
        <f>HLOOKUP($B85, '5. Allocation of Balances'!$C$4:$Y$55, 52,FALSE)</f>
        <v>0</v>
      </c>
      <c r="F85" s="110">
        <f t="shared" si="7"/>
        <v>0</v>
      </c>
      <c r="G85" t="str">
        <f t="shared" si="5"/>
        <v/>
      </c>
    </row>
    <row r="86" spans="2:7" x14ac:dyDescent="0.2">
      <c r="B86" s="96" t="str">
        <f t="shared" si="6"/>
        <v/>
      </c>
      <c r="C86" s="130"/>
      <c r="D86" s="99">
        <f>IF(C86="", 0, IF(C86="kWh", '4. Billing Determinants'!E32, IF(C86="kW", '4. Billing Determinants'!F32, '4. Billing Determinants'!D32)))</f>
        <v>0</v>
      </c>
      <c r="E86" s="100">
        <f>HLOOKUP($B86, '5. Allocation of Balances'!$C$4:$Y$55, 52,FALSE)</f>
        <v>0</v>
      </c>
      <c r="F86" s="110">
        <f t="shared" si="7"/>
        <v>0</v>
      </c>
      <c r="G86" t="str">
        <f t="shared" si="5"/>
        <v/>
      </c>
    </row>
    <row r="87" spans="2:7" x14ac:dyDescent="0.2">
      <c r="B87" s="96" t="str">
        <f t="shared" si="6"/>
        <v/>
      </c>
      <c r="C87" s="130"/>
      <c r="D87" s="99">
        <f>IF(C87="", 0, IF(C87="kWh", '4. Billing Determinants'!E33, IF(C87="kW", '4. Billing Determinants'!F33, '4. Billing Determinants'!D33)))</f>
        <v>0</v>
      </c>
      <c r="E87" s="100">
        <f>HLOOKUP($B87, '5. Allocation of Balances'!$C$4:$Y$55, 52,FALSE)</f>
        <v>0</v>
      </c>
      <c r="F87" s="110">
        <f t="shared" si="7"/>
        <v>0</v>
      </c>
      <c r="G87" t="str">
        <f t="shared" si="5"/>
        <v/>
      </c>
    </row>
    <row r="88" spans="2:7" x14ac:dyDescent="0.2">
      <c r="B88" s="96" t="str">
        <f t="shared" si="6"/>
        <v/>
      </c>
      <c r="C88" s="130"/>
      <c r="D88" s="99">
        <f>IF(C88="", 0, IF(C88="kWh", '4. Billing Determinants'!E34, IF(C88="kW", '4. Billing Determinants'!F34, '4. Billing Determinants'!D34)))</f>
        <v>0</v>
      </c>
      <c r="E88" s="100">
        <f>HLOOKUP($B88, '5. Allocation of Balances'!$C$4:$Y$55, 52,FALSE)</f>
        <v>0</v>
      </c>
      <c r="F88" s="110">
        <f t="shared" si="7"/>
        <v>0</v>
      </c>
      <c r="G88" t="str">
        <f t="shared" si="5"/>
        <v/>
      </c>
    </row>
    <row r="89" spans="2:7" x14ac:dyDescent="0.2">
      <c r="B89" s="96" t="str">
        <f t="shared" si="6"/>
        <v/>
      </c>
      <c r="C89" s="130"/>
      <c r="D89" s="99">
        <f>IF(C89="", 0, IF(C89="kWh", '4. Billing Determinants'!E35, IF(C89="kW", '4. Billing Determinants'!F35, '4. Billing Determinants'!D35)))</f>
        <v>0</v>
      </c>
      <c r="E89" s="100">
        <f>HLOOKUP($B89, '5. Allocation of Balances'!$C$4:$Y$55, 52,FALSE)</f>
        <v>0</v>
      </c>
      <c r="F89" s="110">
        <f t="shared" si="7"/>
        <v>0</v>
      </c>
      <c r="G89" t="str">
        <f t="shared" si="5"/>
        <v/>
      </c>
    </row>
    <row r="90" spans="2:7" x14ac:dyDescent="0.2">
      <c r="B90" s="96" t="str">
        <f t="shared" si="6"/>
        <v/>
      </c>
      <c r="C90" s="130"/>
      <c r="D90" s="99">
        <f>IF(C90="", 0, IF(C90="kWh", '4. Billing Determinants'!E36, IF(C90="kW", '4. Billing Determinants'!F36, '4. Billing Determinants'!D36)))</f>
        <v>0</v>
      </c>
      <c r="E90" s="100">
        <f>HLOOKUP($B90, '5. Allocation of Balances'!$C$4:$Y$55, 52,FALSE)</f>
        <v>0</v>
      </c>
      <c r="F90" s="110">
        <f t="shared" si="7"/>
        <v>0</v>
      </c>
      <c r="G90" t="str">
        <f t="shared" si="5"/>
        <v/>
      </c>
    </row>
    <row r="91" spans="2:7" x14ac:dyDescent="0.2">
      <c r="B91" s="96" t="str">
        <f t="shared" si="6"/>
        <v/>
      </c>
      <c r="C91" s="130"/>
      <c r="D91" s="99">
        <f>IF(C91="", 0, IF(C91="kWh", '4. Billing Determinants'!E37, IF(C91="kW", '4. Billing Determinants'!F37, '4. Billing Determinants'!D37)))</f>
        <v>0</v>
      </c>
      <c r="E91" s="100">
        <f>HLOOKUP($B91, '5. Allocation of Balances'!$C$4:$Y$55, 52,FALSE)</f>
        <v>0</v>
      </c>
      <c r="F91" s="110">
        <f t="shared" si="7"/>
        <v>0</v>
      </c>
      <c r="G91" t="str">
        <f t="shared" si="5"/>
        <v/>
      </c>
    </row>
    <row r="92" spans="2:7" x14ac:dyDescent="0.2">
      <c r="B92" s="96" t="str">
        <f t="shared" si="6"/>
        <v/>
      </c>
      <c r="C92" s="130"/>
      <c r="D92" s="99">
        <f>IF(C92="", 0, IF(C92="kWh", '4. Billing Determinants'!E38, IF(C92="kW", '4. Billing Determinants'!F38, '4. Billing Determinants'!D38)))</f>
        <v>0</v>
      </c>
      <c r="E92" s="100">
        <f>HLOOKUP($B92, '5. Allocation of Balances'!$C$4:$Y$55, 52,FALSE)</f>
        <v>0</v>
      </c>
      <c r="F92" s="110">
        <f t="shared" si="7"/>
        <v>0</v>
      </c>
      <c r="G92" t="str">
        <f t="shared" si="5"/>
        <v/>
      </c>
    </row>
    <row r="93" spans="2:7" x14ac:dyDescent="0.2">
      <c r="B93" s="96" t="str">
        <f t="shared" si="6"/>
        <v/>
      </c>
      <c r="C93" s="130"/>
      <c r="D93" s="99">
        <f>IF(C93="", 0, IF(C93="kWh", '4. Billing Determinants'!E39, IF(C93="kW", '4. Billing Determinants'!F39, '4. Billing Determinants'!D39)))</f>
        <v>0</v>
      </c>
      <c r="E93" s="100">
        <f>HLOOKUP($B93, '5. Allocation of Balances'!$C$4:$Y$55, 52,FALSE)</f>
        <v>0</v>
      </c>
      <c r="F93" s="110">
        <f t="shared" si="7"/>
        <v>0</v>
      </c>
      <c r="G93" t="str">
        <f t="shared" si="5"/>
        <v/>
      </c>
    </row>
    <row r="94" spans="2:7" x14ac:dyDescent="0.2">
      <c r="B94" s="96" t="str">
        <f t="shared" si="6"/>
        <v/>
      </c>
      <c r="C94" s="130"/>
      <c r="D94" s="99">
        <f>IF(C94="", 0, IF(C94="kWh", '4. Billing Determinants'!E40, IF(C94="kW", '4. Billing Determinants'!F40, '4. Billing Determinants'!D40)))</f>
        <v>0</v>
      </c>
      <c r="E94" s="100">
        <f>HLOOKUP($B94, '5. Allocation of Balances'!$C$4:$Y$55, 52,FALSE)</f>
        <v>0</v>
      </c>
      <c r="F94" s="110">
        <f t="shared" si="7"/>
        <v>0</v>
      </c>
      <c r="G94" t="str">
        <f t="shared" si="5"/>
        <v/>
      </c>
    </row>
    <row r="95" spans="2:7" x14ac:dyDescent="0.2">
      <c r="B95" s="106" t="s">
        <v>103</v>
      </c>
      <c r="C95" s="107"/>
      <c r="D95" s="108"/>
      <c r="E95" s="109">
        <f>SUM(E75:E94)</f>
        <v>-7183832.3493090114</v>
      </c>
      <c r="F95" s="106"/>
    </row>
    <row r="97" spans="2:6" ht="18" x14ac:dyDescent="0.25">
      <c r="B97" s="115" t="s">
        <v>277</v>
      </c>
    </row>
    <row r="98" spans="2:6" ht="18" x14ac:dyDescent="0.25">
      <c r="B98" s="115"/>
    </row>
    <row r="99" spans="2:6" x14ac:dyDescent="0.2">
      <c r="B99" s="111" t="s">
        <v>123</v>
      </c>
      <c r="C99" s="112"/>
      <c r="D99" s="113"/>
    </row>
    <row r="101" spans="2:6" x14ac:dyDescent="0.2">
      <c r="B101" s="268" t="s">
        <v>116</v>
      </c>
      <c r="C101" s="267" t="s">
        <v>102</v>
      </c>
      <c r="D101" s="274" t="s">
        <v>124</v>
      </c>
      <c r="E101" s="274" t="s">
        <v>278</v>
      </c>
      <c r="F101" s="276" t="s">
        <v>279</v>
      </c>
    </row>
    <row r="102" spans="2:6" x14ac:dyDescent="0.2">
      <c r="B102" s="269"/>
      <c r="C102" s="267"/>
      <c r="D102" s="275"/>
      <c r="E102" s="275"/>
      <c r="F102" s="276"/>
    </row>
    <row r="103" spans="2:6" x14ac:dyDescent="0.2">
      <c r="B103" s="96" t="str">
        <f>B20</f>
        <v>Residential</v>
      </c>
      <c r="C103" s="130"/>
      <c r="D103" s="99">
        <f>IF(C103="", 0, IF(C103="kWh", '4. Billing Determinants'!E49, IF(C103="kW", '4. Billing Determinants'!F49, '4. Billing Determinants'!D49)))</f>
        <v>0</v>
      </c>
      <c r="E103" s="100">
        <f>HLOOKUP($B103, '5. Allocation of Balances'!$C$4:$Y$55, 42,FALSE)</f>
        <v>0</v>
      </c>
      <c r="F103" s="110">
        <f>IF(ISERROR(E103/D103), 0, IF(C103="# of Customers", E103/D103/12/$D$71, E103/D103/$D$71))</f>
        <v>0</v>
      </c>
    </row>
    <row r="104" spans="2:6" x14ac:dyDescent="0.2">
      <c r="B104" s="96" t="str">
        <f t="shared" ref="B104:B122" si="8">B21</f>
        <v>General Service &lt; 50 kW</v>
      </c>
      <c r="C104" s="130"/>
      <c r="D104" s="99">
        <f>IF(C104="", 0, IF(C104="kWh", '4. Billing Determinants'!E50, IF(C104="kW", '4. Billing Determinants'!F50, '4. Billing Determinants'!D50)))</f>
        <v>0</v>
      </c>
      <c r="E104" s="100">
        <f>HLOOKUP($B104, '5. Allocation of Balances'!$C$4:$Y$55, 42,FALSE)</f>
        <v>0</v>
      </c>
      <c r="F104" s="110">
        <f t="shared" ref="F104:F122" si="9">IF(ISERROR(E104/D104), 0, IF(C104="# of Customers", E104/D104/12/$D$71, E104/D104/$D$71))</f>
        <v>0</v>
      </c>
    </row>
    <row r="105" spans="2:6" x14ac:dyDescent="0.2">
      <c r="B105" s="96" t="str">
        <f t="shared" si="8"/>
        <v>General Service &gt; 50</v>
      </c>
      <c r="C105" s="130"/>
      <c r="D105" s="99">
        <f>IF(C105="", 0, IF(C105="kWh", '4. Billing Determinants'!E51, IF(C105="kW", '4. Billing Determinants'!F51, '4. Billing Determinants'!D51)))</f>
        <v>0</v>
      </c>
      <c r="E105" s="100">
        <f>HLOOKUP($B105, '5. Allocation of Balances'!$C$4:$Y$55, 42,FALSE)</f>
        <v>0</v>
      </c>
      <c r="F105" s="110">
        <f t="shared" si="9"/>
        <v>0</v>
      </c>
    </row>
    <row r="106" spans="2:6" x14ac:dyDescent="0.2">
      <c r="B106" s="96" t="str">
        <f t="shared" si="8"/>
        <v>Unmetered Scattered Load</v>
      </c>
      <c r="C106" s="130"/>
      <c r="D106" s="99">
        <f>IF(C106="", 0, IF(C106="kWh", '4. Billing Determinants'!E52, IF(C106="kW", '4. Billing Determinants'!F52, '4. Billing Determinants'!D52)))</f>
        <v>0</v>
      </c>
      <c r="E106" s="100">
        <f>HLOOKUP($B106, '5. Allocation of Balances'!$C$4:$Y$55, 42,FALSE)</f>
        <v>0</v>
      </c>
      <c r="F106" s="110">
        <f t="shared" si="9"/>
        <v>0</v>
      </c>
    </row>
    <row r="107" spans="2:6" x14ac:dyDescent="0.2">
      <c r="B107" s="96" t="str">
        <f t="shared" si="8"/>
        <v>Sentinel Lighting</v>
      </c>
      <c r="C107" s="130"/>
      <c r="D107" s="99">
        <f>IF(C107="", 0, IF(C107="kWh", '4. Billing Determinants'!E53, IF(C107="kW", '4. Billing Determinants'!F53, '4. Billing Determinants'!D53)))</f>
        <v>0</v>
      </c>
      <c r="E107" s="100">
        <f>HLOOKUP($B107, '5. Allocation of Balances'!$C$4:$Y$55, 42,FALSE)</f>
        <v>0</v>
      </c>
      <c r="F107" s="110">
        <f t="shared" si="9"/>
        <v>0</v>
      </c>
    </row>
    <row r="108" spans="2:6" x14ac:dyDescent="0.2">
      <c r="B108" s="96" t="str">
        <f t="shared" si="8"/>
        <v>Street Lighting</v>
      </c>
      <c r="C108" s="130"/>
      <c r="D108" s="99">
        <f>IF(C108="", 0, IF(C108="kWh", '4. Billing Determinants'!E54, IF(C108="kW", '4. Billing Determinants'!F54, '4. Billing Determinants'!D54)))</f>
        <v>0</v>
      </c>
      <c r="E108" s="100">
        <f>HLOOKUP($B108, '5. Allocation of Balances'!$C$4:$Y$55, 42,FALSE)</f>
        <v>0</v>
      </c>
      <c r="F108" s="110">
        <f t="shared" si="9"/>
        <v>0</v>
      </c>
    </row>
    <row r="109" spans="2:6" x14ac:dyDescent="0.2">
      <c r="B109" s="96" t="str">
        <f t="shared" si="8"/>
        <v/>
      </c>
      <c r="C109" s="130"/>
      <c r="D109" s="99">
        <f>IF(C109="", 0, IF(C109="kWh", '4. Billing Determinants'!E55, IF(C109="kW", '4. Billing Determinants'!F55, '4. Billing Determinants'!D55)))</f>
        <v>0</v>
      </c>
      <c r="E109" s="100">
        <f>HLOOKUP($B109, '5. Allocation of Balances'!$C$4:$Y$55, 42,FALSE)</f>
        <v>0</v>
      </c>
      <c r="F109" s="110">
        <f t="shared" si="9"/>
        <v>0</v>
      </c>
    </row>
    <row r="110" spans="2:6" x14ac:dyDescent="0.2">
      <c r="B110" s="96" t="str">
        <f t="shared" si="8"/>
        <v/>
      </c>
      <c r="C110" s="130"/>
      <c r="D110" s="99">
        <f>IF(C110="", 0, IF(C110="kWh", '4. Billing Determinants'!E56, IF(C110="kW", '4. Billing Determinants'!F56, '4. Billing Determinants'!D56)))</f>
        <v>0</v>
      </c>
      <c r="E110" s="100">
        <f>HLOOKUP($B110, '5. Allocation of Balances'!$C$4:$Y$55, 42,FALSE)</f>
        <v>0</v>
      </c>
      <c r="F110" s="110">
        <f t="shared" si="9"/>
        <v>0</v>
      </c>
    </row>
    <row r="111" spans="2:6" x14ac:dyDescent="0.2">
      <c r="B111" s="96" t="str">
        <f t="shared" si="8"/>
        <v/>
      </c>
      <c r="C111" s="130"/>
      <c r="D111" s="99">
        <f>IF(C111="", 0, IF(C111="kWh", '4. Billing Determinants'!E57, IF(C111="kW", '4. Billing Determinants'!F57, '4. Billing Determinants'!D57)))</f>
        <v>0</v>
      </c>
      <c r="E111" s="100">
        <f>HLOOKUP($B111, '5. Allocation of Balances'!$C$4:$Y$55, 42,FALSE)</f>
        <v>0</v>
      </c>
      <c r="F111" s="110">
        <f t="shared" si="9"/>
        <v>0</v>
      </c>
    </row>
    <row r="112" spans="2:6" x14ac:dyDescent="0.2">
      <c r="B112" s="96" t="str">
        <f t="shared" si="8"/>
        <v/>
      </c>
      <c r="C112" s="130"/>
      <c r="D112" s="99">
        <f>IF(C112="", 0, IF(C112="kWh", '4. Billing Determinants'!E58, IF(C112="kW", '4. Billing Determinants'!F58, '4. Billing Determinants'!D58)))</f>
        <v>0</v>
      </c>
      <c r="E112" s="100">
        <f>HLOOKUP($B112, '5. Allocation of Balances'!$C$4:$Y$55, 42,FALSE)</f>
        <v>0</v>
      </c>
      <c r="F112" s="110">
        <f t="shared" si="9"/>
        <v>0</v>
      </c>
    </row>
    <row r="113" spans="2:6" x14ac:dyDescent="0.2">
      <c r="B113" s="96" t="str">
        <f t="shared" si="8"/>
        <v/>
      </c>
      <c r="C113" s="130"/>
      <c r="D113" s="99">
        <f>IF(C113="", 0, IF(C113="kWh", '4. Billing Determinants'!E59, IF(C113="kW", '4. Billing Determinants'!F59, '4. Billing Determinants'!D59)))</f>
        <v>0</v>
      </c>
      <c r="E113" s="100">
        <f>HLOOKUP($B113, '5. Allocation of Balances'!$C$4:$Y$55, 42,FALSE)</f>
        <v>0</v>
      </c>
      <c r="F113" s="110">
        <f t="shared" si="9"/>
        <v>0</v>
      </c>
    </row>
    <row r="114" spans="2:6" x14ac:dyDescent="0.2">
      <c r="B114" s="96" t="str">
        <f t="shared" si="8"/>
        <v/>
      </c>
      <c r="C114" s="130"/>
      <c r="D114" s="99">
        <f>IF(C114="", 0, IF(C114="kWh", '4. Billing Determinants'!E60, IF(C114="kW", '4. Billing Determinants'!F60, '4. Billing Determinants'!D60)))</f>
        <v>0</v>
      </c>
      <c r="E114" s="100">
        <f>HLOOKUP($B114, '5. Allocation of Balances'!$C$4:$Y$55, 42,FALSE)</f>
        <v>0</v>
      </c>
      <c r="F114" s="110">
        <f t="shared" si="9"/>
        <v>0</v>
      </c>
    </row>
    <row r="115" spans="2:6" x14ac:dyDescent="0.2">
      <c r="B115" s="96" t="str">
        <f t="shared" si="8"/>
        <v/>
      </c>
      <c r="C115" s="130"/>
      <c r="D115" s="99">
        <f>IF(C115="", 0, IF(C115="kWh", '4. Billing Determinants'!E61, IF(C115="kW", '4. Billing Determinants'!F61, '4. Billing Determinants'!D61)))</f>
        <v>0</v>
      </c>
      <c r="E115" s="100">
        <f>HLOOKUP($B115, '5. Allocation of Balances'!$C$4:$Y$55, 42,FALSE)</f>
        <v>0</v>
      </c>
      <c r="F115" s="110">
        <f t="shared" si="9"/>
        <v>0</v>
      </c>
    </row>
    <row r="116" spans="2:6" x14ac:dyDescent="0.2">
      <c r="B116" s="96" t="str">
        <f t="shared" si="8"/>
        <v/>
      </c>
      <c r="C116" s="130"/>
      <c r="D116" s="99">
        <f>IF(C116="", 0, IF(C116="kWh", '4. Billing Determinants'!E62, IF(C116="kW", '4. Billing Determinants'!F62, '4. Billing Determinants'!D62)))</f>
        <v>0</v>
      </c>
      <c r="E116" s="100">
        <f>HLOOKUP($B116, '5. Allocation of Balances'!$C$4:$Y$55, 42,FALSE)</f>
        <v>0</v>
      </c>
      <c r="F116" s="110">
        <f t="shared" si="9"/>
        <v>0</v>
      </c>
    </row>
    <row r="117" spans="2:6" x14ac:dyDescent="0.2">
      <c r="B117" s="96" t="str">
        <f t="shared" si="8"/>
        <v/>
      </c>
      <c r="C117" s="130"/>
      <c r="D117" s="99">
        <f>IF(C117="", 0, IF(C117="kWh", '4. Billing Determinants'!E63, IF(C117="kW", '4. Billing Determinants'!F63, '4. Billing Determinants'!D63)))</f>
        <v>0</v>
      </c>
      <c r="E117" s="100">
        <f>HLOOKUP($B117, '5. Allocation of Balances'!$C$4:$Y$55, 42,FALSE)</f>
        <v>0</v>
      </c>
      <c r="F117" s="110">
        <f t="shared" si="9"/>
        <v>0</v>
      </c>
    </row>
    <row r="118" spans="2:6" x14ac:dyDescent="0.2">
      <c r="B118" s="96" t="str">
        <f t="shared" si="8"/>
        <v/>
      </c>
      <c r="C118" s="130"/>
      <c r="D118" s="99">
        <f>IF(C118="", 0, IF(C118="kWh", '4. Billing Determinants'!E64, IF(C118="kW", '4. Billing Determinants'!F64, '4. Billing Determinants'!D64)))</f>
        <v>0</v>
      </c>
      <c r="E118" s="100">
        <f>HLOOKUP($B118, '5. Allocation of Balances'!$C$4:$Y$55, 42,FALSE)</f>
        <v>0</v>
      </c>
      <c r="F118" s="110">
        <f t="shared" si="9"/>
        <v>0</v>
      </c>
    </row>
    <row r="119" spans="2:6" x14ac:dyDescent="0.2">
      <c r="B119" s="96" t="str">
        <f t="shared" si="8"/>
        <v/>
      </c>
      <c r="C119" s="130"/>
      <c r="D119" s="99">
        <f>IF(C119="", 0, IF(C119="kWh", '4. Billing Determinants'!E65, IF(C119="kW", '4. Billing Determinants'!F65, '4. Billing Determinants'!D65)))</f>
        <v>0</v>
      </c>
      <c r="E119" s="100">
        <f>HLOOKUP($B119, '5. Allocation of Balances'!$C$4:$Y$55, 42,FALSE)</f>
        <v>0</v>
      </c>
      <c r="F119" s="110">
        <f t="shared" si="9"/>
        <v>0</v>
      </c>
    </row>
    <row r="120" spans="2:6" x14ac:dyDescent="0.2">
      <c r="B120" s="96" t="str">
        <f t="shared" si="8"/>
        <v/>
      </c>
      <c r="C120" s="130"/>
      <c r="D120" s="99">
        <f>IF(C120="", 0, IF(C120="kWh", '4. Billing Determinants'!E66, IF(C120="kW", '4. Billing Determinants'!F66, '4. Billing Determinants'!D66)))</f>
        <v>0</v>
      </c>
      <c r="E120" s="100">
        <f>HLOOKUP($B120, '5. Allocation of Balances'!$C$4:$Y$55, 42,FALSE)</f>
        <v>0</v>
      </c>
      <c r="F120" s="110">
        <f t="shared" si="9"/>
        <v>0</v>
      </c>
    </row>
    <row r="121" spans="2:6" x14ac:dyDescent="0.2">
      <c r="B121" s="96" t="str">
        <f t="shared" si="8"/>
        <v/>
      </c>
      <c r="C121" s="130"/>
      <c r="D121" s="99">
        <f>IF(C121="", 0, IF(C121="kWh", '4. Billing Determinants'!E67, IF(C121="kW", '4. Billing Determinants'!F67, '4. Billing Determinants'!D67)))</f>
        <v>0</v>
      </c>
      <c r="E121" s="100">
        <f>HLOOKUP($B121, '5. Allocation of Balances'!$C$4:$Y$55, 42,FALSE)</f>
        <v>0</v>
      </c>
      <c r="F121" s="110">
        <f t="shared" si="9"/>
        <v>0</v>
      </c>
    </row>
    <row r="122" spans="2:6" x14ac:dyDescent="0.2">
      <c r="B122" s="96" t="str">
        <f t="shared" si="8"/>
        <v/>
      </c>
      <c r="C122" s="130"/>
      <c r="D122" s="99">
        <f>IF(C122="", 0, IF(C122="kWh", '4. Billing Determinants'!E68, IF(C122="kW", '4. Billing Determinants'!F68, '4. Billing Determinants'!D68)))</f>
        <v>0</v>
      </c>
      <c r="E122" s="100">
        <f>HLOOKUP($B122, '5. Allocation of Balances'!$C$4:$Y$55, 42,FALSE)</f>
        <v>0</v>
      </c>
      <c r="F122" s="110">
        <f t="shared" si="9"/>
        <v>0</v>
      </c>
    </row>
    <row r="123" spans="2:6" x14ac:dyDescent="0.2">
      <c r="B123" s="106" t="s">
        <v>103</v>
      </c>
      <c r="C123" s="107"/>
      <c r="D123" s="108"/>
      <c r="E123" s="109">
        <f>SUM(E103:E122)</f>
        <v>0</v>
      </c>
      <c r="F123" s="106"/>
    </row>
  </sheetData>
  <sheetProtection password="F8BD" sheet="1" objects="1" scenarios="1"/>
  <mergeCells count="20">
    <mergeCell ref="B101:B102"/>
    <mergeCell ref="C101:C102"/>
    <mergeCell ref="D101:D102"/>
    <mergeCell ref="E101:E102"/>
    <mergeCell ref="F101:F102"/>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6:C39">
    <cfRule type="cellIs" dxfId="9" priority="13" operator="equal">
      <formula>"kW"</formula>
    </cfRule>
  </conditionalFormatting>
  <conditionalFormatting sqref="G20:G39">
    <cfRule type="cellIs" dxfId="8" priority="10" operator="equal">
      <formula>"$/kW"</formula>
    </cfRule>
  </conditionalFormatting>
  <conditionalFormatting sqref="G47:G66">
    <cfRule type="cellIs" dxfId="7" priority="9" operator="equal">
      <formula>"$/kW"</formula>
    </cfRule>
  </conditionalFormatting>
  <conditionalFormatting sqref="C53:C66">
    <cfRule type="cellIs" dxfId="6" priority="7" operator="equal">
      <formula>"kW"</formula>
    </cfRule>
  </conditionalFormatting>
  <conditionalFormatting sqref="C81:C94">
    <cfRule type="cellIs" dxfId="5" priority="6" operator="equal">
      <formula>"kW"</formula>
    </cfRule>
  </conditionalFormatting>
  <conditionalFormatting sqref="G75:G94">
    <cfRule type="cellIs" dxfId="4" priority="5" operator="equal">
      <formula>"$/kW"</formula>
    </cfRule>
  </conditionalFormatting>
  <conditionalFormatting sqref="C103:C122">
    <cfRule type="cellIs" dxfId="3" priority="4" operator="equal">
      <formula>"kW"</formula>
    </cfRule>
  </conditionalFormatting>
  <conditionalFormatting sqref="C20:C25">
    <cfRule type="cellIs" dxfId="2" priority="3" operator="equal">
      <formula>"kW"</formula>
    </cfRule>
  </conditionalFormatting>
  <conditionalFormatting sqref="C47:C52">
    <cfRule type="cellIs" dxfId="1" priority="2" operator="equal">
      <formula>"kW"</formula>
    </cfRule>
  </conditionalFormatting>
  <conditionalFormatting sqref="C75:C80">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103:C122 C75:C94">
      <formula1>"kWh, kW, # of Customers"</formula1>
    </dataValidation>
    <dataValidation type="list" allowBlank="1" showInputMessage="1" showErrorMessage="1" sqref="D71 D99">
      <formula1>"1,2,3,4,5"</formula1>
    </dataValidation>
  </dataValidations>
  <pageMargins left="0.7" right="0.7" top="0.48" bottom="0.41" header="0.3" footer="0.3"/>
  <pageSetup scale="55" orientation="portrait" horizontalDpi="4294967295" verticalDpi="4294967295"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277" t="s">
        <v>259</v>
      </c>
      <c r="D1" s="277" t="s">
        <v>260</v>
      </c>
      <c r="E1" s="277" t="s">
        <v>267</v>
      </c>
      <c r="F1" s="277" t="s">
        <v>262</v>
      </c>
      <c r="G1" s="277" t="s">
        <v>266</v>
      </c>
      <c r="H1" s="277" t="s">
        <v>28</v>
      </c>
      <c r="I1" s="277" t="s">
        <v>268</v>
      </c>
      <c r="J1" s="277" t="s">
        <v>265</v>
      </c>
    </row>
    <row r="2" spans="1:10" ht="34.5" customHeight="1" x14ac:dyDescent="0.2">
      <c r="C2" s="278"/>
      <c r="D2" s="278"/>
      <c r="E2" s="278"/>
      <c r="F2" s="277"/>
      <c r="G2" s="277"/>
      <c r="H2" s="277"/>
      <c r="I2" s="277"/>
      <c r="J2" s="277"/>
    </row>
    <row r="3" spans="1:10" ht="34.5" customHeight="1" x14ac:dyDescent="0.2">
      <c r="C3" s="278"/>
      <c r="D3" s="278"/>
      <c r="E3" s="278"/>
      <c r="F3" s="277"/>
      <c r="G3" s="277"/>
      <c r="H3" s="277" t="s">
        <v>13</v>
      </c>
      <c r="I3" s="277"/>
      <c r="J3" s="277"/>
    </row>
    <row r="4" spans="1:10" ht="15" customHeight="1" x14ac:dyDescent="0.2">
      <c r="A4" s="196" t="s">
        <v>44</v>
      </c>
      <c r="B4" s="197">
        <v>1508</v>
      </c>
      <c r="C4" s="100">
        <f>VLOOKUP(A4, '2. 2014 Continuity Schedule'!$C$20:$BQ$82, MATCH('2. 2014 Continuity Schedule'!BK$20, '2. 2014 Continuity Schedule'!C$20:BQ$20,0),FALSE)</f>
        <v>16187</v>
      </c>
      <c r="D4" s="100">
        <f>VLOOKUP(A4, '2. 2014 Continuity Schedule'!$C$20:$BQ$82, MATCH('2. 2014 Continuity Schedule'!BL$20, '2. 2014 Continuity Schedule'!C$20:BQ$20,0),FALSE)</f>
        <v>487.28999999999996</v>
      </c>
      <c r="E4" s="100">
        <f>SUM(C4:D4)</f>
        <v>16674.29</v>
      </c>
      <c r="F4" s="100">
        <f>VLOOKUP(A4, '2. 2014 Continuity Schedule'!$C$20:$BQ$82, MATCH('2. 2014 Continuity Schedule'!BM$20, '2. 2014 Continuity Schedule'!C$20:BQ$20,0),FALSE)</f>
        <v>237.94889999999998</v>
      </c>
      <c r="G4" s="100">
        <f>VLOOKUP(A4, '2. 2014 Continuity Schedule'!$C$20:$BQ$82, MATCH('2. 2014 Continuity Schedule'!BN$20, '2. 2014 Continuity Schedule'!C$20:BQ$20,0),FALSE)</f>
        <v>79.316299999999998</v>
      </c>
      <c r="H4" s="100">
        <f>SUM(E4:G4)</f>
        <v>16991.555199999999</v>
      </c>
      <c r="I4" s="100">
        <f>VLOOKUP(A4, '2. 2014 Continuity Schedule'!$C$20:$BQ$82, MATCH('2. 2014 Continuity Schedule'!BP$20, '2. 2014 Continuity Schedule'!C$20:BQ$20,0),FALSE)</f>
        <v>16674.3</v>
      </c>
      <c r="J4" s="100">
        <f>VLOOKUP(A4, '2. 2014 Continuity Schedule'!$C$20:$BQ$82, MATCH('2. 2014 Continuity Schedule'!BQ$20, '2. 2014 Continuity Schedule'!C$20:BQ$20,0),FALSE)</f>
        <v>9.9999999983992893E-3</v>
      </c>
    </row>
    <row r="5" spans="1:10" ht="14.25" x14ac:dyDescent="0.2">
      <c r="A5" s="196" t="s">
        <v>45</v>
      </c>
      <c r="B5" s="197">
        <v>1508</v>
      </c>
      <c r="C5" s="100">
        <f>VLOOKUP(A5, '2. 2014 Continuity Schedule'!$C$20:$BQ$82, MATCH('2. 2014 Continuity Schedule'!BK$20, '2. 2014 Continuity Schedule'!C$20:BQ$20,0),FALSE)</f>
        <v>6551.57</v>
      </c>
      <c r="D5" s="100">
        <f>VLOOKUP(A5, '2. 2014 Continuity Schedule'!$C$20:$BQ$82, MATCH('2. 2014 Continuity Schedule'!BL$20, '2. 2014 Continuity Schedule'!C$20:BQ$20,0),FALSE)</f>
        <v>189.01</v>
      </c>
      <c r="E5" s="100">
        <f t="shared" ref="E5:E44" si="0">SUM(C5:D5)</f>
        <v>6740.58</v>
      </c>
      <c r="F5" s="100">
        <f>VLOOKUP(A5, '2. 2014 Continuity Schedule'!$C$20:$BQ$82, MATCH('2. 2014 Continuity Schedule'!BM$20, '2. 2014 Continuity Schedule'!C$20:BQ$20,0),FALSE)</f>
        <v>96.308078999999992</v>
      </c>
      <c r="G5" s="100">
        <f>VLOOKUP(A5, '2. 2014 Continuity Schedule'!$C$20:$BQ$82, MATCH('2. 2014 Continuity Schedule'!BN$20, '2. 2014 Continuity Schedule'!C$20:BQ$20,0),FALSE)</f>
        <v>32.102692999999995</v>
      </c>
      <c r="H5" s="100">
        <f t="shared" ref="H5:H44" si="1">SUM(E5:G5)</f>
        <v>6868.9907720000001</v>
      </c>
      <c r="I5" s="100">
        <f>VLOOKUP(A5, '2. 2014 Continuity Schedule'!$C$20:$BQ$82, MATCH('2. 2014 Continuity Schedule'!BP$20, '2. 2014 Continuity Schedule'!C$20:BQ$20,0),FALSE)</f>
        <v>6740.57</v>
      </c>
      <c r="J5" s="100">
        <f>VLOOKUP(A5, '2. 2014 Continuity Schedule'!$C$20:$BQ$82, MATCH('2. 2014 Continuity Schedule'!BQ$20, '2. 2014 Continuity Schedule'!C$20:BQ$20,0),FALSE)</f>
        <v>-1.0000000000218279E-2</v>
      </c>
    </row>
    <row r="6" spans="1:10" ht="30.75" x14ac:dyDescent="0.2">
      <c r="A6" s="198" t="s">
        <v>69</v>
      </c>
      <c r="B6" s="197">
        <v>1508</v>
      </c>
      <c r="C6" s="100">
        <f>VLOOKUP(A6, '2. 2014 Continuity Schedule'!$C$20:$BQ$82, MATCH('2. 2014 Continuity Schedule'!BK$20, '2. 2014 Continuity Schedule'!C$20:BQ$20,0),FALSE)</f>
        <v>0</v>
      </c>
      <c r="D6" s="100">
        <f>VLOOKUP(A6, '2. 2014 Continuity Schedule'!$C$20:$BQ$82, MATCH('2. 2014 Continuity Schedule'!BL$20, '2. 2014 Continuity Schedule'!C$20:BQ$20,0),FALSE)</f>
        <v>0</v>
      </c>
      <c r="E6" s="100">
        <f t="shared" si="0"/>
        <v>0</v>
      </c>
      <c r="F6" s="100">
        <f>VLOOKUP(A6, '2. 2014 Continuity Schedule'!$C$20:$BQ$82, MATCH('2. 2014 Continuity Schedule'!BM$20, '2. 2014 Continuity Schedule'!C$20:BQ$20,0),FALSE)</f>
        <v>0</v>
      </c>
      <c r="G6" s="100">
        <f>VLOOKUP(A6, '2. 2014 Continuity Schedule'!$C$20:$BQ$82, MATCH('2. 2014 Continuity Schedule'!BN$20, '2. 2014 Continuity Schedule'!C$20:BQ$20,0),FALSE)</f>
        <v>0</v>
      </c>
      <c r="H6" s="100">
        <f t="shared" si="1"/>
        <v>0</v>
      </c>
      <c r="I6" s="100">
        <f>VLOOKUP(A6, '2. 2014 Continuity Schedule'!$C$20:$BQ$82, MATCH('2. 2014 Continuity Schedule'!BP$20, '2. 2014 Continuity Schedule'!C$20:BQ$20,0),FALSE)</f>
        <v>0</v>
      </c>
      <c r="J6" s="100">
        <f>VLOOKUP(A6, '2. 2014 Continuity Schedule'!$C$20:$BQ$82, MATCH('2. 2014 Continuity Schedule'!BQ$20, '2. 2014 Continuity Schedule'!C$20:BQ$20,0),FALSE)</f>
        <v>0</v>
      </c>
    </row>
    <row r="7" spans="1:10" ht="28.5" x14ac:dyDescent="0.2">
      <c r="A7" s="198" t="s">
        <v>58</v>
      </c>
      <c r="B7" s="197">
        <v>1508</v>
      </c>
      <c r="C7" s="100">
        <f>VLOOKUP(A7, '2. 2014 Continuity Schedule'!$C$20:$BQ$82, MATCH('2. 2014 Continuity Schedule'!BK$20, '2. 2014 Continuity Schedule'!C$20:BQ$20,0),FALSE)</f>
        <v>0</v>
      </c>
      <c r="D7" s="100">
        <f>VLOOKUP(A7, '2. 2014 Continuity Schedule'!$C$20:$BQ$82, MATCH('2. 2014 Continuity Schedule'!BL$20, '2. 2014 Continuity Schedule'!C$20:BQ$20,0),FALSE)</f>
        <v>0</v>
      </c>
      <c r="E7" s="100">
        <f t="shared" si="0"/>
        <v>0</v>
      </c>
      <c r="F7" s="100">
        <f>VLOOKUP(A7, '2. 2014 Continuity Schedule'!$C$20:$BQ$82, MATCH('2. 2014 Continuity Schedule'!BM$20, '2. 2014 Continuity Schedule'!C$20:BQ$20,0),FALSE)</f>
        <v>0</v>
      </c>
      <c r="G7" s="100">
        <f>VLOOKUP(A7, '2. 2014 Continuity Schedule'!$C$20:$BQ$82, MATCH('2. 2014 Continuity Schedule'!BN$20, '2. 2014 Continuity Schedule'!C$20:BQ$20,0),FALSE)</f>
        <v>0</v>
      </c>
      <c r="H7" s="100">
        <f t="shared" si="1"/>
        <v>0</v>
      </c>
      <c r="I7" s="100">
        <f>VLOOKUP(A7, '2. 2014 Continuity Schedule'!$C$20:$BQ$82, MATCH('2. 2014 Continuity Schedule'!BP$20, '2. 2014 Continuity Schedule'!C$20:BQ$20,0),FALSE)</f>
        <v>0</v>
      </c>
      <c r="J7" s="100">
        <f>VLOOKUP(A7, '2. 2014 Continuity Schedule'!$C$20:$BQ$82, MATCH('2. 2014 Continuity Schedule'!BQ$20, '2. 2014 Continuity Schedule'!C$20:BQ$20,0),FALSE)</f>
        <v>0</v>
      </c>
    </row>
    <row r="8" spans="1:10" ht="16.5" x14ac:dyDescent="0.2">
      <c r="A8" s="196" t="s">
        <v>68</v>
      </c>
      <c r="B8" s="197">
        <v>1508</v>
      </c>
      <c r="C8" s="100">
        <f>VLOOKUP(A8, '2. 2014 Continuity Schedule'!$C$20:$BQ$82, MATCH('2. 2014 Continuity Schedule'!BK$20, '2. 2014 Continuity Schedule'!C$20:BQ$20,0),FALSE)</f>
        <v>0</v>
      </c>
      <c r="D8" s="100">
        <f>VLOOKUP(A8, '2. 2014 Continuity Schedule'!$C$20:$BQ$82, MATCH('2. 2014 Continuity Schedule'!BL$20, '2. 2014 Continuity Schedule'!C$20:BQ$20,0),FALSE)</f>
        <v>0</v>
      </c>
      <c r="E8" s="100">
        <f t="shared" si="0"/>
        <v>0</v>
      </c>
      <c r="F8" s="100">
        <f>VLOOKUP(A8, '2. 2014 Continuity Schedule'!$C$20:$BQ$82, MATCH('2. 2014 Continuity Schedule'!BM$20, '2. 2014 Continuity Schedule'!C$20:BQ$20,0),FALSE)</f>
        <v>0</v>
      </c>
      <c r="G8" s="100">
        <f>VLOOKUP(A8, '2. 2014 Continuity Schedule'!$C$20:$BQ$82, MATCH('2. 2014 Continuity Schedule'!BN$20, '2. 2014 Continuity Schedule'!C$20:BQ$20,0),FALSE)</f>
        <v>0</v>
      </c>
      <c r="H8" s="100">
        <f t="shared" si="1"/>
        <v>0</v>
      </c>
      <c r="I8" s="100">
        <f>VLOOKUP(A8, '2. 2014 Continuity Schedule'!$C$20:$BQ$82, MATCH('2. 2014 Continuity Schedule'!BP$20, '2. 2014 Continuity Schedule'!C$20:BQ$20,0),FALSE)</f>
        <v>0</v>
      </c>
      <c r="J8" s="100">
        <f>VLOOKUP(A8, '2. 2014 Continuity Schedule'!$C$20:$BQ$82, MATCH('2. 2014 Continuity Schedule'!BQ$20, '2. 2014 Continuity Schedule'!C$20:BQ$20,0),FALSE)</f>
        <v>0</v>
      </c>
    </row>
    <row r="9" spans="1:10" ht="14.25" x14ac:dyDescent="0.2">
      <c r="A9" s="196" t="s">
        <v>4</v>
      </c>
      <c r="B9" s="197">
        <v>1518</v>
      </c>
      <c r="C9" s="100">
        <f>VLOOKUP(A9, '2. 2014 Continuity Schedule'!$C$20:$BQ$82, MATCH('2. 2014 Continuity Schedule'!BK$20, '2. 2014 Continuity Schedule'!C$20:BQ$20,0),FALSE)</f>
        <v>138753.22999999992</v>
      </c>
      <c r="D9" s="100">
        <f>VLOOKUP(A9, '2. 2014 Continuity Schedule'!$C$20:$BQ$82, MATCH('2. 2014 Continuity Schedule'!BL$20, '2. 2014 Continuity Schedule'!C$20:BQ$20,0),FALSE)</f>
        <v>0</v>
      </c>
      <c r="E9" s="100">
        <f t="shared" si="0"/>
        <v>138753.22999999992</v>
      </c>
      <c r="F9" s="100">
        <f>VLOOKUP(A9, '2. 2014 Continuity Schedule'!$C$20:$BQ$82, MATCH('2. 2014 Continuity Schedule'!BM$20, '2. 2014 Continuity Schedule'!C$20:BQ$20,0),FALSE)</f>
        <v>0</v>
      </c>
      <c r="G9" s="100">
        <f>VLOOKUP(A9, '2. 2014 Continuity Schedule'!$C$20:$BQ$82, MATCH('2. 2014 Continuity Schedule'!BN$20, '2. 2014 Continuity Schedule'!C$20:BQ$20,0),FALSE)</f>
        <v>0</v>
      </c>
      <c r="H9" s="100">
        <f t="shared" si="1"/>
        <v>138753.22999999992</v>
      </c>
      <c r="I9" s="100">
        <f>VLOOKUP(A9, '2. 2014 Continuity Schedule'!$C$20:$BQ$82, MATCH('2. 2014 Continuity Schedule'!BP$20, '2. 2014 Continuity Schedule'!C$20:BQ$20,0),FALSE)</f>
        <v>138753.23000000001</v>
      </c>
      <c r="J9" s="100">
        <f>VLOOKUP(A9, '2. 2014 Continuity Schedule'!$C$20:$BQ$82, MATCH('2. 2014 Continuity Schedule'!BQ$20, '2. 2014 Continuity Schedule'!C$20:BQ$20,0),FALSE)</f>
        <v>0</v>
      </c>
    </row>
    <row r="10" spans="1:10" ht="14.25" x14ac:dyDescent="0.2">
      <c r="A10" s="196" t="s">
        <v>9</v>
      </c>
      <c r="B10" s="197">
        <v>1525</v>
      </c>
      <c r="C10" s="100">
        <f>VLOOKUP(A10, '2. 2014 Continuity Schedule'!$C$20:$BQ$82, MATCH('2. 2014 Continuity Schedule'!BK$20, '2. 2014 Continuity Schedule'!C$20:BQ$20,0),FALSE)</f>
        <v>0</v>
      </c>
      <c r="D10" s="100">
        <f>VLOOKUP(A10, '2. 2014 Continuity Schedule'!$C$20:$BQ$82, MATCH('2. 2014 Continuity Schedule'!BL$20, '2. 2014 Continuity Schedule'!C$20:BQ$20,0),FALSE)</f>
        <v>0</v>
      </c>
      <c r="E10" s="100">
        <f t="shared" si="0"/>
        <v>0</v>
      </c>
      <c r="F10" s="100">
        <f>VLOOKUP(A10, '2. 2014 Continuity Schedule'!$C$20:$BQ$82, MATCH('2. 2014 Continuity Schedule'!BM$20, '2. 2014 Continuity Schedule'!C$20:BQ$20,0),FALSE)</f>
        <v>0</v>
      </c>
      <c r="G10" s="100">
        <f>VLOOKUP(A10, '2. 2014 Continuity Schedule'!$C$20:$BQ$82, MATCH('2. 2014 Continuity Schedule'!BN$20, '2. 2014 Continuity Schedule'!C$20:BQ$20,0),FALSE)</f>
        <v>0</v>
      </c>
      <c r="H10" s="100">
        <f t="shared" si="1"/>
        <v>0</v>
      </c>
      <c r="I10" s="100">
        <f>VLOOKUP(A10, '2. 2014 Continuity Schedule'!$C$20:$BQ$82, MATCH('2. 2014 Continuity Schedule'!BP$20, '2. 2014 Continuity Schedule'!C$20:BQ$20,0),FALSE)</f>
        <v>0</v>
      </c>
      <c r="J10" s="100">
        <f>VLOOKUP(A10, '2. 2014 Continuity Schedule'!$C$20:$BQ$82, MATCH('2. 2014 Continuity Schedule'!BQ$20, '2. 2014 Continuity Schedule'!C$20:BQ$20,0),FALSE)</f>
        <v>0</v>
      </c>
    </row>
    <row r="11" spans="1:10" ht="14.25" x14ac:dyDescent="0.2">
      <c r="A11" s="196" t="s">
        <v>41</v>
      </c>
      <c r="B11" s="197">
        <v>1531</v>
      </c>
      <c r="C11" s="100">
        <f>VLOOKUP(A11, '2. 2014 Continuity Schedule'!$C$20:$BQ$82, MATCH('2. 2014 Continuity Schedule'!BK$20, '2. 2014 Continuity Schedule'!C$20:BQ$20,0),FALSE)</f>
        <v>0</v>
      </c>
      <c r="D11" s="100">
        <f>VLOOKUP(A11, '2. 2014 Continuity Schedule'!$C$20:$BQ$82, MATCH('2. 2014 Continuity Schedule'!BL$20, '2. 2014 Continuity Schedule'!C$20:BQ$20,0),FALSE)</f>
        <v>0</v>
      </c>
      <c r="E11" s="100">
        <f t="shared" si="0"/>
        <v>0</v>
      </c>
      <c r="F11" s="100">
        <f>VLOOKUP(A11, '2. 2014 Continuity Schedule'!$C$20:$BQ$82, MATCH('2. 2014 Continuity Schedule'!BM$20, '2. 2014 Continuity Schedule'!C$20:BQ$20,0),FALSE)</f>
        <v>0</v>
      </c>
      <c r="G11" s="100">
        <f>VLOOKUP(A11, '2. 2014 Continuity Schedule'!$C$20:$BQ$82, MATCH('2. 2014 Continuity Schedule'!BN$20, '2. 2014 Continuity Schedule'!C$20:BQ$20,0),FALSE)</f>
        <v>0</v>
      </c>
      <c r="H11" s="100">
        <f t="shared" si="1"/>
        <v>0</v>
      </c>
      <c r="I11" s="100">
        <f>VLOOKUP(A11, '2. 2014 Continuity Schedule'!$C$20:$BQ$82, MATCH('2. 2014 Continuity Schedule'!BP$20, '2. 2014 Continuity Schedule'!C$20:BQ$20,0),FALSE)</f>
        <v>0</v>
      </c>
      <c r="J11" s="100">
        <f>VLOOKUP(A11, '2. 2014 Continuity Schedule'!$C$20:$BQ$82, MATCH('2. 2014 Continuity Schedule'!BQ$20, '2. 2014 Continuity Schedule'!C$20:BQ$20,0),FALSE)</f>
        <v>0</v>
      </c>
    </row>
    <row r="12" spans="1:10" ht="14.25" x14ac:dyDescent="0.2">
      <c r="A12" s="196" t="s">
        <v>42</v>
      </c>
      <c r="B12" s="197">
        <v>1532</v>
      </c>
      <c r="C12" s="100">
        <f>VLOOKUP(A12, '2. 2014 Continuity Schedule'!$C$20:$BQ$82, MATCH('2. 2014 Continuity Schedule'!BK$20, '2. 2014 Continuity Schedule'!C$20:BQ$20,0),FALSE)</f>
        <v>0</v>
      </c>
      <c r="D12" s="100">
        <f>VLOOKUP(A12, '2. 2014 Continuity Schedule'!$C$20:$BQ$82, MATCH('2. 2014 Continuity Schedule'!BL$20, '2. 2014 Continuity Schedule'!C$20:BQ$20,0),FALSE)</f>
        <v>0</v>
      </c>
      <c r="E12" s="100">
        <f t="shared" si="0"/>
        <v>0</v>
      </c>
      <c r="F12" s="100">
        <f>VLOOKUP(A12, '2. 2014 Continuity Schedule'!$C$20:$BQ$82, MATCH('2. 2014 Continuity Schedule'!BM$20, '2. 2014 Continuity Schedule'!C$20:BQ$20,0),FALSE)</f>
        <v>0</v>
      </c>
      <c r="G12" s="100">
        <f>VLOOKUP(A12, '2. 2014 Continuity Schedule'!$C$20:$BQ$82, MATCH('2. 2014 Continuity Schedule'!BN$20, '2. 2014 Continuity Schedule'!C$20:BQ$20,0),FALSE)</f>
        <v>0</v>
      </c>
      <c r="H12" s="100">
        <f t="shared" si="1"/>
        <v>0</v>
      </c>
      <c r="I12" s="100">
        <f>VLOOKUP(A12, '2. 2014 Continuity Schedule'!$C$20:$BQ$82, MATCH('2. 2014 Continuity Schedule'!BP$20, '2. 2014 Continuity Schedule'!C$20:BQ$20,0),FALSE)</f>
        <v>0</v>
      </c>
      <c r="J12" s="100">
        <f>VLOOKUP(A12, '2. 2014 Continuity Schedule'!$C$20:$BQ$82, MATCH('2. 2014 Continuity Schedule'!BQ$20, '2. 2014 Continuity Schedule'!C$20:BQ$20,0),FALSE)</f>
        <v>0</v>
      </c>
    </row>
    <row r="13" spans="1:10" ht="14.25" x14ac:dyDescent="0.2">
      <c r="A13" s="199" t="s">
        <v>25</v>
      </c>
      <c r="B13" s="197">
        <v>1533</v>
      </c>
      <c r="C13" s="100">
        <f>VLOOKUP(A13, '2. 2014 Continuity Schedule'!$C$20:$BQ$82, MATCH('2. 2014 Continuity Schedule'!BK$20, '2. 2014 Continuity Schedule'!C$20:BQ$20,0),FALSE)</f>
        <v>0</v>
      </c>
      <c r="D13" s="100">
        <f>VLOOKUP(A13, '2. 2014 Continuity Schedule'!$C$20:$BQ$82, MATCH('2. 2014 Continuity Schedule'!BL$20, '2. 2014 Continuity Schedule'!C$20:BQ$20,0),FALSE)</f>
        <v>0</v>
      </c>
      <c r="E13" s="100">
        <f t="shared" si="0"/>
        <v>0</v>
      </c>
      <c r="F13" s="100">
        <f>VLOOKUP(A13, '2. 2014 Continuity Schedule'!$C$20:$BQ$82, MATCH('2. 2014 Continuity Schedule'!BM$20, '2. 2014 Continuity Schedule'!C$20:BQ$20,0),FALSE)</f>
        <v>0</v>
      </c>
      <c r="G13" s="100">
        <f>VLOOKUP(A13, '2. 2014 Continuity Schedule'!$C$20:$BQ$82, MATCH('2. 2014 Continuity Schedule'!BN$20, '2. 2014 Continuity Schedule'!C$20:BQ$20,0),FALSE)</f>
        <v>0</v>
      </c>
      <c r="H13" s="100">
        <f t="shared" si="1"/>
        <v>0</v>
      </c>
      <c r="I13" s="100">
        <f>VLOOKUP(A13, '2. 2014 Continuity Schedule'!$C$20:$BQ$82, MATCH('2. 2014 Continuity Schedule'!BP$20, '2. 2014 Continuity Schedule'!C$20:BQ$20,0),FALSE)</f>
        <v>0</v>
      </c>
      <c r="J13" s="100">
        <f>VLOOKUP(A13, '2. 2014 Continuity Schedule'!$C$20:$BQ$82, MATCH('2. 2014 Continuity Schedule'!BQ$20, '2. 2014 Continuity Schedule'!C$20:BQ$20,0),FALSE)</f>
        <v>0</v>
      </c>
    </row>
    <row r="14" spans="1:10" ht="14.25" x14ac:dyDescent="0.2">
      <c r="A14" s="196" t="s">
        <v>17</v>
      </c>
      <c r="B14" s="197">
        <v>1534</v>
      </c>
      <c r="C14" s="100">
        <f>VLOOKUP(A14, '2. 2014 Continuity Schedule'!$C$20:$BQ$82, MATCH('2. 2014 Continuity Schedule'!BK$20, '2. 2014 Continuity Schedule'!C$20:BQ$20,0),FALSE)</f>
        <v>0</v>
      </c>
      <c r="D14" s="100">
        <f>VLOOKUP(A14, '2. 2014 Continuity Schedule'!$C$20:$BQ$82, MATCH('2. 2014 Continuity Schedule'!BL$20, '2. 2014 Continuity Schedule'!C$20:BQ$20,0),FALSE)</f>
        <v>0</v>
      </c>
      <c r="E14" s="100">
        <f t="shared" si="0"/>
        <v>0</v>
      </c>
      <c r="F14" s="100">
        <f>VLOOKUP(A14, '2. 2014 Continuity Schedule'!$C$20:$BQ$82, MATCH('2. 2014 Continuity Schedule'!BM$20, '2. 2014 Continuity Schedule'!C$20:BQ$20,0),FALSE)</f>
        <v>0</v>
      </c>
      <c r="G14" s="100">
        <f>VLOOKUP(A14, '2. 2014 Continuity Schedule'!$C$20:$BQ$82, MATCH('2. 2014 Continuity Schedule'!BN$20, '2. 2014 Continuity Schedule'!C$20:BQ$20,0),FALSE)</f>
        <v>0</v>
      </c>
      <c r="H14" s="100">
        <f t="shared" si="1"/>
        <v>0</v>
      </c>
      <c r="I14" s="100">
        <f>VLOOKUP(A14, '2. 2014 Continuity Schedule'!$C$20:$BQ$82, MATCH('2. 2014 Continuity Schedule'!BP$20, '2. 2014 Continuity Schedule'!C$20:BQ$20,0),FALSE)</f>
        <v>0</v>
      </c>
      <c r="J14" s="100">
        <f>VLOOKUP(A14, '2. 2014 Continuity Schedule'!$C$20:$BQ$82, MATCH('2. 2014 Continuity Schedule'!BQ$20, '2. 2014 Continuity Schedule'!C$20:BQ$20,0),FALSE)</f>
        <v>0</v>
      </c>
    </row>
    <row r="15" spans="1:10" ht="14.25" x14ac:dyDescent="0.2">
      <c r="A15" s="196" t="s">
        <v>18</v>
      </c>
      <c r="B15" s="197">
        <v>1535</v>
      </c>
      <c r="C15" s="100">
        <f>VLOOKUP(A15, '2. 2014 Continuity Schedule'!$C$20:$BQ$82, MATCH('2. 2014 Continuity Schedule'!BK$20, '2. 2014 Continuity Schedule'!C$20:BQ$20,0),FALSE)</f>
        <v>18720.96</v>
      </c>
      <c r="D15" s="100">
        <f>VLOOKUP(A15, '2. 2014 Continuity Schedule'!$C$20:$BQ$82, MATCH('2. 2014 Continuity Schedule'!BL$20, '2. 2014 Continuity Schedule'!C$20:BQ$20,0),FALSE)</f>
        <v>0</v>
      </c>
      <c r="E15" s="100">
        <f t="shared" si="0"/>
        <v>18720.96</v>
      </c>
      <c r="F15" s="100">
        <f>VLOOKUP(A15, '2. 2014 Continuity Schedule'!$C$20:$BQ$82, MATCH('2. 2014 Continuity Schedule'!BM$20, '2. 2014 Continuity Schedule'!C$20:BQ$20,0),FALSE)</f>
        <v>275.19811199999998</v>
      </c>
      <c r="G15" s="100">
        <f>VLOOKUP(A15, '2. 2014 Continuity Schedule'!$C$20:$BQ$82, MATCH('2. 2014 Continuity Schedule'!BN$20, '2. 2014 Continuity Schedule'!C$20:BQ$20,0),FALSE)</f>
        <v>91.732703999999998</v>
      </c>
      <c r="H15" s="100">
        <f t="shared" si="1"/>
        <v>19087.890815999996</v>
      </c>
      <c r="I15" s="100">
        <f>VLOOKUP(A15, '2. 2014 Continuity Schedule'!$C$20:$BQ$82, MATCH('2. 2014 Continuity Schedule'!BP$20, '2. 2014 Continuity Schedule'!C$20:BQ$20,0),FALSE)</f>
        <v>18720.96</v>
      </c>
      <c r="J15" s="100">
        <f>VLOOKUP(A15, '2. 2014 Continuity Schedule'!$C$20:$BQ$82, MATCH('2. 2014 Continuity Schedule'!BQ$20, '2. 2014 Continuity Schedule'!C$20:BQ$20,0),FALSE)</f>
        <v>0</v>
      </c>
    </row>
    <row r="16" spans="1:10" ht="14.25" x14ac:dyDescent="0.2">
      <c r="A16" s="196" t="s">
        <v>23</v>
      </c>
      <c r="B16" s="197">
        <v>1536</v>
      </c>
      <c r="C16" s="100">
        <f>VLOOKUP(A16, '2. 2014 Continuity Schedule'!$C$20:$BQ$82, MATCH('2. 2014 Continuity Schedule'!BK$20, '2. 2014 Continuity Schedule'!C$20:BQ$20,0),FALSE)</f>
        <v>0</v>
      </c>
      <c r="D16" s="100">
        <f>VLOOKUP(A16, '2. 2014 Continuity Schedule'!$C$20:$BQ$82, MATCH('2. 2014 Continuity Schedule'!BL$20, '2. 2014 Continuity Schedule'!C$20:BQ$20,0),FALSE)</f>
        <v>0</v>
      </c>
      <c r="E16" s="100">
        <f t="shared" si="0"/>
        <v>0</v>
      </c>
      <c r="F16" s="100">
        <f>VLOOKUP(A16, '2. 2014 Continuity Schedule'!$C$20:$BQ$82, MATCH('2. 2014 Continuity Schedule'!BM$20, '2. 2014 Continuity Schedule'!C$20:BQ$20,0),FALSE)</f>
        <v>0</v>
      </c>
      <c r="G16" s="100">
        <f>VLOOKUP(A16, '2. 2014 Continuity Schedule'!$C$20:$BQ$82, MATCH('2. 2014 Continuity Schedule'!BN$20, '2. 2014 Continuity Schedule'!C$20:BQ$20,0),FALSE)</f>
        <v>0</v>
      </c>
      <c r="H16" s="100">
        <f t="shared" si="1"/>
        <v>0</v>
      </c>
      <c r="I16" s="100">
        <f>VLOOKUP(A16, '2. 2014 Continuity Schedule'!$C$20:$BQ$82, MATCH('2. 2014 Continuity Schedule'!BP$20, '2. 2014 Continuity Schedule'!C$20:BQ$20,0),FALSE)</f>
        <v>0</v>
      </c>
      <c r="J16" s="100">
        <f>VLOOKUP(A16, '2. 2014 Continuity Schedule'!$C$20:$BQ$82, MATCH('2. 2014 Continuity Schedule'!BQ$20, '2. 2014 Continuity Schedule'!C$20:BQ$20,0),FALSE)</f>
        <v>0</v>
      </c>
    </row>
    <row r="17" spans="1:10" ht="14.25" x14ac:dyDescent="0.2">
      <c r="A17" s="196" t="s">
        <v>5</v>
      </c>
      <c r="B17" s="197">
        <v>1548</v>
      </c>
      <c r="C17" s="100">
        <f>VLOOKUP(A17, '2. 2014 Continuity Schedule'!$C$20:$BQ$82, MATCH('2. 2014 Continuity Schedule'!BK$20, '2. 2014 Continuity Schedule'!C$20:BQ$20,0),FALSE)</f>
        <v>178967.35000000006</v>
      </c>
      <c r="D17" s="100">
        <f>VLOOKUP(A17, '2. 2014 Continuity Schedule'!$C$20:$BQ$82, MATCH('2. 2014 Continuity Schedule'!BL$20, '2. 2014 Continuity Schedule'!C$20:BQ$20,0),FALSE)</f>
        <v>0</v>
      </c>
      <c r="E17" s="100">
        <f t="shared" si="0"/>
        <v>178967.35000000006</v>
      </c>
      <c r="F17" s="100">
        <f>VLOOKUP(A17, '2. 2014 Continuity Schedule'!$C$20:$BQ$82, MATCH('2. 2014 Continuity Schedule'!BM$20, '2. 2014 Continuity Schedule'!C$20:BQ$20,0),FALSE)</f>
        <v>0</v>
      </c>
      <c r="G17" s="100">
        <f>VLOOKUP(A17, '2. 2014 Continuity Schedule'!$C$20:$BQ$82, MATCH('2. 2014 Continuity Schedule'!BN$20, '2. 2014 Continuity Schedule'!C$20:BQ$20,0),FALSE)</f>
        <v>0</v>
      </c>
      <c r="H17" s="100">
        <f t="shared" si="1"/>
        <v>178967.35000000006</v>
      </c>
      <c r="I17" s="100">
        <f>VLOOKUP(A17, '2. 2014 Continuity Schedule'!$C$20:$BQ$82, MATCH('2. 2014 Continuity Schedule'!BP$20, '2. 2014 Continuity Schedule'!C$20:BQ$20,0),FALSE)</f>
        <v>178967.35</v>
      </c>
      <c r="J17" s="100">
        <f>VLOOKUP(A17, '2. 2014 Continuity Schedule'!$C$20:$BQ$82, MATCH('2. 2014 Continuity Schedule'!BQ$20, '2. 2014 Continuity Schedule'!C$20:BQ$20,0),FALSE)</f>
        <v>0</v>
      </c>
    </row>
    <row r="18" spans="1:10" ht="14.25" x14ac:dyDescent="0.2">
      <c r="A18" s="196" t="s">
        <v>39</v>
      </c>
      <c r="B18" s="197">
        <v>1550</v>
      </c>
      <c r="C18" s="100">
        <f>VLOOKUP(A18, '2. 2014 Continuity Schedule'!$C$20:$BQ$82, MATCH('2. 2014 Continuity Schedule'!BK$20, '2. 2014 Continuity Schedule'!C$20:BQ$20,0),FALSE)</f>
        <v>67738.479999999981</v>
      </c>
      <c r="D18" s="100">
        <f>VLOOKUP(A18, '2. 2014 Continuity Schedule'!$C$20:$BQ$82, MATCH('2. 2014 Continuity Schedule'!BL$20, '2. 2014 Continuity Schedule'!C$20:BQ$20,0),FALSE)</f>
        <v>5489.0600000000013</v>
      </c>
      <c r="E18" s="100">
        <f t="shared" si="0"/>
        <v>73227.539999999979</v>
      </c>
      <c r="F18" s="100">
        <f>VLOOKUP(A18, '2. 2014 Continuity Schedule'!$C$20:$BQ$82, MATCH('2. 2014 Continuity Schedule'!BM$20, '2. 2014 Continuity Schedule'!C$20:BQ$20,0),FALSE)</f>
        <v>995.7556559999997</v>
      </c>
      <c r="G18" s="100">
        <f>VLOOKUP(A18, '2. 2014 Continuity Schedule'!$C$20:$BQ$82, MATCH('2. 2014 Continuity Schedule'!BN$20, '2. 2014 Continuity Schedule'!C$20:BQ$20,0),FALSE)</f>
        <v>331.91855199999992</v>
      </c>
      <c r="H18" s="100">
        <f t="shared" si="1"/>
        <v>74555.214207999976</v>
      </c>
      <c r="I18" s="100">
        <f>VLOOKUP(A18, '2. 2014 Continuity Schedule'!$C$20:$BQ$82, MATCH('2. 2014 Continuity Schedule'!BP$20, '2. 2014 Continuity Schedule'!C$20:BQ$20,0),FALSE)</f>
        <v>-50959.88</v>
      </c>
      <c r="J18" s="100">
        <f>VLOOKUP(A18, '2. 2014 Continuity Schedule'!$C$20:$BQ$82, MATCH('2. 2014 Continuity Schedule'!BQ$20, '2. 2014 Continuity Schedule'!C$20:BQ$20,0),FALSE)</f>
        <v>0.3900000000212458</v>
      </c>
    </row>
    <row r="19" spans="1:10" ht="14.25" x14ac:dyDescent="0.2">
      <c r="A19" s="196" t="s">
        <v>244</v>
      </c>
      <c r="B19" s="197">
        <v>1551</v>
      </c>
      <c r="C19" s="100">
        <f>VLOOKUP(A19, '2. 2014 Continuity Schedule'!$C$20:$BQ$82, MATCH('2. 2014 Continuity Schedule'!BK$20, '2. 2014 Continuity Schedule'!C$20:BQ$20,0),FALSE)</f>
        <v>36447.160000000003</v>
      </c>
      <c r="D19" s="100">
        <f>VLOOKUP(A19, '2. 2014 Continuity Schedule'!$C$20:$BQ$82, MATCH('2. 2014 Continuity Schedule'!BL$20, '2. 2014 Continuity Schedule'!C$20:BQ$20,0),FALSE)</f>
        <v>509.07</v>
      </c>
      <c r="E19" s="100">
        <f t="shared" si="0"/>
        <v>36956.230000000003</v>
      </c>
      <c r="F19" s="100">
        <f>VLOOKUP(A19, '2. 2014 Continuity Schedule'!$C$20:$BQ$82, MATCH('2. 2014 Continuity Schedule'!BM$20, '2. 2014 Continuity Schedule'!C$20:BQ$20,0),FALSE)</f>
        <v>535.77325200000007</v>
      </c>
      <c r="G19" s="100">
        <f>VLOOKUP(A19, '2. 2014 Continuity Schedule'!$C$20:$BQ$82, MATCH('2. 2014 Continuity Schedule'!BN$20, '2. 2014 Continuity Schedule'!C$20:BQ$20,0),FALSE)</f>
        <v>178.59108400000002</v>
      </c>
      <c r="H19" s="100">
        <f t="shared" si="1"/>
        <v>37670.594336000002</v>
      </c>
      <c r="I19" s="100">
        <f>VLOOKUP(A19, '2. 2014 Continuity Schedule'!$C$20:$BQ$82, MATCH('2. 2014 Continuity Schedule'!BP$20, '2. 2014 Continuity Schedule'!C$20:BQ$20,0),FALSE)</f>
        <v>36956.230000000003</v>
      </c>
      <c r="J19" s="100">
        <f>VLOOKUP(A19, '2. 2014 Continuity Schedule'!$C$20:$BQ$82, MATCH('2. 2014 Continuity Schedule'!BQ$20, '2. 2014 Continuity Schedule'!C$20:BQ$20,0),FALSE)</f>
        <v>0</v>
      </c>
    </row>
    <row r="20" spans="1:10" ht="16.5" x14ac:dyDescent="0.2">
      <c r="A20" s="196" t="s">
        <v>143</v>
      </c>
      <c r="B20" s="197">
        <v>1555</v>
      </c>
      <c r="C20" s="100">
        <f>VLOOKUP(A20, '2. 2014 Continuity Schedule'!$C$20:$BQ$82, MATCH('2. 2014 Continuity Schedule'!BK$20, '2. 2014 Continuity Schedule'!C$20:BQ$20,0),FALSE)</f>
        <v>0</v>
      </c>
      <c r="D20" s="100">
        <f>VLOOKUP(A20, '2. 2014 Continuity Schedule'!$C$20:$BQ$82, MATCH('2. 2014 Continuity Schedule'!BL$20, '2. 2014 Continuity Schedule'!C$20:BQ$20,0),FALSE)</f>
        <v>0</v>
      </c>
      <c r="E20" s="100">
        <f t="shared" si="0"/>
        <v>0</v>
      </c>
      <c r="F20" s="100">
        <f>VLOOKUP(A20, '2. 2014 Continuity Schedule'!$C$20:$BQ$82, MATCH('2. 2014 Continuity Schedule'!BM$20, '2. 2014 Continuity Schedule'!C$20:BQ$20,0),FALSE)</f>
        <v>0</v>
      </c>
      <c r="G20" s="100">
        <f>VLOOKUP(A20, '2. 2014 Continuity Schedule'!$C$20:$BQ$82, MATCH('2. 2014 Continuity Schedule'!BN$20, '2. 2014 Continuity Schedule'!C$20:BQ$20,0),FALSE)</f>
        <v>0</v>
      </c>
      <c r="H20" s="100">
        <f t="shared" si="1"/>
        <v>0</v>
      </c>
      <c r="I20" s="100">
        <f>VLOOKUP(A20, '2. 2014 Continuity Schedule'!$C$20:$BQ$82, MATCH('2. 2014 Continuity Schedule'!BP$20, '2. 2014 Continuity Schedule'!C$20:BQ$20,0),FALSE)</f>
        <v>1501898.02</v>
      </c>
      <c r="J20" s="100">
        <f>VLOOKUP(A20, '2. 2014 Continuity Schedule'!$C$20:$BQ$82, MATCH('2. 2014 Continuity Schedule'!BQ$20, '2. 2014 Continuity Schedule'!C$20:BQ$20,0),FALSE)</f>
        <v>0</v>
      </c>
    </row>
    <row r="21" spans="1:10" ht="16.5" x14ac:dyDescent="0.2">
      <c r="A21" s="196" t="s">
        <v>144</v>
      </c>
      <c r="B21" s="197">
        <v>1555</v>
      </c>
      <c r="C21" s="100">
        <f>VLOOKUP(A21, '2. 2014 Continuity Schedule'!$C$20:$BQ$82, MATCH('2. 2014 Continuity Schedule'!BK$20, '2. 2014 Continuity Schedule'!C$20:BQ$20,0),FALSE)</f>
        <v>0</v>
      </c>
      <c r="D21" s="100">
        <f>VLOOKUP(A21, '2. 2014 Continuity Schedule'!$C$20:$BQ$82, MATCH('2. 2014 Continuity Schedule'!BL$20, '2. 2014 Continuity Schedule'!C$20:BQ$20,0),FALSE)</f>
        <v>0</v>
      </c>
      <c r="E21" s="100">
        <f t="shared" si="0"/>
        <v>0</v>
      </c>
      <c r="F21" s="100">
        <f>VLOOKUP(A21, '2. 2014 Continuity Schedule'!$C$20:$BQ$82, MATCH('2. 2014 Continuity Schedule'!BM$20, '2. 2014 Continuity Schedule'!C$20:BQ$20,0),FALSE)</f>
        <v>0</v>
      </c>
      <c r="G21" s="100">
        <f>VLOOKUP(A21, '2. 2014 Continuity Schedule'!$C$20:$BQ$82, MATCH('2. 2014 Continuity Schedule'!BN$20, '2. 2014 Continuity Schedule'!C$20:BQ$20,0),FALSE)</f>
        <v>0</v>
      </c>
      <c r="H21" s="100">
        <f t="shared" si="1"/>
        <v>0</v>
      </c>
      <c r="I21" s="100">
        <f>VLOOKUP(A21, '2. 2014 Continuity Schedule'!$C$20:$BQ$82, MATCH('2. 2014 Continuity Schedule'!BP$20, '2. 2014 Continuity Schedule'!C$20:BQ$20,0),FALSE)</f>
        <v>-2301639.71</v>
      </c>
      <c r="J21" s="100">
        <f>VLOOKUP(A21, '2. 2014 Continuity Schedule'!$C$20:$BQ$82, MATCH('2. 2014 Continuity Schedule'!BQ$20, '2. 2014 Continuity Schedule'!C$20:BQ$20,0),FALSE)</f>
        <v>0</v>
      </c>
    </row>
    <row r="22" spans="1:10" ht="16.5" x14ac:dyDescent="0.2">
      <c r="A22" s="196" t="s">
        <v>145</v>
      </c>
      <c r="B22" s="197">
        <v>1555</v>
      </c>
      <c r="C22" s="100">
        <f>VLOOKUP(A22, '2. 2014 Continuity Schedule'!$C$20:$BQ$82, MATCH('2. 2014 Continuity Schedule'!BK$20, '2. 2014 Continuity Schedule'!C$20:BQ$20,0),FALSE)</f>
        <v>1295155.0002034702</v>
      </c>
      <c r="D22" s="100">
        <f>VLOOKUP(A22, '2. 2014 Continuity Schedule'!$C$20:$BQ$82, MATCH('2. 2014 Continuity Schedule'!BL$20, '2. 2014 Continuity Schedule'!C$20:BQ$20,0),FALSE)</f>
        <v>0</v>
      </c>
      <c r="E22" s="100">
        <f t="shared" si="0"/>
        <v>1295155.0002034702</v>
      </c>
      <c r="F22" s="100">
        <f>VLOOKUP(A22, '2. 2014 Continuity Schedule'!$C$20:$BQ$82, MATCH('2. 2014 Continuity Schedule'!BM$20, '2. 2014 Continuity Schedule'!C$20:BQ$20,0),FALSE)</f>
        <v>0</v>
      </c>
      <c r="G22" s="100">
        <f>VLOOKUP(A22, '2. 2014 Continuity Schedule'!$C$20:$BQ$82, MATCH('2. 2014 Continuity Schedule'!BN$20, '2. 2014 Continuity Schedule'!C$20:BQ$20,0),FALSE)</f>
        <v>0</v>
      </c>
      <c r="H22" s="100">
        <f t="shared" si="1"/>
        <v>1295155.0002034702</v>
      </c>
      <c r="I22" s="100">
        <f>VLOOKUP(A22, '2. 2014 Continuity Schedule'!$C$20:$BQ$82, MATCH('2. 2014 Continuity Schedule'!BP$20, '2. 2014 Continuity Schedule'!C$20:BQ$20,0),FALSE)</f>
        <v>1351365.75</v>
      </c>
      <c r="J22" s="100">
        <f>VLOOKUP(A22, '2. 2014 Continuity Schedule'!$C$20:$BQ$82, MATCH('2. 2014 Continuity Schedule'!BQ$20, '2. 2014 Continuity Schedule'!C$20:BQ$20,0),FALSE)</f>
        <v>56210.749796529766</v>
      </c>
    </row>
    <row r="23" spans="1:10" ht="16.5" x14ac:dyDescent="0.2">
      <c r="A23" s="196" t="s">
        <v>146</v>
      </c>
      <c r="B23" s="197">
        <v>1556</v>
      </c>
      <c r="C23" s="100">
        <f>VLOOKUP(A23, '2. 2014 Continuity Schedule'!$C$20:$BQ$82, MATCH('2. 2014 Continuity Schedule'!BK$20, '2. 2014 Continuity Schedule'!C$20:BQ$20,0),FALSE)</f>
        <v>-11450.570000000065</v>
      </c>
      <c r="D23" s="100">
        <f>VLOOKUP(A23, '2. 2014 Continuity Schedule'!$C$20:$BQ$82, MATCH('2. 2014 Continuity Schedule'!BL$20, '2. 2014 Continuity Schedule'!C$20:BQ$20,0),FALSE)</f>
        <v>-8.000000000174623E-2</v>
      </c>
      <c r="E23" s="100">
        <f t="shared" si="0"/>
        <v>-11450.650000000067</v>
      </c>
      <c r="F23" s="100">
        <f>VLOOKUP(A23, '2. 2014 Continuity Schedule'!$C$20:$BQ$82, MATCH('2. 2014 Continuity Schedule'!BM$20, '2. 2014 Continuity Schedule'!C$20:BQ$20,0),FALSE)</f>
        <v>0</v>
      </c>
      <c r="G23" s="100">
        <f>VLOOKUP(A23, '2. 2014 Continuity Schedule'!$C$20:$BQ$82, MATCH('2. 2014 Continuity Schedule'!BN$20, '2. 2014 Continuity Schedule'!C$20:BQ$20,0),FALSE)</f>
        <v>0</v>
      </c>
      <c r="H23" s="100">
        <f t="shared" si="1"/>
        <v>-11450.650000000067</v>
      </c>
      <c r="I23" s="100">
        <f>VLOOKUP(A23, '2. 2014 Continuity Schedule'!$C$20:$BQ$82, MATCH('2. 2014 Continuity Schedule'!BP$20, '2. 2014 Continuity Schedule'!C$20:BQ$20,0),FALSE)</f>
        <v>1543689.8</v>
      </c>
      <c r="J23" s="100">
        <f>VLOOKUP(A23, '2. 2014 Continuity Schedule'!$C$20:$BQ$82, MATCH('2. 2014 Continuity Schedule'!BQ$20, '2. 2014 Continuity Schedule'!C$20:BQ$20,0),FALSE)</f>
        <v>0</v>
      </c>
    </row>
    <row r="24" spans="1:10" ht="14.25" x14ac:dyDescent="0.2">
      <c r="A24" s="196" t="s">
        <v>8</v>
      </c>
      <c r="B24" s="197">
        <v>1562</v>
      </c>
      <c r="C24" s="100">
        <f>VLOOKUP(A24, '2. 2014 Continuity Schedule'!$C$20:$BQ$82, MATCH('2. 2014 Continuity Schedule'!BK$20, '2. 2014 Continuity Schedule'!C$20:BQ$20,0),FALSE)</f>
        <v>0</v>
      </c>
      <c r="D24" s="100">
        <f>VLOOKUP(A24, '2. 2014 Continuity Schedule'!$C$20:$BQ$82, MATCH('2. 2014 Continuity Schedule'!BL$20, '2. 2014 Continuity Schedule'!C$20:BQ$20,0),FALSE)</f>
        <v>-5.8207660913467407E-11</v>
      </c>
      <c r="E24" s="100">
        <f t="shared" si="0"/>
        <v>-5.8207660913467407E-11</v>
      </c>
      <c r="F24" s="100">
        <f>VLOOKUP(A24, '2. 2014 Continuity Schedule'!$C$20:$BQ$82, MATCH('2. 2014 Continuity Schedule'!BM$20, '2. 2014 Continuity Schedule'!C$20:BQ$20,0),FALSE)</f>
        <v>0</v>
      </c>
      <c r="G24" s="100">
        <f>VLOOKUP(A24, '2. 2014 Continuity Schedule'!$C$20:$BQ$82, MATCH('2. 2014 Continuity Schedule'!BN$20, '2. 2014 Continuity Schedule'!C$20:BQ$20,0),FALSE)</f>
        <v>0</v>
      </c>
      <c r="H24" s="100">
        <f t="shared" si="1"/>
        <v>-5.8207660913467407E-11</v>
      </c>
      <c r="I24" s="100">
        <f>VLOOKUP(A24, '2. 2014 Continuity Schedule'!$C$20:$BQ$82, MATCH('2. 2014 Continuity Schedule'!BP$20, '2. 2014 Continuity Schedule'!C$20:BQ$20,0),FALSE)</f>
        <v>0</v>
      </c>
      <c r="J24" s="100">
        <f>VLOOKUP(A24, '2. 2014 Continuity Schedule'!$C$20:$BQ$82, MATCH('2. 2014 Continuity Schedule'!BQ$20, '2. 2014 Continuity Schedule'!C$20:BQ$20,0),FALSE)</f>
        <v>5.8207660913467407E-11</v>
      </c>
    </row>
    <row r="25" spans="1:10" ht="14.25" x14ac:dyDescent="0.2">
      <c r="A25" s="196" t="s">
        <v>43</v>
      </c>
      <c r="B25" s="197">
        <v>1567</v>
      </c>
      <c r="C25" s="100">
        <f>VLOOKUP(A25, '2. 2014 Continuity Schedule'!$C$20:$BQ$82, MATCH('2. 2014 Continuity Schedule'!BK$20, '2. 2014 Continuity Schedule'!C$20:BQ$20,0),FALSE)</f>
        <v>0</v>
      </c>
      <c r="D25" s="100">
        <f>VLOOKUP(A25, '2. 2014 Continuity Schedule'!$C$20:$BQ$82, MATCH('2. 2014 Continuity Schedule'!BL$20, '2. 2014 Continuity Schedule'!C$20:BQ$20,0),FALSE)</f>
        <v>0</v>
      </c>
      <c r="E25" s="100">
        <f t="shared" si="0"/>
        <v>0</v>
      </c>
      <c r="F25" s="100">
        <f>VLOOKUP(A25, '2. 2014 Continuity Schedule'!$C$20:$BQ$82, MATCH('2. 2014 Continuity Schedule'!BM$20, '2. 2014 Continuity Schedule'!C$20:BQ$20,0),FALSE)</f>
        <v>0</v>
      </c>
      <c r="G25" s="100">
        <f>VLOOKUP(A25, '2. 2014 Continuity Schedule'!$C$20:$BQ$82, MATCH('2. 2014 Continuity Schedule'!BN$20, '2. 2014 Continuity Schedule'!C$20:BQ$20,0),FALSE)</f>
        <v>0</v>
      </c>
      <c r="H25" s="100">
        <f t="shared" si="1"/>
        <v>0</v>
      </c>
      <c r="I25" s="100">
        <f>VLOOKUP(A25, '2. 2014 Continuity Schedule'!$C$20:$BQ$82, MATCH('2. 2014 Continuity Schedule'!BP$20, '2. 2014 Continuity Schedule'!C$20:BQ$20,0),FALSE)</f>
        <v>0</v>
      </c>
      <c r="J25" s="100">
        <f>VLOOKUP(A25, '2. 2014 Continuity Schedule'!$C$20:$BQ$82, MATCH('2. 2014 Continuity Schedule'!BQ$20, '2. 2014 Continuity Schedule'!C$20:BQ$20,0),FALSE)</f>
        <v>0</v>
      </c>
    </row>
    <row r="26" spans="1:10" ht="14.25" x14ac:dyDescent="0.2">
      <c r="A26" s="196" t="s">
        <v>98</v>
      </c>
      <c r="B26" s="197">
        <v>1568</v>
      </c>
      <c r="C26" s="100">
        <f>VLOOKUP(A26, '2. 2014 Continuity Schedule'!$C$20:$BQ$82, MATCH('2. 2014 Continuity Schedule'!BK$20, '2. 2014 Continuity Schedule'!C$20:BQ$20,0),FALSE)</f>
        <v>0</v>
      </c>
      <c r="D26" s="100">
        <f>VLOOKUP(A26, '2. 2014 Continuity Schedule'!$C$20:$BQ$82, MATCH('2. 2014 Continuity Schedule'!BL$20, '2. 2014 Continuity Schedule'!C$20:BQ$20,0),FALSE)</f>
        <v>0</v>
      </c>
      <c r="E26" s="100">
        <f t="shared" si="0"/>
        <v>0</v>
      </c>
      <c r="F26" s="100">
        <f>VLOOKUP(A26, '2. 2014 Continuity Schedule'!$C$20:$BQ$82, MATCH('2. 2014 Continuity Schedule'!BM$20, '2. 2014 Continuity Schedule'!C$20:BQ$20,0),FALSE)</f>
        <v>0</v>
      </c>
      <c r="G26" s="100">
        <f>VLOOKUP(A26, '2. 2014 Continuity Schedule'!$C$20:$BQ$82, MATCH('2. 2014 Continuity Schedule'!BN$20, '2. 2014 Continuity Schedule'!C$20:BQ$20,0),FALSE)</f>
        <v>0</v>
      </c>
      <c r="H26" s="100">
        <f t="shared" si="1"/>
        <v>0</v>
      </c>
      <c r="I26" s="100">
        <f>VLOOKUP(A26, '2. 2014 Continuity Schedule'!$C$20:$BQ$82, MATCH('2. 2014 Continuity Schedule'!BP$20, '2. 2014 Continuity Schedule'!C$20:BQ$20,0),FALSE)</f>
        <v>0</v>
      </c>
      <c r="J26" s="100">
        <f>VLOOKUP(A26, '2. 2014 Continuity Schedule'!$C$20:$BQ$82, MATCH('2. 2014 Continuity Schedule'!BQ$20, '2. 2014 Continuity Schedule'!C$20:BQ$20,0),FALSE)</f>
        <v>0</v>
      </c>
    </row>
    <row r="27" spans="1:10" ht="14.25" x14ac:dyDescent="0.2">
      <c r="A27" s="196" t="s">
        <v>10</v>
      </c>
      <c r="B27" s="197">
        <v>1572</v>
      </c>
      <c r="C27" s="100">
        <f>VLOOKUP(A27, '2. 2014 Continuity Schedule'!$C$20:$BQ$82, MATCH('2. 2014 Continuity Schedule'!BK$20, '2. 2014 Continuity Schedule'!C$20:BQ$20,0),FALSE)</f>
        <v>0</v>
      </c>
      <c r="D27" s="100">
        <f>VLOOKUP(A27, '2. 2014 Continuity Schedule'!$C$20:$BQ$82, MATCH('2. 2014 Continuity Schedule'!BL$20, '2. 2014 Continuity Schedule'!C$20:BQ$20,0),FALSE)</f>
        <v>0</v>
      </c>
      <c r="E27" s="100">
        <f t="shared" si="0"/>
        <v>0</v>
      </c>
      <c r="F27" s="100">
        <f>VLOOKUP(A27, '2. 2014 Continuity Schedule'!$C$20:$BQ$82, MATCH('2. 2014 Continuity Schedule'!BM$20, '2. 2014 Continuity Schedule'!C$20:BQ$20,0),FALSE)</f>
        <v>0</v>
      </c>
      <c r="G27" s="100">
        <f>VLOOKUP(A27, '2. 2014 Continuity Schedule'!$C$20:$BQ$82, MATCH('2. 2014 Continuity Schedule'!BN$20, '2. 2014 Continuity Schedule'!C$20:BQ$20,0),FALSE)</f>
        <v>0</v>
      </c>
      <c r="H27" s="100">
        <f t="shared" si="1"/>
        <v>0</v>
      </c>
      <c r="I27" s="100">
        <f>VLOOKUP(A27, '2. 2014 Continuity Schedule'!$C$20:$BQ$82, MATCH('2. 2014 Continuity Schedule'!BP$20, '2. 2014 Continuity Schedule'!C$20:BQ$20,0),FALSE)</f>
        <v>0</v>
      </c>
      <c r="J27" s="100">
        <f>VLOOKUP(A27, '2. 2014 Continuity Schedule'!$C$20:$BQ$82, MATCH('2. 2014 Continuity Schedule'!BQ$20, '2. 2014 Continuity Schedule'!C$20:BQ$20,0),FALSE)</f>
        <v>0</v>
      </c>
    </row>
    <row r="28" spans="1:10" ht="14.25" x14ac:dyDescent="0.2">
      <c r="A28" s="196" t="s">
        <v>6</v>
      </c>
      <c r="B28" s="197">
        <v>1574</v>
      </c>
      <c r="C28" s="100">
        <f>VLOOKUP(A28, '2. 2014 Continuity Schedule'!$C$20:$BQ$82, MATCH('2. 2014 Continuity Schedule'!BK$20, '2. 2014 Continuity Schedule'!C$20:BQ$20,0),FALSE)</f>
        <v>0</v>
      </c>
      <c r="D28" s="100">
        <f>VLOOKUP(A28, '2. 2014 Continuity Schedule'!$C$20:$BQ$82, MATCH('2. 2014 Continuity Schedule'!BL$20, '2. 2014 Continuity Schedule'!C$20:BQ$20,0),FALSE)</f>
        <v>0</v>
      </c>
      <c r="E28" s="100">
        <f t="shared" si="0"/>
        <v>0</v>
      </c>
      <c r="F28" s="100">
        <f>VLOOKUP(A28, '2. 2014 Continuity Schedule'!$C$20:$BQ$82, MATCH('2. 2014 Continuity Schedule'!BM$20, '2. 2014 Continuity Schedule'!C$20:BQ$20,0),FALSE)</f>
        <v>0</v>
      </c>
      <c r="G28" s="100">
        <f>VLOOKUP(A28, '2. 2014 Continuity Schedule'!$C$20:$BQ$82, MATCH('2. 2014 Continuity Schedule'!BN$20, '2. 2014 Continuity Schedule'!C$20:BQ$20,0),FALSE)</f>
        <v>0</v>
      </c>
      <c r="H28" s="100">
        <f t="shared" si="1"/>
        <v>0</v>
      </c>
      <c r="I28" s="100">
        <f>VLOOKUP(A28, '2. 2014 Continuity Schedule'!$C$20:$BQ$82, MATCH('2. 2014 Continuity Schedule'!BP$20, '2. 2014 Continuity Schedule'!C$20:BQ$20,0),FALSE)</f>
        <v>0</v>
      </c>
      <c r="J28" s="100">
        <f>VLOOKUP(A28, '2. 2014 Continuity Schedule'!$C$20:$BQ$82, MATCH('2. 2014 Continuity Schedule'!BQ$20, '2. 2014 Continuity Schedule'!C$20:BQ$20,0),FALSE)</f>
        <v>0</v>
      </c>
    </row>
    <row r="29" spans="1:10" ht="30.75" x14ac:dyDescent="0.2">
      <c r="A29" s="200" t="s">
        <v>228</v>
      </c>
      <c r="B29" s="201">
        <v>1575</v>
      </c>
      <c r="C29" s="100">
        <f>VLOOKUP(A29, '2. 2014 Continuity Schedule'!$C$20:$BQ$82, MATCH('2. 2014 Continuity Schedule'!BK$20, '2. 2014 Continuity Schedule'!C$20:BQ$20,0),FALSE)</f>
        <v>0</v>
      </c>
      <c r="D29" s="100">
        <f>VLOOKUP(A29, '2. 2014 Continuity Schedule'!$C$20:$BQ$82, MATCH('2. 2014 Continuity Schedule'!BL$20, '2. 2014 Continuity Schedule'!C$20:BQ$20,0),FALSE)</f>
        <v>0</v>
      </c>
      <c r="E29" s="100">
        <f t="shared" si="0"/>
        <v>0</v>
      </c>
      <c r="F29" s="100">
        <f>VLOOKUP(A29, '2. 2014 Continuity Schedule'!$C$20:$BQ$82, MATCH('2. 2014 Continuity Schedule'!BM$20, '2. 2014 Continuity Schedule'!C$20:BQ$20,0),FALSE)</f>
        <v>0</v>
      </c>
      <c r="G29" s="100">
        <f>VLOOKUP(A29, '2. 2014 Continuity Schedule'!$C$20:$BQ$82, MATCH('2. 2014 Continuity Schedule'!BN$20, '2. 2014 Continuity Schedule'!C$20:BQ$20,0),FALSE)</f>
        <v>0</v>
      </c>
      <c r="H29" s="100">
        <f t="shared" si="1"/>
        <v>0</v>
      </c>
      <c r="I29" s="100">
        <f>VLOOKUP(A29, '2. 2014 Continuity Schedule'!$C$20:$BQ$82, MATCH('2. 2014 Continuity Schedule'!BP$20, '2. 2014 Continuity Schedule'!C$20:BQ$20,0),FALSE)</f>
        <v>0</v>
      </c>
      <c r="J29" s="100">
        <f>VLOOKUP(A29, '2. 2014 Continuity Schedule'!$C$20:$BQ$82, MATCH('2. 2014 Continuity Schedule'!BQ$20, '2. 2014 Continuity Schedule'!C$20:BQ$20,0),FALSE)</f>
        <v>0</v>
      </c>
    </row>
    <row r="30" spans="1:10" ht="16.5" x14ac:dyDescent="0.2">
      <c r="A30" s="200" t="s">
        <v>229</v>
      </c>
      <c r="B30" s="201">
        <v>1576</v>
      </c>
      <c r="C30" s="100">
        <f>VLOOKUP(A30, '2. 2014 Continuity Schedule'!$C$20:$BQ$82, MATCH('2. 2014 Continuity Schedule'!BK$20, '2. 2014 Continuity Schedule'!C$20:BQ$20,0),FALSE)</f>
        <v>-7183832.3493090114</v>
      </c>
      <c r="D30" s="100">
        <f>VLOOKUP(A30, '2. 2014 Continuity Schedule'!$C$20:$BQ$82, MATCH('2. 2014 Continuity Schedule'!BL$20, '2. 2014 Continuity Schedule'!C$20:BQ$20,0),FALSE)</f>
        <v>0</v>
      </c>
      <c r="E30" s="100">
        <f t="shared" si="0"/>
        <v>-7183832.3493090114</v>
      </c>
      <c r="F30" s="100">
        <f>VLOOKUP(A30, '2. 2014 Continuity Schedule'!$C$20:$BQ$82, MATCH('2. 2014 Continuity Schedule'!BM$20, '2. 2014 Continuity Schedule'!C$20:BQ$20,0),FALSE)</f>
        <v>0</v>
      </c>
      <c r="G30" s="100">
        <f>VLOOKUP(A30, '2. 2014 Continuity Schedule'!$C$20:$BQ$82, MATCH('2. 2014 Continuity Schedule'!BN$20, '2. 2014 Continuity Schedule'!C$20:BQ$20,0),FALSE)</f>
        <v>0</v>
      </c>
      <c r="H30" s="100">
        <f t="shared" si="1"/>
        <v>-7183832.3493090114</v>
      </c>
      <c r="I30" s="100">
        <f>VLOOKUP(A30, '2. 2014 Continuity Schedule'!$C$20:$BQ$82, MATCH('2. 2014 Continuity Schedule'!BP$20, '2. 2014 Continuity Schedule'!C$20:BQ$20,0),FALSE)</f>
        <v>-3054565.73</v>
      </c>
      <c r="J30" s="100">
        <f>VLOOKUP(A30, '2. 2014 Continuity Schedule'!$C$20:$BQ$82, MATCH('2. 2014 Continuity Schedule'!BQ$20, '2. 2014 Continuity Schedule'!C$20:BQ$20,0),FALSE)</f>
        <v>4129266.6193090114</v>
      </c>
    </row>
    <row r="31" spans="1:10" ht="14.25" x14ac:dyDescent="0.2">
      <c r="A31" s="199" t="s">
        <v>1</v>
      </c>
      <c r="B31" s="197">
        <v>1580</v>
      </c>
      <c r="C31" s="100">
        <f>VLOOKUP(A31, '2. 2014 Continuity Schedule'!$C$20:$BQ$82, MATCH('2. 2014 Continuity Schedule'!BK$20, '2. 2014 Continuity Schedule'!C$20:BQ$20,0),FALSE)</f>
        <v>-916481.62000000011</v>
      </c>
      <c r="D31" s="100">
        <f>VLOOKUP(A31, '2. 2014 Continuity Schedule'!$C$20:$BQ$82, MATCH('2. 2014 Continuity Schedule'!BL$20, '2. 2014 Continuity Schedule'!C$20:BQ$20,0),FALSE)</f>
        <v>21780.899999999994</v>
      </c>
      <c r="E31" s="100">
        <f t="shared" si="0"/>
        <v>-894700.72000000009</v>
      </c>
      <c r="F31" s="100">
        <f>VLOOKUP(A31, '2. 2014 Continuity Schedule'!$C$20:$BQ$82, MATCH('2. 2014 Continuity Schedule'!BM$20, '2. 2014 Continuity Schedule'!C$20:BQ$20,0),FALSE)</f>
        <v>-13472.279814000001</v>
      </c>
      <c r="G31" s="100">
        <f>VLOOKUP(A31, '2. 2014 Continuity Schedule'!$C$20:$BQ$82, MATCH('2. 2014 Continuity Schedule'!BN$20, '2. 2014 Continuity Schedule'!C$20:BQ$20,0),FALSE)</f>
        <v>-4490.7599380000001</v>
      </c>
      <c r="H31" s="100">
        <f t="shared" si="1"/>
        <v>-912663.7597520001</v>
      </c>
      <c r="I31" s="100">
        <f>VLOOKUP(A31, '2. 2014 Continuity Schedule'!$C$20:$BQ$82, MATCH('2. 2014 Continuity Schedule'!BP$20, '2. 2014 Continuity Schedule'!C$20:BQ$20,0),FALSE)</f>
        <v>-4151413.74</v>
      </c>
      <c r="J31" s="100">
        <f>VLOOKUP(A31, '2. 2014 Continuity Schedule'!$C$20:$BQ$82, MATCH('2. 2014 Continuity Schedule'!BQ$20, '2. 2014 Continuity Schedule'!C$20:BQ$20,0),FALSE)</f>
        <v>0.26999999955296516</v>
      </c>
    </row>
    <row r="32" spans="1:10" ht="14.25" x14ac:dyDescent="0.2">
      <c r="A32" s="199" t="s">
        <v>40</v>
      </c>
      <c r="B32" s="197">
        <v>1582</v>
      </c>
      <c r="C32" s="100">
        <f>VLOOKUP(A32, '2. 2014 Continuity Schedule'!$C$20:$BQ$82, MATCH('2. 2014 Continuity Schedule'!BK$20, '2. 2014 Continuity Schedule'!C$20:BQ$20,0),FALSE)</f>
        <v>2.7284841053187847E-12</v>
      </c>
      <c r="D32" s="100">
        <f>VLOOKUP(A32, '2. 2014 Continuity Schedule'!$C$20:$BQ$82, MATCH('2. 2014 Continuity Schedule'!BL$20, '2. 2014 Continuity Schedule'!C$20:BQ$20,0),FALSE)</f>
        <v>-1.3642420526593924E-12</v>
      </c>
      <c r="E32" s="100">
        <f t="shared" si="0"/>
        <v>1.3642420526593924E-12</v>
      </c>
      <c r="F32" s="100">
        <f>VLOOKUP(A32, '2. 2014 Continuity Schedule'!$C$20:$BQ$82, MATCH('2. 2014 Continuity Schedule'!BM$20, '2. 2014 Continuity Schedule'!C$20:BQ$20,0),FALSE)</f>
        <v>0</v>
      </c>
      <c r="G32" s="100">
        <f>VLOOKUP(A32, '2. 2014 Continuity Schedule'!$C$20:$BQ$82, MATCH('2. 2014 Continuity Schedule'!BN$20, '2. 2014 Continuity Schedule'!C$20:BQ$20,0),FALSE)</f>
        <v>0</v>
      </c>
      <c r="H32" s="100">
        <f t="shared" si="1"/>
        <v>1.3642420526593924E-12</v>
      </c>
      <c r="I32" s="100">
        <f>VLOOKUP(A32, '2. 2014 Continuity Schedule'!$C$20:$BQ$82, MATCH('2. 2014 Continuity Schedule'!BP$20, '2. 2014 Continuity Schedule'!C$20:BQ$20,0),FALSE)</f>
        <v>0</v>
      </c>
      <c r="J32" s="100">
        <f>VLOOKUP(A32, '2. 2014 Continuity Schedule'!$C$20:$BQ$82, MATCH('2. 2014 Continuity Schedule'!BQ$20, '2. 2014 Continuity Schedule'!C$20:BQ$20,0),FALSE)</f>
        <v>-1.3642420526593924E-12</v>
      </c>
    </row>
    <row r="33" spans="1:10" ht="14.25" x14ac:dyDescent="0.2">
      <c r="A33" s="199" t="s">
        <v>2</v>
      </c>
      <c r="B33" s="197">
        <v>1584</v>
      </c>
      <c r="C33" s="100">
        <f>VLOOKUP(A33, '2. 2014 Continuity Schedule'!$C$20:$BQ$82, MATCH('2. 2014 Continuity Schedule'!BK$20, '2. 2014 Continuity Schedule'!C$20:BQ$20,0),FALSE)</f>
        <v>606068.87000000011</v>
      </c>
      <c r="D33" s="100">
        <f>VLOOKUP(A33, '2. 2014 Continuity Schedule'!$C$20:$BQ$82, MATCH('2. 2014 Continuity Schedule'!BL$20, '2. 2014 Continuity Schedule'!C$20:BQ$20,0),FALSE)</f>
        <v>-6831.5400000000045</v>
      </c>
      <c r="E33" s="100">
        <f t="shared" si="0"/>
        <v>599237.33000000007</v>
      </c>
      <c r="F33" s="100">
        <f>VLOOKUP(A33, '2. 2014 Continuity Schedule'!$C$20:$BQ$82, MATCH('2. 2014 Continuity Schedule'!BM$20, '2. 2014 Continuity Schedule'!C$20:BQ$20,0),FALSE)</f>
        <v>8909.2123890000021</v>
      </c>
      <c r="G33" s="100">
        <f>VLOOKUP(A33, '2. 2014 Continuity Schedule'!$C$20:$BQ$82, MATCH('2. 2014 Continuity Schedule'!BN$20, '2. 2014 Continuity Schedule'!C$20:BQ$20,0),FALSE)</f>
        <v>2969.7374630000008</v>
      </c>
      <c r="H33" s="100">
        <f t="shared" si="1"/>
        <v>611116.27985200007</v>
      </c>
      <c r="I33" s="100">
        <f>VLOOKUP(A33, '2. 2014 Continuity Schedule'!$C$20:$BQ$82, MATCH('2. 2014 Continuity Schedule'!BP$20, '2. 2014 Continuity Schedule'!C$20:BQ$20,0),FALSE)</f>
        <v>1503334.65</v>
      </c>
      <c r="J33" s="100">
        <f>VLOOKUP(A33, '2. 2014 Continuity Schedule'!$C$20:$BQ$82, MATCH('2. 2014 Continuity Schedule'!BQ$20, '2. 2014 Continuity Schedule'!C$20:BQ$20,0),FALSE)</f>
        <v>1.9999999785795808E-2</v>
      </c>
    </row>
    <row r="34" spans="1:10" ht="14.25" x14ac:dyDescent="0.2">
      <c r="A34" s="199" t="s">
        <v>3</v>
      </c>
      <c r="B34" s="197">
        <v>1586</v>
      </c>
      <c r="C34" s="100">
        <f>VLOOKUP(A34, '2. 2014 Continuity Schedule'!$C$20:$BQ$82, MATCH('2. 2014 Continuity Schedule'!BK$20, '2. 2014 Continuity Schedule'!C$20:BQ$20,0),FALSE)</f>
        <v>394499.66000000003</v>
      </c>
      <c r="D34" s="100">
        <f>VLOOKUP(A34, '2. 2014 Continuity Schedule'!$C$20:$BQ$82, MATCH('2. 2014 Continuity Schedule'!BL$20, '2. 2014 Continuity Schedule'!C$20:BQ$20,0),FALSE)</f>
        <v>-5923.8100000000013</v>
      </c>
      <c r="E34" s="100">
        <f t="shared" si="0"/>
        <v>388575.85000000003</v>
      </c>
      <c r="F34" s="100">
        <f>VLOOKUP(A34, '2. 2014 Continuity Schedule'!$C$20:$BQ$82, MATCH('2. 2014 Continuity Schedule'!BM$20, '2. 2014 Continuity Schedule'!C$20:BQ$20,0),FALSE)</f>
        <v>5799.1450020000002</v>
      </c>
      <c r="G34" s="100">
        <f>VLOOKUP(A34, '2. 2014 Continuity Schedule'!$C$20:$BQ$82, MATCH('2. 2014 Continuity Schedule'!BN$20, '2. 2014 Continuity Schedule'!C$20:BQ$20,0),FALSE)</f>
        <v>1933.0483340000001</v>
      </c>
      <c r="H34" s="100">
        <f t="shared" si="1"/>
        <v>396308.043336</v>
      </c>
      <c r="I34" s="100">
        <f>VLOOKUP(A34, '2. 2014 Continuity Schedule'!$C$20:$BQ$82, MATCH('2. 2014 Continuity Schedule'!BP$20, '2. 2014 Continuity Schedule'!C$20:BQ$20,0),FALSE)</f>
        <v>1050611.18</v>
      </c>
      <c r="J34" s="100">
        <f>VLOOKUP(A34, '2. 2014 Continuity Schedule'!$C$20:$BQ$82, MATCH('2. 2014 Continuity Schedule'!BQ$20, '2. 2014 Continuity Schedule'!C$20:BQ$20,0),FALSE)</f>
        <v>-0.47000000020489097</v>
      </c>
    </row>
    <row r="35" spans="1:10" ht="14.25" x14ac:dyDescent="0.2">
      <c r="A35" s="199" t="s">
        <v>75</v>
      </c>
      <c r="B35" s="197">
        <v>1588</v>
      </c>
      <c r="C35" s="100">
        <f>VLOOKUP(A35, '2. 2014 Continuity Schedule'!$C$20:$BQ$82, MATCH('2. 2014 Continuity Schedule'!BK$20, '2. 2014 Continuity Schedule'!C$20:BQ$20,0),FALSE)</f>
        <v>-1550162.87</v>
      </c>
      <c r="D35" s="100">
        <f>VLOOKUP(A35, '2. 2014 Continuity Schedule'!$C$20:$BQ$82, MATCH('2. 2014 Continuity Schedule'!BL$20, '2. 2014 Continuity Schedule'!C$20:BQ$20,0),FALSE)</f>
        <v>-7764.8800000000047</v>
      </c>
      <c r="E35" s="100">
        <f t="shared" si="0"/>
        <v>-1557927.75</v>
      </c>
      <c r="F35" s="100">
        <f>VLOOKUP(A35, '2. 2014 Continuity Schedule'!$C$20:$BQ$82, MATCH('2. 2014 Continuity Schedule'!BM$20, '2. 2014 Continuity Schedule'!C$20:BQ$20,0),FALSE)</f>
        <v>-22787.394189000002</v>
      </c>
      <c r="G35" s="100">
        <f>VLOOKUP(A35, '2. 2014 Continuity Schedule'!$C$20:$BQ$82, MATCH('2. 2014 Continuity Schedule'!BN$20, '2. 2014 Continuity Schedule'!C$20:BQ$20,0),FALSE)</f>
        <v>-7595.7980630000011</v>
      </c>
      <c r="H35" s="100">
        <f t="shared" si="1"/>
        <v>-1588310.9422519999</v>
      </c>
      <c r="I35" s="100">
        <f>VLOOKUP(A35, '2. 2014 Continuity Schedule'!$C$20:$BQ$82, MATCH('2. 2014 Continuity Schedule'!BP$20, '2. 2014 Continuity Schedule'!C$20:BQ$20,0),FALSE)</f>
        <v>-6474228.04</v>
      </c>
      <c r="J35" s="100">
        <f>VLOOKUP(A35, '2. 2014 Continuity Schedule'!$C$20:$BQ$82, MATCH('2. 2014 Continuity Schedule'!BQ$20, '2. 2014 Continuity Schedule'!C$20:BQ$20,0),FALSE)</f>
        <v>-0.49000000022351742</v>
      </c>
    </row>
    <row r="36" spans="1:10" ht="14.25" x14ac:dyDescent="0.2">
      <c r="A36" s="199" t="s">
        <v>127</v>
      </c>
      <c r="B36" s="197">
        <v>1589</v>
      </c>
      <c r="C36" s="100">
        <f>VLOOKUP(A36, '2. 2014 Continuity Schedule'!$C$20:$BQ$82, MATCH('2. 2014 Continuity Schedule'!BK$20, '2. 2014 Continuity Schedule'!C$20:BQ$20,0),FALSE)</f>
        <v>1610240.3399999994</v>
      </c>
      <c r="D36" s="100">
        <f>VLOOKUP(A36, '2. 2014 Continuity Schedule'!$C$20:$BQ$82, MATCH('2. 2014 Continuity Schedule'!BL$20, '2. 2014 Continuity Schedule'!C$20:BQ$20,0),FALSE)</f>
        <v>-59340.100000000006</v>
      </c>
      <c r="E36" s="100">
        <f t="shared" si="0"/>
        <v>1550900.2399999993</v>
      </c>
      <c r="F36" s="100">
        <f>VLOOKUP(A36, '2. 2014 Continuity Schedule'!$C$20:$BQ$82, MATCH('2. 2014 Continuity Schedule'!BM$20, '2. 2014 Continuity Schedule'!C$20:BQ$20,0),FALSE)</f>
        <v>23670.532997999991</v>
      </c>
      <c r="G36" s="100">
        <f>VLOOKUP(A36, '2. 2014 Continuity Schedule'!$C$20:$BQ$82, MATCH('2. 2014 Continuity Schedule'!BN$20, '2. 2014 Continuity Schedule'!C$20:BQ$20,0),FALSE)</f>
        <v>7890.1776659999969</v>
      </c>
      <c r="H36" s="100">
        <f t="shared" si="1"/>
        <v>1582460.9506639994</v>
      </c>
      <c r="I36" s="100">
        <f>VLOOKUP(A36, '2. 2014 Continuity Schedule'!$C$20:$BQ$82, MATCH('2. 2014 Continuity Schedule'!BP$20, '2. 2014 Continuity Schedule'!C$20:BQ$20,0),FALSE)</f>
        <v>5347179.5199999996</v>
      </c>
      <c r="J36" s="100">
        <f>VLOOKUP(A36, '2. 2014 Continuity Schedule'!$C$20:$BQ$82, MATCH('2. 2014 Continuity Schedule'!BQ$20, '2. 2014 Continuity Schedule'!C$20:BQ$20,0),FALSE)</f>
        <v>0.15000000037252903</v>
      </c>
    </row>
    <row r="37" spans="1:10" ht="28.5" x14ac:dyDescent="0.2">
      <c r="A37" s="200" t="s">
        <v>48</v>
      </c>
      <c r="B37" s="201">
        <v>1592</v>
      </c>
      <c r="C37" s="100">
        <f>VLOOKUP(A37, '2. 2014 Continuity Schedule'!$C$20:$BQ$82, MATCH('2. 2014 Continuity Schedule'!BK$20, '2. 2014 Continuity Schedule'!C$20:BQ$20,0),FALSE)</f>
        <v>0</v>
      </c>
      <c r="D37" s="100">
        <f>VLOOKUP(A37, '2. 2014 Continuity Schedule'!$C$20:$BQ$82, MATCH('2. 2014 Continuity Schedule'!BL$20, '2. 2014 Continuity Schedule'!C$20:BQ$20,0),FALSE)</f>
        <v>0</v>
      </c>
      <c r="E37" s="100">
        <f t="shared" si="0"/>
        <v>0</v>
      </c>
      <c r="F37" s="100">
        <f>VLOOKUP(A37, '2. 2014 Continuity Schedule'!$C$20:$BQ$82, MATCH('2. 2014 Continuity Schedule'!BM$20, '2. 2014 Continuity Schedule'!C$20:BQ$20,0),FALSE)</f>
        <v>0</v>
      </c>
      <c r="G37" s="100">
        <f>VLOOKUP(A37, '2. 2014 Continuity Schedule'!$C$20:$BQ$82, MATCH('2. 2014 Continuity Schedule'!BN$20, '2. 2014 Continuity Schedule'!C$20:BQ$20,0),FALSE)</f>
        <v>0</v>
      </c>
      <c r="H37" s="100">
        <f t="shared" si="1"/>
        <v>0</v>
      </c>
      <c r="I37" s="100">
        <f>VLOOKUP(A37, '2. 2014 Continuity Schedule'!$C$20:$BQ$82, MATCH('2. 2014 Continuity Schedule'!BP$20, '2. 2014 Continuity Schedule'!C$20:BQ$20,0),FALSE)</f>
        <v>0</v>
      </c>
      <c r="J37" s="100">
        <f>VLOOKUP(A37, '2. 2014 Continuity Schedule'!$C$20:$BQ$82, MATCH('2. 2014 Continuity Schedule'!BQ$20, '2. 2014 Continuity Schedule'!C$20:BQ$20,0),FALSE)</f>
        <v>0</v>
      </c>
    </row>
    <row r="38" spans="1:10" ht="28.5" x14ac:dyDescent="0.2">
      <c r="A38" s="200" t="s">
        <v>47</v>
      </c>
      <c r="B38" s="201">
        <v>1592</v>
      </c>
      <c r="C38" s="100">
        <f>VLOOKUP(A38, '2. 2014 Continuity Schedule'!$C$20:$BQ$82, MATCH('2. 2014 Continuity Schedule'!BK$20, '2. 2014 Continuity Schedule'!C$20:BQ$20,0),FALSE)</f>
        <v>-61837.549999999996</v>
      </c>
      <c r="D38" s="100">
        <f>VLOOKUP(A38, '2. 2014 Continuity Schedule'!$C$20:$BQ$82, MATCH('2. 2014 Continuity Schedule'!BL$20, '2. 2014 Continuity Schedule'!C$20:BQ$20,0),FALSE)</f>
        <v>0</v>
      </c>
      <c r="E38" s="100">
        <f t="shared" si="0"/>
        <v>-61837.549999999996</v>
      </c>
      <c r="F38" s="100">
        <f>VLOOKUP(A38, '2. 2014 Continuity Schedule'!$C$20:$BQ$82, MATCH('2. 2014 Continuity Schedule'!BM$20, '2. 2014 Continuity Schedule'!C$20:BQ$20,0),FALSE)</f>
        <v>-909.01198499999987</v>
      </c>
      <c r="G38" s="100">
        <f>VLOOKUP(A38, '2. 2014 Continuity Schedule'!$C$20:$BQ$82, MATCH('2. 2014 Continuity Schedule'!BN$20, '2. 2014 Continuity Schedule'!C$20:BQ$20,0),FALSE)</f>
        <v>-303.00399499999997</v>
      </c>
      <c r="H38" s="100">
        <f t="shared" si="1"/>
        <v>-63049.565979999992</v>
      </c>
      <c r="I38" s="100">
        <f>VLOOKUP(A38, '2. 2014 Continuity Schedule'!$C$20:$BQ$82, MATCH('2. 2014 Continuity Schedule'!BP$20, '2. 2014 Continuity Schedule'!C$20:BQ$20,0),FALSE)</f>
        <v>0</v>
      </c>
      <c r="J38" s="100">
        <f>VLOOKUP(A38, '2. 2014 Continuity Schedule'!$C$20:$BQ$82, MATCH('2. 2014 Continuity Schedule'!BQ$20, '2. 2014 Continuity Schedule'!C$20:BQ$20,0),FALSE)</f>
        <v>61837.549999999996</v>
      </c>
    </row>
    <row r="39" spans="1:10" ht="16.5" x14ac:dyDescent="0.2">
      <c r="A39" s="202" t="s">
        <v>70</v>
      </c>
      <c r="B39" s="197">
        <v>1595</v>
      </c>
      <c r="C39" s="100" t="e">
        <f>VLOOKUP(A39, '2. 2014 Continuity Schedule'!$C$20:$BQ$82, MATCH('2. 2014 Continuity Schedule'!BK$20, '2. 2014 Continuity Schedule'!C$20:BQ$20,0),FALSE)</f>
        <v>#N/A</v>
      </c>
      <c r="D39" s="100" t="e">
        <f>VLOOKUP(A39, '2. 2014 Continuity Schedule'!$C$20:$BQ$82, MATCH('2. 2014 Continuity Schedule'!BL$20, '2. 2014 Continuity Schedule'!C$20:BQ$20,0),FALSE)</f>
        <v>#N/A</v>
      </c>
      <c r="E39" s="100" t="e">
        <f t="shared" si="0"/>
        <v>#N/A</v>
      </c>
      <c r="F39" s="100" t="e">
        <f>VLOOKUP(A39, '2. 2014 Continuity Schedule'!$C$20:$BQ$82, MATCH('2. 2014 Continuity Schedule'!BM$20, '2. 2014 Continuity Schedule'!C$20:BQ$20,0),FALSE)</f>
        <v>#N/A</v>
      </c>
      <c r="G39" s="100" t="e">
        <f>VLOOKUP(A39, '2. 2014 Continuity Schedule'!$C$20:$BQ$82, MATCH('2. 2014 Continuity Schedule'!BN$20, '2. 2014 Continuity Schedule'!C$20:BQ$20,0),FALSE)</f>
        <v>#N/A</v>
      </c>
      <c r="H39" s="100" t="e">
        <f t="shared" si="1"/>
        <v>#N/A</v>
      </c>
      <c r="I39" s="100" t="e">
        <f>VLOOKUP(A39, '2. 2014 Continuity Schedule'!$C$20:$BQ$82, MATCH('2. 2014 Continuity Schedule'!BP$20, '2. 2014 Continuity Schedule'!C$20:BQ$20,0),FALSE)</f>
        <v>#N/A</v>
      </c>
      <c r="J39" s="100" t="e">
        <f>VLOOKUP(A39, '2. 2014 Continuity Schedule'!$C$20:$BQ$82, MATCH('2. 2014 Continuity Schedule'!BQ$20, '2. 2014 Continuity Schedule'!C$20:BQ$20,0),FALSE)</f>
        <v>#N/A</v>
      </c>
    </row>
    <row r="40" spans="1:10" ht="16.5" x14ac:dyDescent="0.2">
      <c r="A40" s="202" t="s">
        <v>71</v>
      </c>
      <c r="B40" s="197">
        <v>1595</v>
      </c>
      <c r="C40" s="100" t="e">
        <f>VLOOKUP(A40, '2. 2014 Continuity Schedule'!$C$20:$BQ$82, MATCH('2. 2014 Continuity Schedule'!BK$20, '2. 2014 Continuity Schedule'!C$20:BQ$20,0),FALSE)</f>
        <v>#N/A</v>
      </c>
      <c r="D40" s="100" t="e">
        <f>VLOOKUP(A40, '2. 2014 Continuity Schedule'!$C$20:$BQ$82, MATCH('2. 2014 Continuity Schedule'!BL$20, '2. 2014 Continuity Schedule'!C$20:BQ$20,0),FALSE)</f>
        <v>#N/A</v>
      </c>
      <c r="E40" s="100" t="e">
        <f t="shared" si="0"/>
        <v>#N/A</v>
      </c>
      <c r="F40" s="100" t="e">
        <f>VLOOKUP(A40, '2. 2014 Continuity Schedule'!$C$20:$BQ$82, MATCH('2. 2014 Continuity Schedule'!BM$20, '2. 2014 Continuity Schedule'!C$20:BQ$20,0),FALSE)</f>
        <v>#N/A</v>
      </c>
      <c r="G40" s="100" t="e">
        <f>VLOOKUP(A40, '2. 2014 Continuity Schedule'!$C$20:$BQ$82, MATCH('2. 2014 Continuity Schedule'!BN$20, '2. 2014 Continuity Schedule'!C$20:BQ$20,0),FALSE)</f>
        <v>#N/A</v>
      </c>
      <c r="H40" s="100" t="e">
        <f t="shared" si="1"/>
        <v>#N/A</v>
      </c>
      <c r="I40" s="100" t="e">
        <f>VLOOKUP(A40, '2. 2014 Continuity Schedule'!$C$20:$BQ$82, MATCH('2. 2014 Continuity Schedule'!BP$20, '2. 2014 Continuity Schedule'!C$20:BQ$20,0),FALSE)</f>
        <v>#N/A</v>
      </c>
      <c r="J40" s="100" t="e">
        <f>VLOOKUP(A40, '2. 2014 Continuity Schedule'!$C$20:$BQ$82, MATCH('2. 2014 Continuity Schedule'!BQ$20, '2. 2014 Continuity Schedule'!C$20:BQ$20,0),FALSE)</f>
        <v>#N/A</v>
      </c>
    </row>
    <row r="41" spans="1:10" ht="16.5" x14ac:dyDescent="0.2">
      <c r="A41" s="202" t="s">
        <v>72</v>
      </c>
      <c r="B41" s="197">
        <v>1595</v>
      </c>
      <c r="C41" s="100" t="e">
        <f>VLOOKUP(A41, '2. 2014 Continuity Schedule'!$C$20:$BQ$82, MATCH('2. 2014 Continuity Schedule'!BK$20, '2. 2014 Continuity Schedule'!C$20:BQ$20,0),FALSE)</f>
        <v>#N/A</v>
      </c>
      <c r="D41" s="100" t="e">
        <f>VLOOKUP(A41, '2. 2014 Continuity Schedule'!$C$20:$BQ$82, MATCH('2. 2014 Continuity Schedule'!BL$20, '2. 2014 Continuity Schedule'!C$20:BQ$20,0),FALSE)</f>
        <v>#N/A</v>
      </c>
      <c r="E41" s="100" t="e">
        <f t="shared" si="0"/>
        <v>#N/A</v>
      </c>
      <c r="F41" s="100" t="e">
        <f>VLOOKUP(A41, '2. 2014 Continuity Schedule'!$C$20:$BQ$82, MATCH('2. 2014 Continuity Schedule'!BM$20, '2. 2014 Continuity Schedule'!C$20:BQ$20,0),FALSE)</f>
        <v>#N/A</v>
      </c>
      <c r="G41" s="100" t="e">
        <f>VLOOKUP(A41, '2. 2014 Continuity Schedule'!$C$20:$BQ$82, MATCH('2. 2014 Continuity Schedule'!BN$20, '2. 2014 Continuity Schedule'!C$20:BQ$20,0),FALSE)</f>
        <v>#N/A</v>
      </c>
      <c r="H41" s="100" t="e">
        <f t="shared" si="1"/>
        <v>#N/A</v>
      </c>
      <c r="I41" s="100" t="e">
        <f>VLOOKUP(A41, '2. 2014 Continuity Schedule'!$C$20:$BQ$82, MATCH('2. 2014 Continuity Schedule'!BP$20, '2. 2014 Continuity Schedule'!C$20:BQ$20,0),FALSE)</f>
        <v>#N/A</v>
      </c>
      <c r="J41" s="100" t="e">
        <f>VLOOKUP(A41, '2. 2014 Continuity Schedule'!$C$20:$BQ$82, MATCH('2. 2014 Continuity Schedule'!BQ$20, '2. 2014 Continuity Schedule'!C$20:BQ$20,0),FALSE)</f>
        <v>#N/A</v>
      </c>
    </row>
    <row r="42" spans="1:10" ht="16.5" x14ac:dyDescent="0.2">
      <c r="A42" s="202" t="s">
        <v>130</v>
      </c>
      <c r="B42" s="197">
        <v>1595</v>
      </c>
      <c r="C42" s="100" t="e">
        <f>VLOOKUP(A42, '2. 2014 Continuity Schedule'!$C$20:$BQ$82, MATCH('2. 2014 Continuity Schedule'!BK$20, '2. 2014 Continuity Schedule'!C$20:BQ$20,0),FALSE)</f>
        <v>#N/A</v>
      </c>
      <c r="D42" s="100" t="e">
        <f>VLOOKUP(A42, '2. 2014 Continuity Schedule'!$C$20:$BQ$82, MATCH('2. 2014 Continuity Schedule'!BL$20, '2. 2014 Continuity Schedule'!C$20:BQ$20,0),FALSE)</f>
        <v>#N/A</v>
      </c>
      <c r="E42" s="100" t="e">
        <f t="shared" si="0"/>
        <v>#N/A</v>
      </c>
      <c r="F42" s="100" t="e">
        <f>VLOOKUP(A42, '2. 2014 Continuity Schedule'!$C$20:$BQ$82, MATCH('2. 2014 Continuity Schedule'!BM$20, '2. 2014 Continuity Schedule'!C$20:BQ$20,0),FALSE)</f>
        <v>#N/A</v>
      </c>
      <c r="G42" s="100" t="e">
        <f>VLOOKUP(A42, '2. 2014 Continuity Schedule'!$C$20:$BQ$82, MATCH('2. 2014 Continuity Schedule'!BN$20, '2. 2014 Continuity Schedule'!C$20:BQ$20,0),FALSE)</f>
        <v>#N/A</v>
      </c>
      <c r="H42" s="100" t="e">
        <f t="shared" si="1"/>
        <v>#N/A</v>
      </c>
      <c r="I42" s="100" t="e">
        <f>VLOOKUP(A42, '2. 2014 Continuity Schedule'!$C$20:$BQ$82, MATCH('2. 2014 Continuity Schedule'!BP$20, '2. 2014 Continuity Schedule'!C$20:BQ$20,0),FALSE)</f>
        <v>#N/A</v>
      </c>
      <c r="J42" s="100" t="e">
        <f>VLOOKUP(A42, '2. 2014 Continuity Schedule'!$C$20:$BQ$82, MATCH('2. 2014 Continuity Schedule'!BQ$20, '2. 2014 Continuity Schedule'!C$20:BQ$20,0),FALSE)</f>
        <v>#N/A</v>
      </c>
    </row>
    <row r="43" spans="1:10" ht="16.5" x14ac:dyDescent="0.2">
      <c r="A43" s="202" t="s">
        <v>243</v>
      </c>
      <c r="B43" s="197">
        <v>1595</v>
      </c>
      <c r="C43" s="100" t="e">
        <f>VLOOKUP(A43, '2. 2014 Continuity Schedule'!$C$20:$BQ$82, MATCH('2. 2014 Continuity Schedule'!BK$20, '2. 2014 Continuity Schedule'!C$20:BQ$20,0),FALSE)</f>
        <v>#N/A</v>
      </c>
      <c r="D43" s="100" t="e">
        <f>VLOOKUP(A43, '2. 2014 Continuity Schedule'!$C$20:$BQ$82, MATCH('2. 2014 Continuity Schedule'!BL$20, '2. 2014 Continuity Schedule'!C$20:BQ$20,0),FALSE)</f>
        <v>#N/A</v>
      </c>
      <c r="E43" s="100" t="e">
        <f t="shared" si="0"/>
        <v>#N/A</v>
      </c>
      <c r="F43" s="100" t="e">
        <f>VLOOKUP(A43, '2. 2014 Continuity Schedule'!$C$20:$BQ$82, MATCH('2. 2014 Continuity Schedule'!BM$20, '2. 2014 Continuity Schedule'!C$20:BQ$20,0),FALSE)</f>
        <v>#N/A</v>
      </c>
      <c r="G43" s="100" t="e">
        <f>VLOOKUP(A43, '2. 2014 Continuity Schedule'!$C$20:$BQ$82, MATCH('2. 2014 Continuity Schedule'!BN$20, '2. 2014 Continuity Schedule'!C$20:BQ$20,0),FALSE)</f>
        <v>#N/A</v>
      </c>
      <c r="H43" s="100" t="e">
        <f t="shared" si="1"/>
        <v>#N/A</v>
      </c>
      <c r="I43" s="100" t="e">
        <f>VLOOKUP(A43, '2. 2014 Continuity Schedule'!$C$20:$BQ$82, MATCH('2. 2014 Continuity Schedule'!BP$20, '2. 2014 Continuity Schedule'!C$20:BQ$20,0),FALSE)</f>
        <v>#N/A</v>
      </c>
      <c r="J43" s="100" t="e">
        <f>VLOOKUP(A43, '2. 2014 Continuity Schedule'!$C$20:$BQ$82, MATCH('2. 2014 Continuity Schedule'!BQ$20, '2. 2014 Continuity Schedule'!C$20:BQ$20,0),FALSE)</f>
        <v>#N/A</v>
      </c>
    </row>
    <row r="44" spans="1:10" ht="14.25" x14ac:dyDescent="0.2">
      <c r="A44" s="196" t="s">
        <v>7</v>
      </c>
      <c r="B44" s="197">
        <v>2425</v>
      </c>
      <c r="C44" s="100">
        <f>VLOOKUP(A44, '2. 2014 Continuity Schedule'!$C$20:$BQ$82, MATCH('2. 2014 Continuity Schedule'!BK$20, '2. 2014 Continuity Schedule'!C$20:BQ$20,0),FALSE)</f>
        <v>0</v>
      </c>
      <c r="D44" s="100">
        <f>VLOOKUP(A44, '2. 2014 Continuity Schedule'!$C$20:$BQ$82, MATCH('2. 2014 Continuity Schedule'!BL$20, '2. 2014 Continuity Schedule'!C$20:BQ$20,0),FALSE)</f>
        <v>0</v>
      </c>
      <c r="E44" s="100">
        <f t="shared" si="0"/>
        <v>0</v>
      </c>
      <c r="F44" s="100">
        <f>VLOOKUP(A44, '2. 2014 Continuity Schedule'!$C$20:$BQ$82, MATCH('2. 2014 Continuity Schedule'!BM$20, '2. 2014 Continuity Schedule'!C$20:BQ$20,0),FALSE)</f>
        <v>0</v>
      </c>
      <c r="G44" s="100">
        <f>VLOOKUP(A44, '2. 2014 Continuity Schedule'!$C$20:$BQ$82, MATCH('2. 2014 Continuity Schedule'!BN$20, '2. 2014 Continuity Schedule'!C$20:BQ$20,0),FALSE)</f>
        <v>0</v>
      </c>
      <c r="H44" s="100">
        <f t="shared" si="1"/>
        <v>0</v>
      </c>
      <c r="I44" s="100">
        <f>VLOOKUP(A44, '2. 2014 Continuity Schedule'!$C$20:$BQ$82, MATCH('2. 2014 Continuity Schedule'!BP$20, '2. 2014 Continuity Schedule'!C$20:BQ$20,0),FALSE)</f>
        <v>0</v>
      </c>
      <c r="J44" s="100">
        <f>VLOOKUP(A44, '2. 2014 Continuity Schedule'!$C$20:$BQ$82, MATCH('2. 2014 Continuity Schedule'!BQ$20, '2. 2014 Continuity Schedule'!C$20:BQ$20,0),FALSE)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5"/>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8"/>
      <c r="B58" s="59"/>
    </row>
    <row r="59" spans="1:2" ht="15" x14ac:dyDescent="0.25">
      <c r="A59" s="58"/>
      <c r="B59" s="59"/>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1. Information Sheet</vt:lpstr>
      <vt:lpstr>2. 2014 Continuity Schedule</vt:lpstr>
      <vt:lpstr>3. Appendix A</vt:lpstr>
      <vt:lpstr>4. Billing Determinants</vt:lpstr>
      <vt:lpstr>5. Allocation of Balances</vt:lpstr>
      <vt:lpstr>6. Rate Rider Calculations</vt:lpstr>
      <vt:lpstr>Summary Sheet</vt:lpstr>
      <vt:lpstr>Sheet1</vt:lpstr>
      <vt:lpstr>'1. Information Sheet'!Print_Area</vt:lpstr>
      <vt:lpstr>'2. 2014 Continuity Schedule'!Print_Area</vt:lpstr>
      <vt:lpstr>'3. Appendix A'!Print_Area</vt:lpstr>
      <vt:lpstr>'2. 2014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Paul Blythin</cp:lastModifiedBy>
  <cp:lastPrinted>2014-08-25T17:37:41Z</cp:lastPrinted>
  <dcterms:created xsi:type="dcterms:W3CDTF">2005-04-25T20:13:02Z</dcterms:created>
  <dcterms:modified xsi:type="dcterms:W3CDTF">2014-12-22T16:09:19Z</dcterms:modified>
</cp:coreProperties>
</file>