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bookViews>
    <workbookView xWindow="12480" yWindow="-15" windowWidth="12765" windowHeight="6795" tabRatio="699"/>
  </bookViews>
  <sheets>
    <sheet name="1. Information Sheet" sheetId="15" r:id="rId1"/>
    <sheet name="2. 2014 Continuity Schedule" sheetId="2" r:id="rId2"/>
    <sheet name="3. Appendix A" sheetId="11" r:id="rId3"/>
    <sheet name="4. Billing Determinants" sheetId="12" r:id="rId4"/>
    <sheet name="5. Allocation of Balances" sheetId="13" r:id="rId5"/>
    <sheet name="6. Rate Rider Calculations" sheetId="14" r:id="rId6"/>
    <sheet name="Summary Sheet" sheetId="16" state="hidden" r:id="rId7"/>
    <sheet name="Sheet1" sheetId="17" r:id="rId8"/>
  </sheets>
  <externalReferences>
    <externalReference r:id="rId9"/>
    <externalReference r:id="rId10"/>
    <externalReference r:id="rId11"/>
  </externalReferences>
  <definedNames>
    <definedName name="contactf" localSheetId="0">#REF!</definedName>
    <definedName name="contactf">#REF!</definedName>
    <definedName name="histdate">[1]Financials!$E$76</definedName>
    <definedName name="Incr2000" localSheetId="0">#REF!</definedName>
    <definedName name="Incr2000">#REF!</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'1. Information Sheet'!$A$1:$O$40</definedName>
    <definedName name="_xlnm.Print_Area" localSheetId="1">'2. 2014 Continuity Schedule'!$A$1:$BQ$83</definedName>
    <definedName name="_xlnm.Print_Area" localSheetId="2">'3. Appendix A'!$B$1:$F$66</definedName>
    <definedName name="print_end" localSheetId="0">#REF!</definedName>
    <definedName name="print_end">#REF!</definedName>
    <definedName name="_xlnm.Print_Titles" localSheetId="1">'2. 2014 Continuity Schedule'!$C:$D,'2. 2014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[2]hidden1!$J$3:$J$8</definedName>
    <definedName name="Utility">[1]Financials!$A$1</definedName>
    <definedName name="utitliy1">[3]Financials!$A$1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calcChain.xml><?xml version="1.0" encoding="utf-8"?>
<calcChain xmlns="http://schemas.openxmlformats.org/spreadsheetml/2006/main">
  <c r="BI79" i="2" l="1"/>
  <c r="BJ79" i="2"/>
  <c r="BJ76" i="2"/>
  <c r="BI76" i="2"/>
  <c r="BJ34" i="2" l="1"/>
  <c r="BI34" i="2"/>
  <c r="BE34" i="2"/>
  <c r="BP43" i="2"/>
  <c r="BP42" i="2"/>
  <c r="BN66" i="2"/>
  <c r="BM66" i="2"/>
  <c r="BN53" i="2"/>
  <c r="BM53" i="2"/>
  <c r="BN25" i="2"/>
  <c r="BM25" i="2"/>
  <c r="BJ33" i="2"/>
  <c r="BI33" i="2"/>
  <c r="BI29" i="2"/>
  <c r="AK64" i="2"/>
  <c r="AS64" i="2"/>
  <c r="AR64" i="2"/>
  <c r="BE33" i="2"/>
  <c r="AW79" i="2"/>
  <c r="AW76" i="2"/>
  <c r="AW33" i="2"/>
  <c r="AW29" i="2"/>
  <c r="AJ79" i="2"/>
  <c r="AJ76" i="2"/>
  <c r="AJ64" i="2"/>
  <c r="AE64" i="2"/>
  <c r="AE59" i="2"/>
  <c r="AE43" i="2"/>
  <c r="Z79" i="2"/>
  <c r="Z76" i="2"/>
  <c r="Z66" i="2"/>
  <c r="Z64" i="2"/>
  <c r="AA55" i="2"/>
  <c r="Z55" i="2" s="1"/>
  <c r="AA47" i="2"/>
  <c r="Z47" i="2" s="1"/>
  <c r="U76" i="2"/>
  <c r="P79" i="2"/>
  <c r="P77" i="2"/>
  <c r="P76" i="2"/>
  <c r="P66" i="2"/>
  <c r="K64" i="2"/>
  <c r="H64" i="2"/>
  <c r="N34" i="2" l="1"/>
  <c r="T34" i="2" s="1"/>
  <c r="X34" i="2" s="1"/>
  <c r="AD34" i="2" s="1"/>
  <c r="AH34" i="2" s="1"/>
  <c r="AQ34" i="2" s="1"/>
  <c r="AU34" i="2" s="1"/>
  <c r="BD34" i="2" s="1"/>
  <c r="BH34" i="2" s="1"/>
  <c r="O34" i="2"/>
  <c r="S34" i="2" s="1"/>
  <c r="Y34" i="2" s="1"/>
  <c r="AC34" i="2" s="1"/>
  <c r="AI34" i="2" s="1"/>
  <c r="AP34" i="2" s="1"/>
  <c r="AV34" i="2" s="1"/>
  <c r="BC34" i="2" s="1"/>
  <c r="I34" i="2"/>
  <c r="F4" i="13" l="1"/>
  <c r="L40" i="13"/>
  <c r="L41" i="13"/>
  <c r="L42" i="13"/>
  <c r="L19" i="13"/>
  <c r="L20" i="13"/>
  <c r="L21" i="13"/>
  <c r="L22" i="13"/>
  <c r="L23" i="13"/>
  <c r="L24" i="13"/>
  <c r="L25" i="13"/>
  <c r="L26" i="13"/>
  <c r="L27" i="13"/>
  <c r="L28" i="13"/>
  <c r="L29" i="13"/>
  <c r="L30" i="13"/>
  <c r="L31" i="13"/>
  <c r="L32" i="13"/>
  <c r="L33" i="13"/>
  <c r="L34" i="13"/>
  <c r="L35" i="13"/>
  <c r="L36" i="13"/>
  <c r="L37" i="13"/>
  <c r="L5" i="13"/>
  <c r="L6" i="13"/>
  <c r="L7" i="13"/>
  <c r="L8" i="13"/>
  <c r="L9" i="13"/>
  <c r="L10" i="13"/>
  <c r="L11" i="13"/>
  <c r="L50" i="13" s="1"/>
  <c r="L12" i="13"/>
  <c r="L13" i="13"/>
  <c r="L14" i="13"/>
  <c r="L15" i="13"/>
  <c r="L16" i="13"/>
  <c r="M40" i="13"/>
  <c r="M41" i="13"/>
  <c r="M42" i="13"/>
  <c r="M19" i="13"/>
  <c r="M20" i="13"/>
  <c r="M21" i="13"/>
  <c r="M22" i="13"/>
  <c r="M23" i="13"/>
  <c r="M24" i="13"/>
  <c r="M25" i="13"/>
  <c r="M26" i="13"/>
  <c r="M27" i="13"/>
  <c r="M28" i="13"/>
  <c r="M29" i="13"/>
  <c r="M30" i="13"/>
  <c r="M31" i="13"/>
  <c r="M32" i="13"/>
  <c r="M33" i="13"/>
  <c r="M34" i="13"/>
  <c r="M35" i="13"/>
  <c r="M36" i="13"/>
  <c r="M37" i="13"/>
  <c r="M5" i="13"/>
  <c r="M6" i="13"/>
  <c r="M7" i="13"/>
  <c r="M8" i="13"/>
  <c r="M9" i="13"/>
  <c r="M10" i="13"/>
  <c r="M11" i="13"/>
  <c r="M50" i="13" s="1"/>
  <c r="M12" i="13"/>
  <c r="M13" i="13"/>
  <c r="M14" i="13"/>
  <c r="M15" i="13"/>
  <c r="M16" i="13"/>
  <c r="N40" i="13"/>
  <c r="N41" i="13"/>
  <c r="N42" i="13"/>
  <c r="N19" i="13"/>
  <c r="N20" i="13"/>
  <c r="N21" i="13"/>
  <c r="N22" i="13"/>
  <c r="N23" i="13"/>
  <c r="N24" i="13"/>
  <c r="N25" i="13"/>
  <c r="N26" i="13"/>
  <c r="N27" i="13"/>
  <c r="N28" i="13"/>
  <c r="N29" i="13"/>
  <c r="N30" i="13"/>
  <c r="N31" i="13"/>
  <c r="N32" i="13"/>
  <c r="N33" i="13"/>
  <c r="N34" i="13"/>
  <c r="N35" i="13"/>
  <c r="N36" i="13"/>
  <c r="N37" i="13"/>
  <c r="N5" i="13"/>
  <c r="N6" i="13"/>
  <c r="N7" i="13"/>
  <c r="N8" i="13"/>
  <c r="N9" i="13"/>
  <c r="N10" i="13"/>
  <c r="N11" i="13"/>
  <c r="N50" i="13" s="1"/>
  <c r="N12" i="13"/>
  <c r="N13" i="13"/>
  <c r="N14" i="13"/>
  <c r="N15" i="13"/>
  <c r="N16" i="13"/>
  <c r="O40" i="13"/>
  <c r="O41" i="13"/>
  <c r="O42" i="13"/>
  <c r="O19" i="13"/>
  <c r="O20" i="13"/>
  <c r="O21" i="13"/>
  <c r="O22" i="13"/>
  <c r="O23" i="13"/>
  <c r="O24" i="13"/>
  <c r="O25" i="13"/>
  <c r="O26" i="13"/>
  <c r="O27" i="13"/>
  <c r="O28" i="13"/>
  <c r="O29" i="13"/>
  <c r="O30" i="13"/>
  <c r="O31" i="13"/>
  <c r="O32" i="13"/>
  <c r="O33" i="13"/>
  <c r="O34" i="13"/>
  <c r="O35" i="13"/>
  <c r="O36" i="13"/>
  <c r="O37" i="13"/>
  <c r="O5" i="13"/>
  <c r="O6" i="13"/>
  <c r="O7" i="13"/>
  <c r="O8" i="13"/>
  <c r="O9" i="13"/>
  <c r="O10" i="13"/>
  <c r="O11" i="13"/>
  <c r="O50" i="13" s="1"/>
  <c r="O12" i="13"/>
  <c r="O13" i="13"/>
  <c r="O14" i="13"/>
  <c r="O15" i="13"/>
  <c r="O16" i="13"/>
  <c r="P40" i="13"/>
  <c r="P41" i="13"/>
  <c r="P42" i="13"/>
  <c r="P19" i="13"/>
  <c r="P20" i="13"/>
  <c r="P21" i="13"/>
  <c r="P22" i="13"/>
  <c r="P23" i="13"/>
  <c r="P24" i="13"/>
  <c r="P25" i="13"/>
  <c r="P26" i="13"/>
  <c r="P27" i="13"/>
  <c r="P28" i="13"/>
  <c r="P29" i="13"/>
  <c r="P30" i="13"/>
  <c r="P31" i="13"/>
  <c r="P32" i="13"/>
  <c r="P33" i="13"/>
  <c r="P34" i="13"/>
  <c r="P35" i="13"/>
  <c r="P36" i="13"/>
  <c r="P37" i="13"/>
  <c r="P5" i="13"/>
  <c r="P6" i="13"/>
  <c r="P7" i="13"/>
  <c r="P8" i="13"/>
  <c r="P9" i="13"/>
  <c r="P10" i="13"/>
  <c r="P11" i="13"/>
  <c r="P50" i="13" s="1"/>
  <c r="P12" i="13"/>
  <c r="P13" i="13"/>
  <c r="P14" i="13"/>
  <c r="P15" i="13"/>
  <c r="P16" i="13"/>
  <c r="Q40" i="13"/>
  <c r="Q41" i="13"/>
  <c r="Q42" i="13"/>
  <c r="Q19" i="13"/>
  <c r="Q20" i="13"/>
  <c r="Q21" i="13"/>
  <c r="Q22" i="13"/>
  <c r="Q23" i="13"/>
  <c r="Q24" i="13"/>
  <c r="Q25" i="13"/>
  <c r="Q26" i="13"/>
  <c r="Q27" i="13"/>
  <c r="Q28" i="13"/>
  <c r="Q29" i="13"/>
  <c r="Q30" i="13"/>
  <c r="Q31" i="13"/>
  <c r="Q32" i="13"/>
  <c r="Q33" i="13"/>
  <c r="Q34" i="13"/>
  <c r="Q35" i="13"/>
  <c r="Q36" i="13"/>
  <c r="Q37" i="13"/>
  <c r="Q5" i="13"/>
  <c r="Q6" i="13"/>
  <c r="Q7" i="13"/>
  <c r="Q8" i="13"/>
  <c r="Q9" i="13"/>
  <c r="Q10" i="13"/>
  <c r="Q11" i="13"/>
  <c r="Q50" i="13" s="1"/>
  <c r="Q12" i="13"/>
  <c r="Q13" i="13"/>
  <c r="Q14" i="13"/>
  <c r="Q15" i="13"/>
  <c r="Q16" i="13"/>
  <c r="R40" i="13"/>
  <c r="R41" i="13"/>
  <c r="R42" i="13"/>
  <c r="R19" i="13"/>
  <c r="R20" i="13"/>
  <c r="R21" i="13"/>
  <c r="R22" i="13"/>
  <c r="R23" i="13"/>
  <c r="R24" i="13"/>
  <c r="R25" i="13"/>
  <c r="R26" i="13"/>
  <c r="R27" i="13"/>
  <c r="R28" i="13"/>
  <c r="R29" i="13"/>
  <c r="R30" i="13"/>
  <c r="R31" i="13"/>
  <c r="R32" i="13"/>
  <c r="R33" i="13"/>
  <c r="R34" i="13"/>
  <c r="R35" i="13"/>
  <c r="R36" i="13"/>
  <c r="R37" i="13"/>
  <c r="R5" i="13"/>
  <c r="R6" i="13"/>
  <c r="R7" i="13"/>
  <c r="R8" i="13"/>
  <c r="R9" i="13"/>
  <c r="R10" i="13"/>
  <c r="R11" i="13"/>
  <c r="R50" i="13" s="1"/>
  <c r="R12" i="13"/>
  <c r="R13" i="13"/>
  <c r="R14" i="13"/>
  <c r="R15" i="13"/>
  <c r="R16" i="13"/>
  <c r="S40" i="13"/>
  <c r="S41" i="13"/>
  <c r="S42" i="13"/>
  <c r="S19" i="13"/>
  <c r="S20" i="13"/>
  <c r="S21" i="13"/>
  <c r="S22" i="13"/>
  <c r="S23" i="13"/>
  <c r="S24" i="13"/>
  <c r="S25" i="13"/>
  <c r="S26" i="13"/>
  <c r="S27" i="13"/>
  <c r="S28" i="13"/>
  <c r="S29" i="13"/>
  <c r="S30" i="13"/>
  <c r="S31" i="13"/>
  <c r="S32" i="13"/>
  <c r="S33" i="13"/>
  <c r="S34" i="13"/>
  <c r="S35" i="13"/>
  <c r="S36" i="13"/>
  <c r="S37" i="13"/>
  <c r="S5" i="13"/>
  <c r="S6" i="13"/>
  <c r="S7" i="13"/>
  <c r="S8" i="13"/>
  <c r="S9" i="13"/>
  <c r="S10" i="13"/>
  <c r="S11" i="13"/>
  <c r="S50" i="13" s="1"/>
  <c r="S12" i="13"/>
  <c r="S13" i="13"/>
  <c r="S14" i="13"/>
  <c r="S15" i="13"/>
  <c r="S16" i="13"/>
  <c r="T40" i="13"/>
  <c r="T41" i="13"/>
  <c r="T42" i="13"/>
  <c r="T19" i="13"/>
  <c r="T20" i="13"/>
  <c r="T21" i="13"/>
  <c r="T22" i="13"/>
  <c r="T23" i="13"/>
  <c r="T24" i="13"/>
  <c r="T25" i="13"/>
  <c r="T26" i="13"/>
  <c r="T27" i="13"/>
  <c r="T28" i="13"/>
  <c r="T29" i="13"/>
  <c r="T30" i="13"/>
  <c r="T31" i="13"/>
  <c r="T32" i="13"/>
  <c r="T33" i="13"/>
  <c r="T34" i="13"/>
  <c r="T35" i="13"/>
  <c r="T36" i="13"/>
  <c r="T37" i="13"/>
  <c r="T5" i="13"/>
  <c r="T6" i="13"/>
  <c r="T7" i="13"/>
  <c r="T8" i="13"/>
  <c r="T9" i="13"/>
  <c r="T10" i="13"/>
  <c r="T11" i="13"/>
  <c r="T50" i="13" s="1"/>
  <c r="T12" i="13"/>
  <c r="T13" i="13"/>
  <c r="T14" i="13"/>
  <c r="T15" i="13"/>
  <c r="T16" i="13"/>
  <c r="U40" i="13"/>
  <c r="U41" i="13"/>
  <c r="U42" i="13"/>
  <c r="U19" i="13"/>
  <c r="U20" i="13"/>
  <c r="U21" i="13"/>
  <c r="U22" i="13"/>
  <c r="U23" i="13"/>
  <c r="U24" i="13"/>
  <c r="U25" i="13"/>
  <c r="U26" i="13"/>
  <c r="U27" i="13"/>
  <c r="U28" i="13"/>
  <c r="U29" i="13"/>
  <c r="U30" i="13"/>
  <c r="U31" i="13"/>
  <c r="U32" i="13"/>
  <c r="U33" i="13"/>
  <c r="U34" i="13"/>
  <c r="U35" i="13"/>
  <c r="U36" i="13"/>
  <c r="U37" i="13"/>
  <c r="U5" i="13"/>
  <c r="U6" i="13"/>
  <c r="U7" i="13"/>
  <c r="U8" i="13"/>
  <c r="U9" i="13"/>
  <c r="U10" i="13"/>
  <c r="U11" i="13"/>
  <c r="U50" i="13" s="1"/>
  <c r="U12" i="13"/>
  <c r="U13" i="13"/>
  <c r="U14" i="13"/>
  <c r="U15" i="13"/>
  <c r="U16" i="13"/>
  <c r="V40" i="13"/>
  <c r="V41" i="13"/>
  <c r="V42" i="13"/>
  <c r="V19" i="13"/>
  <c r="V20" i="13"/>
  <c r="V21" i="13"/>
  <c r="V22" i="13"/>
  <c r="V23" i="13"/>
  <c r="V24" i="13"/>
  <c r="V25" i="13"/>
  <c r="V26" i="13"/>
  <c r="V27" i="13"/>
  <c r="V28" i="13"/>
  <c r="V29" i="13"/>
  <c r="V30" i="13"/>
  <c r="V31" i="13"/>
  <c r="V32" i="13"/>
  <c r="V33" i="13"/>
  <c r="V34" i="13"/>
  <c r="V35" i="13"/>
  <c r="V36" i="13"/>
  <c r="V37" i="13"/>
  <c r="V5" i="13"/>
  <c r="V6" i="13"/>
  <c r="V7" i="13"/>
  <c r="V8" i="13"/>
  <c r="V9" i="13"/>
  <c r="V10" i="13"/>
  <c r="V11" i="13"/>
  <c r="V50" i="13" s="1"/>
  <c r="V12" i="13"/>
  <c r="V13" i="13"/>
  <c r="V14" i="13"/>
  <c r="V15" i="13"/>
  <c r="V16" i="13"/>
  <c r="W40" i="13"/>
  <c r="W41" i="13"/>
  <c r="W42" i="13"/>
  <c r="W19" i="13"/>
  <c r="W20" i="13"/>
  <c r="W21" i="13"/>
  <c r="W22" i="13"/>
  <c r="W23" i="13"/>
  <c r="W24" i="13"/>
  <c r="W25" i="13"/>
  <c r="W26" i="13"/>
  <c r="W27" i="13"/>
  <c r="W28" i="13"/>
  <c r="W29" i="13"/>
  <c r="W30" i="13"/>
  <c r="W31" i="13"/>
  <c r="W32" i="13"/>
  <c r="W33" i="13"/>
  <c r="W34" i="13"/>
  <c r="W35" i="13"/>
  <c r="W36" i="13"/>
  <c r="W37" i="13"/>
  <c r="W5" i="13"/>
  <c r="W6" i="13"/>
  <c r="W7" i="13"/>
  <c r="W8" i="13"/>
  <c r="W9" i="13"/>
  <c r="W10" i="13"/>
  <c r="W11" i="13"/>
  <c r="W50" i="13" s="1"/>
  <c r="W12" i="13"/>
  <c r="W13" i="13"/>
  <c r="W14" i="13"/>
  <c r="W15" i="13"/>
  <c r="W16" i="13"/>
  <c r="X40" i="13"/>
  <c r="X41" i="13"/>
  <c r="X42" i="13"/>
  <c r="X19" i="13"/>
  <c r="X20" i="13"/>
  <c r="X21" i="13"/>
  <c r="X22" i="13"/>
  <c r="X23" i="13"/>
  <c r="X24" i="13"/>
  <c r="X25" i="13"/>
  <c r="X26" i="13"/>
  <c r="X27" i="13"/>
  <c r="X28" i="13"/>
  <c r="X29" i="13"/>
  <c r="X30" i="13"/>
  <c r="X31" i="13"/>
  <c r="X32" i="13"/>
  <c r="X33" i="13"/>
  <c r="X34" i="13"/>
  <c r="X35" i="13"/>
  <c r="X36" i="13"/>
  <c r="X37" i="13"/>
  <c r="X5" i="13"/>
  <c r="X6" i="13"/>
  <c r="X7" i="13"/>
  <c r="X8" i="13"/>
  <c r="X9" i="13"/>
  <c r="X10" i="13"/>
  <c r="X11" i="13"/>
  <c r="X50" i="13" s="1"/>
  <c r="X12" i="13"/>
  <c r="X13" i="13"/>
  <c r="X14" i="13"/>
  <c r="X15" i="13"/>
  <c r="X16" i="13"/>
  <c r="Y40" i="13"/>
  <c r="Y41" i="13"/>
  <c r="Y42" i="13"/>
  <c r="Y19" i="13"/>
  <c r="Y20" i="13"/>
  <c r="Y21" i="13"/>
  <c r="Y22" i="13"/>
  <c r="Y23" i="13"/>
  <c r="Y24" i="13"/>
  <c r="Y25" i="13"/>
  <c r="Y26" i="13"/>
  <c r="Y27" i="13"/>
  <c r="Y28" i="13"/>
  <c r="Y29" i="13"/>
  <c r="Y30" i="13"/>
  <c r="Y31" i="13"/>
  <c r="Y32" i="13"/>
  <c r="Y33" i="13"/>
  <c r="Y34" i="13"/>
  <c r="Y35" i="13"/>
  <c r="Y36" i="13"/>
  <c r="Y37" i="13"/>
  <c r="Y5" i="13"/>
  <c r="Y6" i="13"/>
  <c r="Y7" i="13"/>
  <c r="Y8" i="13"/>
  <c r="Y9" i="13"/>
  <c r="Y10" i="13"/>
  <c r="Y11" i="13"/>
  <c r="Y50" i="13" s="1"/>
  <c r="Y12" i="13"/>
  <c r="Y13" i="13"/>
  <c r="Y14" i="13"/>
  <c r="Y15" i="13"/>
  <c r="Y16" i="13"/>
  <c r="D41" i="12"/>
  <c r="F26" i="13" s="1"/>
  <c r="F23" i="13"/>
  <c r="F31" i="13"/>
  <c r="I24" i="2"/>
  <c r="O24" i="2"/>
  <c r="S24" i="2"/>
  <c r="Y24" i="2" s="1"/>
  <c r="AC24" i="2" s="1"/>
  <c r="AI24" i="2" s="1"/>
  <c r="AP24" i="2" s="1"/>
  <c r="AV24" i="2" s="1"/>
  <c r="BC24" i="2" s="1"/>
  <c r="B20" i="14"/>
  <c r="B103" i="14" s="1"/>
  <c r="E103" i="14" s="1"/>
  <c r="F103" i="14" s="1"/>
  <c r="B109" i="14"/>
  <c r="B110" i="14"/>
  <c r="B111" i="14"/>
  <c r="B112" i="14"/>
  <c r="B113" i="14"/>
  <c r="B114" i="14"/>
  <c r="B115" i="14"/>
  <c r="B116" i="14"/>
  <c r="B117" i="14"/>
  <c r="B118" i="14"/>
  <c r="B119" i="14"/>
  <c r="B120" i="14"/>
  <c r="B121" i="14"/>
  <c r="B122" i="14"/>
  <c r="D122" i="14"/>
  <c r="D121" i="14"/>
  <c r="D120" i="14"/>
  <c r="D119" i="14"/>
  <c r="D118" i="14"/>
  <c r="D117" i="14"/>
  <c r="D116" i="14"/>
  <c r="D115" i="14"/>
  <c r="D114" i="14"/>
  <c r="D113" i="14"/>
  <c r="D112" i="14"/>
  <c r="D111" i="14"/>
  <c r="D110" i="14"/>
  <c r="D109" i="14"/>
  <c r="D108" i="14"/>
  <c r="D107" i="14"/>
  <c r="D106" i="14"/>
  <c r="D105" i="14"/>
  <c r="D104" i="14"/>
  <c r="D103" i="14"/>
  <c r="F53" i="13"/>
  <c r="G4" i="13"/>
  <c r="H4" i="13"/>
  <c r="I4" i="13"/>
  <c r="J4" i="13"/>
  <c r="K4" i="13"/>
  <c r="L4" i="13"/>
  <c r="M4" i="13"/>
  <c r="N4" i="13"/>
  <c r="O4" i="13"/>
  <c r="P4" i="13"/>
  <c r="Q4" i="13"/>
  <c r="R4" i="13"/>
  <c r="S4" i="13"/>
  <c r="T4" i="13"/>
  <c r="U4" i="13"/>
  <c r="V4" i="13"/>
  <c r="W4" i="13"/>
  <c r="X4" i="13"/>
  <c r="Y4" i="13"/>
  <c r="O41" i="12"/>
  <c r="BC82" i="2"/>
  <c r="AQ82" i="2"/>
  <c r="AU82" i="2"/>
  <c r="BD82" i="2"/>
  <c r="BH82" i="2" s="1"/>
  <c r="BC81" i="2"/>
  <c r="AQ81" i="2"/>
  <c r="AU81" i="2" s="1"/>
  <c r="BD81" i="2" s="1"/>
  <c r="BH81" i="2" s="1"/>
  <c r="BQ81" i="2" s="1"/>
  <c r="I79" i="2"/>
  <c r="O79" i="2" s="1"/>
  <c r="S79" i="2" s="1"/>
  <c r="Y79" i="2" s="1"/>
  <c r="AC79" i="2" s="1"/>
  <c r="AI79" i="2" s="1"/>
  <c r="AP79" i="2" s="1"/>
  <c r="AV79" i="2" s="1"/>
  <c r="BC79" i="2" s="1"/>
  <c r="BK79" i="2" s="1"/>
  <c r="N79" i="2"/>
  <c r="T79" i="2" s="1"/>
  <c r="X79" i="2" s="1"/>
  <c r="AD79" i="2" s="1"/>
  <c r="AH79" i="2" s="1"/>
  <c r="AQ79" i="2" s="1"/>
  <c r="AU79" i="2" s="1"/>
  <c r="BD79" i="2" s="1"/>
  <c r="BH79" i="2" s="1"/>
  <c r="BL79" i="2" s="1"/>
  <c r="D23" i="16" s="1"/>
  <c r="I78" i="2"/>
  <c r="O78" i="2" s="1"/>
  <c r="S78" i="2" s="1"/>
  <c r="Y78" i="2" s="1"/>
  <c r="AC78" i="2" s="1"/>
  <c r="AI78" i="2" s="1"/>
  <c r="AP78" i="2" s="1"/>
  <c r="AV78" i="2" s="1"/>
  <c r="BC78" i="2" s="1"/>
  <c r="N78" i="2"/>
  <c r="T78" i="2" s="1"/>
  <c r="X78" i="2" s="1"/>
  <c r="AD78" i="2" s="1"/>
  <c r="AH78" i="2" s="1"/>
  <c r="AQ78" i="2" s="1"/>
  <c r="AU78" i="2" s="1"/>
  <c r="BD78" i="2" s="1"/>
  <c r="BH78" i="2" s="1"/>
  <c r="BL78" i="2" s="1"/>
  <c r="D22" i="16" s="1"/>
  <c r="I77" i="2"/>
  <c r="O77" i="2" s="1"/>
  <c r="S77" i="2" s="1"/>
  <c r="Y77" i="2" s="1"/>
  <c r="AC77" i="2" s="1"/>
  <c r="AI77" i="2" s="1"/>
  <c r="AP77" i="2" s="1"/>
  <c r="AV77" i="2" s="1"/>
  <c r="BC77" i="2" s="1"/>
  <c r="BK77" i="2" s="1"/>
  <c r="N77" i="2"/>
  <c r="T77" i="2" s="1"/>
  <c r="X77" i="2" s="1"/>
  <c r="AD77" i="2" s="1"/>
  <c r="AH77" i="2" s="1"/>
  <c r="AQ77" i="2" s="1"/>
  <c r="AU77" i="2" s="1"/>
  <c r="BD77" i="2" s="1"/>
  <c r="BH77" i="2" s="1"/>
  <c r="I76" i="2"/>
  <c r="O76" i="2" s="1"/>
  <c r="S76" i="2" s="1"/>
  <c r="Y76" i="2" s="1"/>
  <c r="AC76" i="2" s="1"/>
  <c r="AI76" i="2" s="1"/>
  <c r="AP76" i="2" s="1"/>
  <c r="AV76" i="2" s="1"/>
  <c r="BC76" i="2" s="1"/>
  <c r="N76" i="2"/>
  <c r="T76" i="2" s="1"/>
  <c r="X76" i="2" s="1"/>
  <c r="AD76" i="2" s="1"/>
  <c r="AH76" i="2" s="1"/>
  <c r="AQ76" i="2" s="1"/>
  <c r="AU76" i="2" s="1"/>
  <c r="BD76" i="2" s="1"/>
  <c r="BH76" i="2" s="1"/>
  <c r="BL76" i="2" s="1"/>
  <c r="D20" i="16" s="1"/>
  <c r="BP62" i="2"/>
  <c r="BP68" i="2" s="1"/>
  <c r="BP74" i="2" s="1"/>
  <c r="BP37" i="2"/>
  <c r="I42" i="2"/>
  <c r="O42" i="2" s="1"/>
  <c r="I43" i="2"/>
  <c r="O43" i="2" s="1"/>
  <c r="S43" i="2" s="1"/>
  <c r="Y43" i="2" s="1"/>
  <c r="AC43" i="2" s="1"/>
  <c r="AI43" i="2" s="1"/>
  <c r="AP43" i="2" s="1"/>
  <c r="AV43" i="2" s="1"/>
  <c r="BC43" i="2" s="1"/>
  <c r="Y44" i="2"/>
  <c r="AC44" i="2"/>
  <c r="AI44" i="2" s="1"/>
  <c r="AP44" i="2" s="1"/>
  <c r="AV44" i="2" s="1"/>
  <c r="BC44" i="2"/>
  <c r="BQ44" i="2" s="1"/>
  <c r="Y45" i="2"/>
  <c r="AC45" i="2"/>
  <c r="AI45" i="2"/>
  <c r="AP45" i="2"/>
  <c r="AV45" i="2" s="1"/>
  <c r="BC45" i="2" s="1"/>
  <c r="I46" i="2"/>
  <c r="O46" i="2"/>
  <c r="S46" i="2" s="1"/>
  <c r="Y46" i="2" s="1"/>
  <c r="AC46" i="2" s="1"/>
  <c r="AI46" i="2" s="1"/>
  <c r="AP46" i="2" s="1"/>
  <c r="AV46" i="2" s="1"/>
  <c r="BC46" i="2" s="1"/>
  <c r="I47" i="2"/>
  <c r="O47" i="2" s="1"/>
  <c r="S47" i="2" s="1"/>
  <c r="Y47" i="2" s="1"/>
  <c r="AC47" i="2" s="1"/>
  <c r="AI47" i="2" s="1"/>
  <c r="AP47" i="2" s="1"/>
  <c r="AV47" i="2" s="1"/>
  <c r="BC47" i="2" s="1"/>
  <c r="I48" i="2"/>
  <c r="O48" i="2" s="1"/>
  <c r="S48" i="2" s="1"/>
  <c r="Y48" i="2"/>
  <c r="AC48" i="2" s="1"/>
  <c r="AI48" i="2" s="1"/>
  <c r="AP48" i="2" s="1"/>
  <c r="AV48" i="2" s="1"/>
  <c r="BC48" i="2" s="1"/>
  <c r="I49" i="2"/>
  <c r="O49" i="2"/>
  <c r="S49" i="2"/>
  <c r="Y49" i="2" s="1"/>
  <c r="AC49" i="2" s="1"/>
  <c r="AI49" i="2" s="1"/>
  <c r="AP49" i="2" s="1"/>
  <c r="AV49" i="2" s="1"/>
  <c r="BC49" i="2" s="1"/>
  <c r="I50" i="2"/>
  <c r="O50" i="2"/>
  <c r="S50" i="2" s="1"/>
  <c r="Y50" i="2" s="1"/>
  <c r="AC50" i="2" s="1"/>
  <c r="AI50" i="2" s="1"/>
  <c r="AP50" i="2" s="1"/>
  <c r="AV50" i="2" s="1"/>
  <c r="BC50" i="2" s="1"/>
  <c r="I51" i="2"/>
  <c r="O51" i="2" s="1"/>
  <c r="S51" i="2" s="1"/>
  <c r="Y51" i="2" s="1"/>
  <c r="AC51" i="2" s="1"/>
  <c r="AI51" i="2" s="1"/>
  <c r="AP51" i="2" s="1"/>
  <c r="AV51" i="2" s="1"/>
  <c r="BC51" i="2" s="1"/>
  <c r="BK51" i="2" s="1"/>
  <c r="C13" i="16" s="1"/>
  <c r="I52" i="2"/>
  <c r="O52" i="2" s="1"/>
  <c r="S52" i="2" s="1"/>
  <c r="Y52" i="2" s="1"/>
  <c r="AC52" i="2" s="1"/>
  <c r="AI52" i="2" s="1"/>
  <c r="AP52" i="2" s="1"/>
  <c r="AV52" i="2" s="1"/>
  <c r="BC52" i="2" s="1"/>
  <c r="BQ52" i="2" s="1"/>
  <c r="I53" i="2"/>
  <c r="O53" i="2" s="1"/>
  <c r="S53" i="2"/>
  <c r="Y53" i="2" s="1"/>
  <c r="AC53" i="2" s="1"/>
  <c r="AI53" i="2" s="1"/>
  <c r="AP53" i="2" s="1"/>
  <c r="AV53" i="2" s="1"/>
  <c r="BC53" i="2" s="1"/>
  <c r="BK53" i="2" s="1"/>
  <c r="C15" i="16" s="1"/>
  <c r="I54" i="2"/>
  <c r="O54" i="2"/>
  <c r="S54" i="2" s="1"/>
  <c r="Y54" i="2" s="1"/>
  <c r="AC54" i="2" s="1"/>
  <c r="AI54" i="2"/>
  <c r="AP54" i="2" s="1"/>
  <c r="AV54" i="2" s="1"/>
  <c r="BC54" i="2" s="1"/>
  <c r="BK54" i="2" s="1"/>
  <c r="C16" i="16" s="1"/>
  <c r="I55" i="2"/>
  <c r="O55" i="2" s="1"/>
  <c r="S55" i="2" s="1"/>
  <c r="Y55" i="2" s="1"/>
  <c r="AC55" i="2" s="1"/>
  <c r="AI55" i="2" s="1"/>
  <c r="AP55" i="2" s="1"/>
  <c r="AV55" i="2" s="1"/>
  <c r="BC55" i="2" s="1"/>
  <c r="BK55" i="2" s="1"/>
  <c r="C17" i="16" s="1"/>
  <c r="S56" i="2"/>
  <c r="Y56" i="2" s="1"/>
  <c r="AC56" i="2" s="1"/>
  <c r="AI56" i="2" s="1"/>
  <c r="AP56" i="2" s="1"/>
  <c r="AV56" i="2" s="1"/>
  <c r="BC56" i="2" s="1"/>
  <c r="BK56" i="2" s="1"/>
  <c r="C25" i="16" s="1"/>
  <c r="I57" i="2"/>
  <c r="O57" i="2" s="1"/>
  <c r="S57" i="2" s="1"/>
  <c r="Y57" i="2" s="1"/>
  <c r="AC57" i="2" s="1"/>
  <c r="AI57" i="2" s="1"/>
  <c r="AP57" i="2" s="1"/>
  <c r="AV57" i="2" s="1"/>
  <c r="BC57" i="2" s="1"/>
  <c r="BK57" i="2" s="1"/>
  <c r="C27" i="16" s="1"/>
  <c r="I58" i="2"/>
  <c r="O58" i="2" s="1"/>
  <c r="S58" i="2" s="1"/>
  <c r="Y58" i="2" s="1"/>
  <c r="AC58" i="2" s="1"/>
  <c r="AI58" i="2" s="1"/>
  <c r="AP58" i="2" s="1"/>
  <c r="AV58" i="2" s="1"/>
  <c r="BC58" i="2" s="1"/>
  <c r="I59" i="2"/>
  <c r="O59" i="2" s="1"/>
  <c r="S59" i="2" s="1"/>
  <c r="Y59" i="2" s="1"/>
  <c r="AC59" i="2" s="1"/>
  <c r="AI59" i="2" s="1"/>
  <c r="AP59" i="2" s="1"/>
  <c r="AV59" i="2" s="1"/>
  <c r="BC59" i="2" s="1"/>
  <c r="BK59" i="2" s="1"/>
  <c r="C32" i="16" s="1"/>
  <c r="I60" i="2"/>
  <c r="O60" i="2"/>
  <c r="S60" i="2" s="1"/>
  <c r="Y60" i="2" s="1"/>
  <c r="AC60" i="2" s="1"/>
  <c r="AI60" i="2" s="1"/>
  <c r="AP60" i="2" s="1"/>
  <c r="AV60" i="2" s="1"/>
  <c r="BC60" i="2" s="1"/>
  <c r="I25" i="2"/>
  <c r="O25" i="2" s="1"/>
  <c r="S25" i="2" s="1"/>
  <c r="Y25" i="2" s="1"/>
  <c r="AC25" i="2" s="1"/>
  <c r="AI25" i="2" s="1"/>
  <c r="AP25" i="2" s="1"/>
  <c r="AV25" i="2" s="1"/>
  <c r="BC25" i="2" s="1"/>
  <c r="BK25" i="2" s="1"/>
  <c r="C19" i="16" s="1"/>
  <c r="I26" i="2"/>
  <c r="O26" i="2" s="1"/>
  <c r="S26" i="2" s="1"/>
  <c r="Y26" i="2" s="1"/>
  <c r="AC26" i="2" s="1"/>
  <c r="AI26" i="2" s="1"/>
  <c r="AP26" i="2" s="1"/>
  <c r="AV26" i="2" s="1"/>
  <c r="BC26" i="2" s="1"/>
  <c r="BK26" i="2" s="1"/>
  <c r="I27" i="2"/>
  <c r="O27" i="2" s="1"/>
  <c r="S27" i="2" s="1"/>
  <c r="Y27" i="2" s="1"/>
  <c r="AC27" i="2" s="1"/>
  <c r="AI27" i="2" s="1"/>
  <c r="AP27" i="2" s="1"/>
  <c r="AV27" i="2" s="1"/>
  <c r="BC27" i="2" s="1"/>
  <c r="I28" i="2"/>
  <c r="O28" i="2"/>
  <c r="S28" i="2" s="1"/>
  <c r="Y28" i="2" s="1"/>
  <c r="AC28" i="2" s="1"/>
  <c r="AI28" i="2" s="1"/>
  <c r="AP28" i="2" s="1"/>
  <c r="AV28" i="2" s="1"/>
  <c r="BC28" i="2" s="1"/>
  <c r="I29" i="2"/>
  <c r="O29" i="2" s="1"/>
  <c r="S29" i="2" s="1"/>
  <c r="Y29" i="2" s="1"/>
  <c r="AC29" i="2" s="1"/>
  <c r="AI29" i="2" s="1"/>
  <c r="AP29" i="2" s="1"/>
  <c r="AV29" i="2" s="1"/>
  <c r="BC29" i="2" s="1"/>
  <c r="BK29" i="2" s="1"/>
  <c r="I30" i="2"/>
  <c r="O30" i="2" s="1"/>
  <c r="S30" i="2" s="1"/>
  <c r="Y30" i="2" s="1"/>
  <c r="AC30" i="2" s="1"/>
  <c r="AI30" i="2" s="1"/>
  <c r="AP30" i="2" s="1"/>
  <c r="AV30" i="2" s="1"/>
  <c r="BC30" i="2" s="1"/>
  <c r="I31" i="2"/>
  <c r="O31" i="2" s="1"/>
  <c r="S31" i="2" s="1"/>
  <c r="Y31" i="2" s="1"/>
  <c r="AC31" i="2" s="1"/>
  <c r="AI31" i="2" s="1"/>
  <c r="AP31" i="2" s="1"/>
  <c r="AV31" i="2" s="1"/>
  <c r="BC31" i="2" s="1"/>
  <c r="I32" i="2"/>
  <c r="O32" i="2"/>
  <c r="S32" i="2" s="1"/>
  <c r="Y32" i="2" s="1"/>
  <c r="AC32" i="2" s="1"/>
  <c r="AI32" i="2" s="1"/>
  <c r="AP32" i="2" s="1"/>
  <c r="AV32" i="2" s="1"/>
  <c r="BC32" i="2" s="1"/>
  <c r="BK32" i="2" s="1"/>
  <c r="I33" i="2"/>
  <c r="O33" i="2" s="1"/>
  <c r="S33" i="2" s="1"/>
  <c r="Y33" i="2" s="1"/>
  <c r="AC33" i="2" s="1"/>
  <c r="AI33" i="2" s="1"/>
  <c r="AP33" i="2" s="1"/>
  <c r="AV33" i="2" s="1"/>
  <c r="BC33" i="2" s="1"/>
  <c r="BK33" i="2" s="1"/>
  <c r="I35" i="2"/>
  <c r="O35" i="2" s="1"/>
  <c r="S35" i="2" s="1"/>
  <c r="Y35" i="2" s="1"/>
  <c r="AC35" i="2" s="1"/>
  <c r="AI35" i="2" s="1"/>
  <c r="AP35" i="2" s="1"/>
  <c r="AV35" i="2" s="1"/>
  <c r="BC35" i="2" s="1"/>
  <c r="I64" i="2"/>
  <c r="O64" i="2"/>
  <c r="S64" i="2" s="1"/>
  <c r="Y64" i="2" s="1"/>
  <c r="AC64" i="2" s="1"/>
  <c r="AI64" i="2" s="1"/>
  <c r="AP64" i="2" s="1"/>
  <c r="AV64" i="2" s="1"/>
  <c r="BC64" i="2" s="1"/>
  <c r="BK64" i="2" s="1"/>
  <c r="C24" i="16" s="1"/>
  <c r="I65" i="2"/>
  <c r="O65" i="2" s="1"/>
  <c r="S65" i="2" s="1"/>
  <c r="Y65" i="2" s="1"/>
  <c r="AC65" i="2" s="1"/>
  <c r="AI65" i="2" s="1"/>
  <c r="AP65" i="2" s="1"/>
  <c r="AV65" i="2" s="1"/>
  <c r="BC65" i="2" s="1"/>
  <c r="I66" i="2"/>
  <c r="O66" i="2" s="1"/>
  <c r="S66" i="2" s="1"/>
  <c r="Y66" i="2" s="1"/>
  <c r="AC66" i="2" s="1"/>
  <c r="AI66" i="2" s="1"/>
  <c r="AP66" i="2" s="1"/>
  <c r="AV66" i="2" s="1"/>
  <c r="BC66" i="2" s="1"/>
  <c r="S71" i="2"/>
  <c r="Y71" i="2" s="1"/>
  <c r="AC71" i="2" s="1"/>
  <c r="AI71" i="2" s="1"/>
  <c r="AP71" i="2" s="1"/>
  <c r="AV71" i="2" s="1"/>
  <c r="BC71" i="2" s="1"/>
  <c r="N42" i="2"/>
  <c r="T42" i="2" s="1"/>
  <c r="X42" i="2" s="1"/>
  <c r="AD42" i="2" s="1"/>
  <c r="AH42" i="2" s="1"/>
  <c r="AQ42" i="2" s="1"/>
  <c r="AU42" i="2" s="1"/>
  <c r="BD42" i="2" s="1"/>
  <c r="BH42" i="2" s="1"/>
  <c r="BL42" i="2" s="1"/>
  <c r="D4" i="16" s="1"/>
  <c r="N43" i="2"/>
  <c r="T43" i="2" s="1"/>
  <c r="X43" i="2" s="1"/>
  <c r="AD43" i="2" s="1"/>
  <c r="AH43" i="2" s="1"/>
  <c r="AQ43" i="2" s="1"/>
  <c r="AU43" i="2" s="1"/>
  <c r="BD43" i="2" s="1"/>
  <c r="BH43" i="2" s="1"/>
  <c r="BL43" i="2" s="1"/>
  <c r="D5" i="16" s="1"/>
  <c r="AD44" i="2"/>
  <c r="AH44" i="2"/>
  <c r="AQ44" i="2" s="1"/>
  <c r="AU44" i="2" s="1"/>
  <c r="BD44" i="2" s="1"/>
  <c r="BH44" i="2" s="1"/>
  <c r="AD45" i="2"/>
  <c r="AH45" i="2" s="1"/>
  <c r="AQ45" i="2" s="1"/>
  <c r="AU45" i="2" s="1"/>
  <c r="BD45" i="2" s="1"/>
  <c r="BH45" i="2" s="1"/>
  <c r="N46" i="2"/>
  <c r="T46" i="2"/>
  <c r="X46" i="2" s="1"/>
  <c r="AD46" i="2" s="1"/>
  <c r="AH46" i="2" s="1"/>
  <c r="AQ46" i="2" s="1"/>
  <c r="AU46" i="2" s="1"/>
  <c r="BD46" i="2" s="1"/>
  <c r="BH46" i="2" s="1"/>
  <c r="N47" i="2"/>
  <c r="T47" i="2" s="1"/>
  <c r="X47" i="2" s="1"/>
  <c r="AD47" i="2" s="1"/>
  <c r="AH47" i="2" s="1"/>
  <c r="AQ47" i="2" s="1"/>
  <c r="AU47" i="2" s="1"/>
  <c r="BD47" i="2" s="1"/>
  <c r="BH47" i="2" s="1"/>
  <c r="N48" i="2"/>
  <c r="T48" i="2" s="1"/>
  <c r="X48" i="2" s="1"/>
  <c r="AD48" i="2" s="1"/>
  <c r="AH48" i="2" s="1"/>
  <c r="AQ48" i="2" s="1"/>
  <c r="AU48" i="2" s="1"/>
  <c r="BD48" i="2" s="1"/>
  <c r="BH48" i="2" s="1"/>
  <c r="N49" i="2"/>
  <c r="T49" i="2" s="1"/>
  <c r="X49" i="2" s="1"/>
  <c r="AD49" i="2" s="1"/>
  <c r="AH49" i="2" s="1"/>
  <c r="AQ49" i="2" s="1"/>
  <c r="AU49" i="2" s="1"/>
  <c r="BD49" i="2" s="1"/>
  <c r="BH49" i="2" s="1"/>
  <c r="N50" i="2"/>
  <c r="T50" i="2"/>
  <c r="X50" i="2" s="1"/>
  <c r="AD50" i="2" s="1"/>
  <c r="AH50" i="2" s="1"/>
  <c r="AQ50" i="2" s="1"/>
  <c r="AU50" i="2" s="1"/>
  <c r="BD50" i="2" s="1"/>
  <c r="BH50" i="2" s="1"/>
  <c r="N51" i="2"/>
  <c r="T51" i="2" s="1"/>
  <c r="X51" i="2" s="1"/>
  <c r="AD51" i="2" s="1"/>
  <c r="AH51" i="2"/>
  <c r="AQ51" i="2" s="1"/>
  <c r="AU51" i="2" s="1"/>
  <c r="BD51" i="2" s="1"/>
  <c r="BH51" i="2" s="1"/>
  <c r="N52" i="2"/>
  <c r="T52" i="2" s="1"/>
  <c r="X52" i="2" s="1"/>
  <c r="AD52" i="2"/>
  <c r="AH52" i="2" s="1"/>
  <c r="AQ52" i="2" s="1"/>
  <c r="AU52" i="2" s="1"/>
  <c r="BD52" i="2"/>
  <c r="BH52" i="2" s="1"/>
  <c r="N53" i="2"/>
  <c r="T53" i="2" s="1"/>
  <c r="X53" i="2" s="1"/>
  <c r="N54" i="2"/>
  <c r="T54" i="2"/>
  <c r="X54" i="2" s="1"/>
  <c r="AD54" i="2" s="1"/>
  <c r="AH54" i="2" s="1"/>
  <c r="AQ54" i="2" s="1"/>
  <c r="AU54" i="2" s="1"/>
  <c r="BD54" i="2" s="1"/>
  <c r="BH54" i="2" s="1"/>
  <c r="N55" i="2"/>
  <c r="T55" i="2" s="1"/>
  <c r="X55" i="2" s="1"/>
  <c r="AD55" i="2" s="1"/>
  <c r="AH55" i="2"/>
  <c r="AQ55" i="2" s="1"/>
  <c r="AU55" i="2" s="1"/>
  <c r="BD55" i="2" s="1"/>
  <c r="BH55" i="2" s="1"/>
  <c r="N56" i="2"/>
  <c r="T56" i="2" s="1"/>
  <c r="X56" i="2" s="1"/>
  <c r="AD56" i="2"/>
  <c r="AH56" i="2" s="1"/>
  <c r="AQ56" i="2" s="1"/>
  <c r="AU56" i="2" s="1"/>
  <c r="BD56" i="2"/>
  <c r="BH56" i="2" s="1"/>
  <c r="N57" i="2"/>
  <c r="T57" i="2" s="1"/>
  <c r="X57" i="2"/>
  <c r="AD57" i="2"/>
  <c r="AH57" i="2" s="1"/>
  <c r="AQ57" i="2" s="1"/>
  <c r="AU57" i="2" s="1"/>
  <c r="BD57" i="2" s="1"/>
  <c r="BH57" i="2" s="1"/>
  <c r="N58" i="2"/>
  <c r="T58" i="2"/>
  <c r="X58" i="2" s="1"/>
  <c r="AD58" i="2" s="1"/>
  <c r="AH58" i="2" s="1"/>
  <c r="AQ58" i="2" s="1"/>
  <c r="AU58" i="2" s="1"/>
  <c r="BD58" i="2" s="1"/>
  <c r="BH58" i="2" s="1"/>
  <c r="N59" i="2"/>
  <c r="T59" i="2" s="1"/>
  <c r="N60" i="2"/>
  <c r="T60" i="2" s="1"/>
  <c r="X60" i="2" s="1"/>
  <c r="AD60" i="2" s="1"/>
  <c r="AH60" i="2" s="1"/>
  <c r="AQ60" i="2" s="1"/>
  <c r="AU60" i="2" s="1"/>
  <c r="BD60" i="2" s="1"/>
  <c r="BH60" i="2" s="1"/>
  <c r="N24" i="2"/>
  <c r="T24" i="2"/>
  <c r="X24" i="2"/>
  <c r="AD24" i="2" s="1"/>
  <c r="AH24" i="2" s="1"/>
  <c r="AQ24" i="2" s="1"/>
  <c r="AU24" i="2" s="1"/>
  <c r="BD24" i="2" s="1"/>
  <c r="BH24" i="2" s="1"/>
  <c r="BL24" i="2" s="1"/>
  <c r="D18" i="16" s="1"/>
  <c r="N25" i="2"/>
  <c r="T25" i="2"/>
  <c r="X25" i="2" s="1"/>
  <c r="AD25" i="2" s="1"/>
  <c r="AH25" i="2" s="1"/>
  <c r="N26" i="2"/>
  <c r="T26" i="2" s="1"/>
  <c r="X26" i="2" s="1"/>
  <c r="AD26" i="2" s="1"/>
  <c r="N27" i="2"/>
  <c r="T27" i="2" s="1"/>
  <c r="X27" i="2" s="1"/>
  <c r="N28" i="2"/>
  <c r="T28" i="2"/>
  <c r="X28" i="2"/>
  <c r="AD28" i="2" s="1"/>
  <c r="AH28" i="2" s="1"/>
  <c r="AQ28" i="2" s="1"/>
  <c r="AU28" i="2" s="1"/>
  <c r="BD28" i="2" s="1"/>
  <c r="BH28" i="2" s="1"/>
  <c r="N29" i="2"/>
  <c r="T29" i="2"/>
  <c r="X29" i="2" s="1"/>
  <c r="AD29" i="2" s="1"/>
  <c r="AH29" i="2" s="1"/>
  <c r="AQ29" i="2" s="1"/>
  <c r="AU29" i="2" s="1"/>
  <c r="BD29" i="2" s="1"/>
  <c r="BH29" i="2" s="1"/>
  <c r="N30" i="2"/>
  <c r="T30" i="2"/>
  <c r="X30" i="2"/>
  <c r="AD30" i="2" s="1"/>
  <c r="N31" i="2"/>
  <c r="T31" i="2"/>
  <c r="X31" i="2" s="1"/>
  <c r="AD31" i="2" s="1"/>
  <c r="AH31" i="2" s="1"/>
  <c r="AQ31" i="2" s="1"/>
  <c r="AU31" i="2" s="1"/>
  <c r="BD31" i="2" s="1"/>
  <c r="BH31" i="2" s="1"/>
  <c r="N32" i="2"/>
  <c r="T32" i="2" s="1"/>
  <c r="N33" i="2"/>
  <c r="T33" i="2" s="1"/>
  <c r="X33" i="2" s="1"/>
  <c r="AD33" i="2" s="1"/>
  <c r="AH33" i="2" s="1"/>
  <c r="AQ33" i="2" s="1"/>
  <c r="AU33" i="2" s="1"/>
  <c r="BD33" i="2" s="1"/>
  <c r="BH33" i="2" s="1"/>
  <c r="N35" i="2"/>
  <c r="T35" i="2"/>
  <c r="X35" i="2"/>
  <c r="AD35" i="2" s="1"/>
  <c r="AH35" i="2" s="1"/>
  <c r="AQ35" i="2" s="1"/>
  <c r="AU35" i="2" s="1"/>
  <c r="N64" i="2"/>
  <c r="T64" i="2" s="1"/>
  <c r="X64" i="2" s="1"/>
  <c r="AD64" i="2" s="1"/>
  <c r="AH64" i="2" s="1"/>
  <c r="AQ64" i="2" s="1"/>
  <c r="AU64" i="2" s="1"/>
  <c r="BD64" i="2" s="1"/>
  <c r="BH64" i="2" s="1"/>
  <c r="N65" i="2"/>
  <c r="T65" i="2"/>
  <c r="X65" i="2" s="1"/>
  <c r="AD65" i="2" s="1"/>
  <c r="AH65" i="2" s="1"/>
  <c r="AQ65" i="2" s="1"/>
  <c r="AU65" i="2" s="1"/>
  <c r="BD65" i="2" s="1"/>
  <c r="BH65" i="2" s="1"/>
  <c r="N66" i="2"/>
  <c r="T66" i="2" s="1"/>
  <c r="X66" i="2" s="1"/>
  <c r="AD66" i="2" s="1"/>
  <c r="AH66" i="2" s="1"/>
  <c r="AQ66" i="2" s="1"/>
  <c r="AU66" i="2" s="1"/>
  <c r="BD66" i="2" s="1"/>
  <c r="BH66" i="2" s="1"/>
  <c r="X71" i="2"/>
  <c r="AD71" i="2" s="1"/>
  <c r="AH71" i="2" s="1"/>
  <c r="AQ71" i="2" s="1"/>
  <c r="AU71" i="2" s="1"/>
  <c r="BD71" i="2" s="1"/>
  <c r="BH71" i="2" s="1"/>
  <c r="BQ49" i="2"/>
  <c r="BQ46" i="2"/>
  <c r="J8" i="16" s="1"/>
  <c r="BQ45" i="2"/>
  <c r="BP39" i="2"/>
  <c r="BC39" i="2"/>
  <c r="BP38" i="2"/>
  <c r="BQ34" i="2"/>
  <c r="BL82" i="2"/>
  <c r="BK82" i="2"/>
  <c r="BL81" i="2"/>
  <c r="BK81" i="2"/>
  <c r="BL77" i="2"/>
  <c r="BK71" i="2"/>
  <c r="BK66" i="2"/>
  <c r="BK65" i="2"/>
  <c r="BK60" i="2"/>
  <c r="BK58" i="2"/>
  <c r="BL52" i="2"/>
  <c r="BL50" i="2"/>
  <c r="BL49" i="2"/>
  <c r="BK49" i="2"/>
  <c r="C11" i="16" s="1"/>
  <c r="BL48" i="2"/>
  <c r="BL47" i="2"/>
  <c r="BL46" i="2"/>
  <c r="BK46" i="2"/>
  <c r="BL45" i="2"/>
  <c r="BK45" i="2"/>
  <c r="BL44" i="2"/>
  <c r="BK44" i="2"/>
  <c r="BK27" i="2"/>
  <c r="BK28" i="2"/>
  <c r="BK30" i="2"/>
  <c r="BK31" i="2"/>
  <c r="BK34" i="2"/>
  <c r="BL34" i="2"/>
  <c r="C39" i="2"/>
  <c r="I5" i="16"/>
  <c r="C6" i="16"/>
  <c r="D6" i="16"/>
  <c r="F6" i="16"/>
  <c r="G6" i="16"/>
  <c r="I6" i="16"/>
  <c r="C7" i="16"/>
  <c r="D7" i="16"/>
  <c r="F7" i="16"/>
  <c r="G7" i="16"/>
  <c r="I7" i="16"/>
  <c r="J7" i="16"/>
  <c r="C8" i="16"/>
  <c r="D8" i="16"/>
  <c r="F8" i="16"/>
  <c r="G8" i="16"/>
  <c r="I8" i="16"/>
  <c r="D9" i="16"/>
  <c r="F9" i="16"/>
  <c r="G9" i="16"/>
  <c r="I9" i="16"/>
  <c r="D10" i="16"/>
  <c r="F10" i="16"/>
  <c r="G10" i="16"/>
  <c r="I10" i="16"/>
  <c r="D11" i="16"/>
  <c r="F11" i="16"/>
  <c r="G11" i="16"/>
  <c r="I11" i="16"/>
  <c r="J11" i="16"/>
  <c r="D12" i="16"/>
  <c r="F12" i="16"/>
  <c r="G12" i="16"/>
  <c r="I12" i="16"/>
  <c r="F13" i="16"/>
  <c r="G13" i="16"/>
  <c r="I13" i="16"/>
  <c r="D14" i="16"/>
  <c r="F14" i="16"/>
  <c r="G14" i="16"/>
  <c r="I14" i="16"/>
  <c r="F15" i="16"/>
  <c r="G15" i="16"/>
  <c r="I15" i="16"/>
  <c r="F16" i="16"/>
  <c r="G16" i="16"/>
  <c r="I16" i="16"/>
  <c r="F17" i="16"/>
  <c r="G17" i="16"/>
  <c r="I17" i="16"/>
  <c r="I18" i="16"/>
  <c r="F19" i="16"/>
  <c r="G19" i="16"/>
  <c r="I19" i="16"/>
  <c r="F20" i="16"/>
  <c r="G20" i="16"/>
  <c r="I20" i="16"/>
  <c r="D21" i="16"/>
  <c r="F21" i="16"/>
  <c r="G21" i="16"/>
  <c r="I21" i="16"/>
  <c r="F22" i="16"/>
  <c r="G22" i="16"/>
  <c r="I22" i="16"/>
  <c r="F23" i="16"/>
  <c r="G23" i="16"/>
  <c r="I23" i="16"/>
  <c r="F24" i="16"/>
  <c r="G24" i="16"/>
  <c r="I24" i="16"/>
  <c r="F25" i="16"/>
  <c r="G25" i="16"/>
  <c r="I25" i="16"/>
  <c r="C26" i="16"/>
  <c r="F26" i="16"/>
  <c r="G26" i="16"/>
  <c r="I26" i="16"/>
  <c r="F27" i="16"/>
  <c r="G27" i="16"/>
  <c r="I27" i="16"/>
  <c r="C28" i="16"/>
  <c r="F28" i="16"/>
  <c r="G28" i="16"/>
  <c r="I28" i="16"/>
  <c r="C29" i="16"/>
  <c r="D29" i="16"/>
  <c r="F29" i="16"/>
  <c r="G29" i="16"/>
  <c r="I29" i="16"/>
  <c r="J29" i="16"/>
  <c r="C30" i="16"/>
  <c r="D30" i="16"/>
  <c r="F30" i="16"/>
  <c r="G30" i="16"/>
  <c r="I30" i="16"/>
  <c r="I31" i="16"/>
  <c r="F32" i="16"/>
  <c r="G32" i="16"/>
  <c r="I32" i="16"/>
  <c r="C33" i="16"/>
  <c r="I33" i="16"/>
  <c r="C34" i="16"/>
  <c r="I34" i="16"/>
  <c r="I35" i="16"/>
  <c r="I36" i="16"/>
  <c r="C37" i="16"/>
  <c r="F37" i="16"/>
  <c r="G37" i="16"/>
  <c r="I37" i="16"/>
  <c r="C38" i="16"/>
  <c r="F38" i="16"/>
  <c r="G38" i="16"/>
  <c r="I38" i="16"/>
  <c r="C39" i="16"/>
  <c r="D39" i="16"/>
  <c r="F39" i="16"/>
  <c r="G39" i="16"/>
  <c r="I39" i="16"/>
  <c r="J39" i="16"/>
  <c r="C40" i="16"/>
  <c r="E40" i="16" s="1"/>
  <c r="D40" i="16"/>
  <c r="F40" i="16"/>
  <c r="G40" i="16"/>
  <c r="I40" i="16"/>
  <c r="J40" i="16"/>
  <c r="C41" i="16"/>
  <c r="D41" i="16"/>
  <c r="F41" i="16"/>
  <c r="G41" i="16"/>
  <c r="I41" i="16"/>
  <c r="J41" i="16"/>
  <c r="C42" i="16"/>
  <c r="E42" i="16" s="1"/>
  <c r="D42" i="16"/>
  <c r="F42" i="16"/>
  <c r="G42" i="16"/>
  <c r="I42" i="16"/>
  <c r="J42" i="16"/>
  <c r="F43" i="16"/>
  <c r="G43" i="16"/>
  <c r="I43" i="16"/>
  <c r="C44" i="16"/>
  <c r="F44" i="16"/>
  <c r="G44" i="16"/>
  <c r="I44" i="16"/>
  <c r="I4" i="16"/>
  <c r="BG62" i="2"/>
  <c r="BG37" i="2"/>
  <c r="BG68" i="2" s="1"/>
  <c r="BG74" i="2" s="1"/>
  <c r="BF62" i="2"/>
  <c r="BF37" i="2"/>
  <c r="BE62" i="2"/>
  <c r="BE37" i="2"/>
  <c r="BE68" i="2" s="1"/>
  <c r="BE74" i="2" s="1"/>
  <c r="BB62" i="2"/>
  <c r="BB68" i="2" s="1"/>
  <c r="BB74" i="2" s="1"/>
  <c r="BB37" i="2"/>
  <c r="BA62" i="2"/>
  <c r="BA68" i="2" s="1"/>
  <c r="BA74" i="2" s="1"/>
  <c r="BA37" i="2"/>
  <c r="AZ62" i="2"/>
  <c r="AZ68" i="2" s="1"/>
  <c r="AZ74" i="2" s="1"/>
  <c r="AZ37" i="2"/>
  <c r="AY62" i="2"/>
  <c r="AY68" i="2" s="1"/>
  <c r="AY74" i="2" s="1"/>
  <c r="AY37" i="2"/>
  <c r="AX62" i="2"/>
  <c r="AX68" i="2" s="1"/>
  <c r="AX74" i="2" s="1"/>
  <c r="AX37" i="2"/>
  <c r="AW62" i="2"/>
  <c r="AW68" i="2" s="1"/>
  <c r="AW74" i="2" s="1"/>
  <c r="AW37" i="2"/>
  <c r="BG39" i="2"/>
  <c r="BF39" i="2"/>
  <c r="BE39" i="2"/>
  <c r="BB39" i="2"/>
  <c r="BA39" i="2"/>
  <c r="BA38" i="2" s="1"/>
  <c r="AZ39" i="2"/>
  <c r="AY39" i="2"/>
  <c r="AY38" i="2" s="1"/>
  <c r="AX39" i="2"/>
  <c r="AW39" i="2"/>
  <c r="AW38" i="2" s="1"/>
  <c r="AV39" i="2"/>
  <c r="BG38" i="2"/>
  <c r="BB38" i="2"/>
  <c r="AZ38" i="2"/>
  <c r="AX38" i="2"/>
  <c r="G76" i="14"/>
  <c r="G77" i="14"/>
  <c r="G78" i="14"/>
  <c r="G79" i="14"/>
  <c r="G80" i="14"/>
  <c r="G81" i="14"/>
  <c r="G82" i="14"/>
  <c r="G83" i="14"/>
  <c r="G84" i="14"/>
  <c r="G85" i="14"/>
  <c r="G86" i="14"/>
  <c r="G87" i="14"/>
  <c r="G88" i="14"/>
  <c r="G89" i="14"/>
  <c r="G90" i="14"/>
  <c r="G91" i="14"/>
  <c r="G92" i="14"/>
  <c r="G93" i="14"/>
  <c r="G94" i="14"/>
  <c r="G75" i="14"/>
  <c r="N41" i="12"/>
  <c r="D76" i="14"/>
  <c r="D78" i="14"/>
  <c r="D81" i="14"/>
  <c r="D84" i="14"/>
  <c r="D75" i="14"/>
  <c r="D94" i="14"/>
  <c r="D93" i="14"/>
  <c r="D92" i="14"/>
  <c r="D91" i="14"/>
  <c r="D90" i="14"/>
  <c r="D89" i="14"/>
  <c r="D88" i="14"/>
  <c r="D87" i="14"/>
  <c r="D86" i="14"/>
  <c r="D85" i="14"/>
  <c r="D83" i="14"/>
  <c r="D82" i="14"/>
  <c r="F37" i="2"/>
  <c r="G37" i="2"/>
  <c r="H37" i="2"/>
  <c r="K37" i="2"/>
  <c r="L37" i="2"/>
  <c r="M37" i="2"/>
  <c r="P37" i="2"/>
  <c r="Q37" i="2"/>
  <c r="R37" i="2"/>
  <c r="U37" i="2"/>
  <c r="V37" i="2"/>
  <c r="W37" i="2"/>
  <c r="Z37" i="2"/>
  <c r="AA37" i="2"/>
  <c r="AB37" i="2"/>
  <c r="AE37" i="2"/>
  <c r="AF37" i="2"/>
  <c r="AG37" i="2"/>
  <c r="AJ37" i="2"/>
  <c r="AJ39" i="2"/>
  <c r="AJ38" i="2" s="1"/>
  <c r="AK37" i="2"/>
  <c r="AK38" i="2" s="1"/>
  <c r="AL37" i="2"/>
  <c r="AM37" i="2"/>
  <c r="AN37" i="2"/>
  <c r="AO37" i="2"/>
  <c r="AO68" i="2" s="1"/>
  <c r="AO74" i="2" s="1"/>
  <c r="AR37" i="2"/>
  <c r="AS37" i="2"/>
  <c r="AS38" i="2" s="1"/>
  <c r="AT37" i="2"/>
  <c r="AT62" i="2"/>
  <c r="BI37" i="2"/>
  <c r="BI38" i="2" s="1"/>
  <c r="BJ37" i="2"/>
  <c r="BJ38" i="2" s="1"/>
  <c r="AS62" i="2"/>
  <c r="AR62" i="2"/>
  <c r="AR68" i="2" s="1"/>
  <c r="AR74" i="2" s="1"/>
  <c r="AO62" i="2"/>
  <c r="AN62" i="2"/>
  <c r="AM62" i="2"/>
  <c r="AL62" i="2"/>
  <c r="AL68" i="2" s="1"/>
  <c r="AL74" i="2" s="1"/>
  <c r="AK62" i="2"/>
  <c r="AJ62" i="2"/>
  <c r="AJ68" i="2" s="1"/>
  <c r="AJ74" i="2" s="1"/>
  <c r="AT39" i="2"/>
  <c r="AS39" i="2"/>
  <c r="AR39" i="2"/>
  <c r="AR38" i="2" s="1"/>
  <c r="AO39" i="2"/>
  <c r="AN39" i="2"/>
  <c r="AN38" i="2" s="1"/>
  <c r="AM39" i="2"/>
  <c r="AM38" i="2"/>
  <c r="AL39" i="2"/>
  <c r="AK39" i="2"/>
  <c r="AS68" i="2"/>
  <c r="AS74" i="2" s="1"/>
  <c r="AN68" i="2"/>
  <c r="AN74" i="2" s="1"/>
  <c r="AL38" i="2"/>
  <c r="AP82" i="2"/>
  <c r="AK68" i="2"/>
  <c r="AK74" i="2" s="1"/>
  <c r="AM68" i="2"/>
  <c r="AM74" i="2" s="1"/>
  <c r="G48" i="14"/>
  <c r="G49" i="14"/>
  <c r="G50" i="14"/>
  <c r="G51" i="14"/>
  <c r="G52" i="14"/>
  <c r="G53" i="14"/>
  <c r="G20" i="14"/>
  <c r="G47" i="14"/>
  <c r="D48" i="14"/>
  <c r="D53" i="14"/>
  <c r="D47" i="14"/>
  <c r="D20" i="14"/>
  <c r="C66" i="14"/>
  <c r="G66" i="14"/>
  <c r="C65" i="14"/>
  <c r="D65" i="14"/>
  <c r="C64" i="14"/>
  <c r="G64" i="14"/>
  <c r="C63" i="14"/>
  <c r="D63" i="14"/>
  <c r="G62" i="14"/>
  <c r="C61" i="14"/>
  <c r="D61" i="14"/>
  <c r="C60" i="14"/>
  <c r="G60" i="14"/>
  <c r="C59" i="14"/>
  <c r="D59" i="14"/>
  <c r="G58" i="14"/>
  <c r="C57" i="14"/>
  <c r="D57" i="14"/>
  <c r="G56" i="14"/>
  <c r="C55" i="14"/>
  <c r="D55" i="14"/>
  <c r="C54" i="14"/>
  <c r="G54" i="14"/>
  <c r="BO82" i="2"/>
  <c r="D54" i="13" s="1"/>
  <c r="E34" i="11"/>
  <c r="D64" i="14"/>
  <c r="D62" i="14"/>
  <c r="D60" i="14"/>
  <c r="D58" i="14"/>
  <c r="D56" i="14"/>
  <c r="D54" i="14"/>
  <c r="G65" i="14"/>
  <c r="G63" i="14"/>
  <c r="G61" i="14"/>
  <c r="G59" i="14"/>
  <c r="G57" i="14"/>
  <c r="G55" i="14"/>
  <c r="D66" i="14"/>
  <c r="D23" i="14"/>
  <c r="C26" i="14"/>
  <c r="C27" i="14"/>
  <c r="C28" i="14"/>
  <c r="C29" i="14"/>
  <c r="C30" i="14"/>
  <c r="C31" i="14"/>
  <c r="C32" i="14"/>
  <c r="C34" i="14"/>
  <c r="C35" i="14"/>
  <c r="C36" i="14"/>
  <c r="C37" i="14"/>
  <c r="C38" i="14"/>
  <c r="C39" i="14"/>
  <c r="B21" i="14"/>
  <c r="B104" i="14" s="1"/>
  <c r="E104" i="14" s="1"/>
  <c r="F104" i="14" s="1"/>
  <c r="B22" i="14"/>
  <c r="B105" i="14" s="1"/>
  <c r="E105" i="14" s="1"/>
  <c r="F105" i="14" s="1"/>
  <c r="B23" i="14"/>
  <c r="B50" i="14" s="1"/>
  <c r="B24" i="14"/>
  <c r="B25" i="14"/>
  <c r="B26" i="14"/>
  <c r="B27" i="14"/>
  <c r="B28" i="14"/>
  <c r="B29" i="14"/>
  <c r="B30" i="14"/>
  <c r="B31" i="14"/>
  <c r="B32" i="14"/>
  <c r="B33" i="14"/>
  <c r="B34" i="14"/>
  <c r="B35" i="14"/>
  <c r="B36" i="14"/>
  <c r="B37" i="14"/>
  <c r="B38" i="14"/>
  <c r="B39" i="14"/>
  <c r="D46" i="13"/>
  <c r="B63" i="14"/>
  <c r="B91" i="14"/>
  <c r="B59" i="14"/>
  <c r="B87" i="14"/>
  <c r="B55" i="14"/>
  <c r="B83" i="14"/>
  <c r="B51" i="14"/>
  <c r="B79" i="14"/>
  <c r="B66" i="14"/>
  <c r="B94" i="14"/>
  <c r="B62" i="14"/>
  <c r="B90" i="14"/>
  <c r="B58" i="14"/>
  <c r="B86" i="14"/>
  <c r="B54" i="14"/>
  <c r="B82" i="14"/>
  <c r="B65" i="14"/>
  <c r="B93" i="14"/>
  <c r="B61" i="14"/>
  <c r="B89" i="14"/>
  <c r="B57" i="14"/>
  <c r="B85" i="14"/>
  <c r="B53" i="14"/>
  <c r="B81" i="14"/>
  <c r="B64" i="14"/>
  <c r="B92" i="14"/>
  <c r="B60" i="14"/>
  <c r="B88" i="14"/>
  <c r="B56" i="14"/>
  <c r="B84" i="14"/>
  <c r="B52" i="14"/>
  <c r="B48" i="14"/>
  <c r="B76" i="14"/>
  <c r="B47" i="14"/>
  <c r="G38" i="14"/>
  <c r="D38" i="14"/>
  <c r="G36" i="14"/>
  <c r="D36" i="14"/>
  <c r="G34" i="14"/>
  <c r="D34" i="14"/>
  <c r="G32" i="14"/>
  <c r="D32" i="14"/>
  <c r="G30" i="14"/>
  <c r="D30" i="14"/>
  <c r="G28" i="14"/>
  <c r="D28" i="14"/>
  <c r="G26" i="14"/>
  <c r="D26" i="14"/>
  <c r="G24" i="14"/>
  <c r="G22" i="14"/>
  <c r="D39" i="14"/>
  <c r="G39" i="14"/>
  <c r="D37" i="14"/>
  <c r="G37" i="14"/>
  <c r="D35" i="14"/>
  <c r="G35" i="14"/>
  <c r="D33" i="14"/>
  <c r="G33" i="14"/>
  <c r="D31" i="14"/>
  <c r="G31" i="14"/>
  <c r="D29" i="14"/>
  <c r="G29" i="14"/>
  <c r="D27" i="14"/>
  <c r="G27" i="14"/>
  <c r="G23" i="14"/>
  <c r="D21" i="14"/>
  <c r="G21" i="14"/>
  <c r="G41" i="12"/>
  <c r="I41" i="12"/>
  <c r="F42" i="13" s="1"/>
  <c r="J41" i="12"/>
  <c r="K41" i="12"/>
  <c r="L41" i="12"/>
  <c r="M41" i="12"/>
  <c r="P41" i="12"/>
  <c r="E41" i="12"/>
  <c r="F6" i="13" s="1"/>
  <c r="H22" i="12"/>
  <c r="H24" i="12"/>
  <c r="D50" i="14"/>
  <c r="H27" i="12"/>
  <c r="H28" i="12"/>
  <c r="H29" i="12"/>
  <c r="H30" i="12"/>
  <c r="H31" i="12"/>
  <c r="H32" i="12"/>
  <c r="H33" i="12"/>
  <c r="H34" i="12"/>
  <c r="H35" i="12"/>
  <c r="H36" i="12"/>
  <c r="H37" i="12"/>
  <c r="H38" i="12"/>
  <c r="H39" i="12"/>
  <c r="H40" i="12"/>
  <c r="H21" i="12"/>
  <c r="U54" i="13"/>
  <c r="U53" i="13"/>
  <c r="Y54" i="13"/>
  <c r="Y53" i="13"/>
  <c r="M54" i="13"/>
  <c r="M53" i="13"/>
  <c r="V53" i="13"/>
  <c r="V54" i="13"/>
  <c r="W53" i="13"/>
  <c r="W54" i="13"/>
  <c r="Q54" i="13"/>
  <c r="Q53" i="13"/>
  <c r="N53" i="13"/>
  <c r="N54" i="13"/>
  <c r="R53" i="13"/>
  <c r="R54" i="13"/>
  <c r="O53" i="13"/>
  <c r="O54" i="13"/>
  <c r="S53" i="13"/>
  <c r="S54" i="13"/>
  <c r="L54" i="13"/>
  <c r="L53" i="13"/>
  <c r="P54" i="13"/>
  <c r="P53" i="13"/>
  <c r="T54" i="13"/>
  <c r="T53" i="13"/>
  <c r="X54" i="13"/>
  <c r="X53" i="13"/>
  <c r="BJ62" i="2"/>
  <c r="BI62" i="2"/>
  <c r="AG62" i="2"/>
  <c r="AF62" i="2"/>
  <c r="AA62" i="2"/>
  <c r="Z62" i="2"/>
  <c r="Z68" i="2" s="1"/>
  <c r="Z74" i="2" s="1"/>
  <c r="W62" i="2"/>
  <c r="V62" i="2"/>
  <c r="P62" i="2"/>
  <c r="P68" i="2" s="1"/>
  <c r="P74" i="2" s="1"/>
  <c r="F62" i="2"/>
  <c r="F68" i="2" s="1"/>
  <c r="F74" i="2" s="1"/>
  <c r="AA68" i="2"/>
  <c r="AA74" i="2" s="1"/>
  <c r="AP81" i="2"/>
  <c r="AE62" i="2"/>
  <c r="AE68" i="2" s="1"/>
  <c r="AE74" i="2" s="1"/>
  <c r="AB62" i="2"/>
  <c r="AG39" i="2"/>
  <c r="AF39" i="2"/>
  <c r="AE39" i="2"/>
  <c r="AB39" i="2"/>
  <c r="AA39" i="2"/>
  <c r="AA38" i="2" s="1"/>
  <c r="Z39" i="2"/>
  <c r="BI39" i="2"/>
  <c r="BJ39" i="2"/>
  <c r="G62" i="2"/>
  <c r="G68" i="2"/>
  <c r="G74" i="2"/>
  <c r="H62" i="2"/>
  <c r="H68" i="2" s="1"/>
  <c r="H74" i="2" s="1"/>
  <c r="K62" i="2"/>
  <c r="K68" i="2" s="1"/>
  <c r="K74" i="2" s="1"/>
  <c r="L62" i="2"/>
  <c r="L68" i="2"/>
  <c r="L74" i="2"/>
  <c r="M62" i="2"/>
  <c r="M68" i="2"/>
  <c r="M74" i="2"/>
  <c r="Q62" i="2"/>
  <c r="Q68" i="2" s="1"/>
  <c r="Q74" i="2" s="1"/>
  <c r="R62" i="2"/>
  <c r="R68" i="2"/>
  <c r="R74" i="2" s="1"/>
  <c r="U62" i="2"/>
  <c r="F39" i="2"/>
  <c r="F38" i="2"/>
  <c r="G39" i="2"/>
  <c r="H39" i="2"/>
  <c r="H38" i="2" s="1"/>
  <c r="K39" i="2"/>
  <c r="K38" i="2"/>
  <c r="L39" i="2"/>
  <c r="L38" i="2" s="1"/>
  <c r="M39" i="2"/>
  <c r="M38" i="2"/>
  <c r="P39" i="2"/>
  <c r="P38" i="2" s="1"/>
  <c r="Q39" i="2"/>
  <c r="Q38" i="2"/>
  <c r="R39" i="2"/>
  <c r="R38" i="2" s="1"/>
  <c r="U39" i="2"/>
  <c r="V39" i="2"/>
  <c r="V38" i="2"/>
  <c r="W39" i="2"/>
  <c r="AE38" i="2"/>
  <c r="AB38" i="2"/>
  <c r="Z38" i="2"/>
  <c r="AF38" i="2"/>
  <c r="G38" i="2"/>
  <c r="E65" i="11"/>
  <c r="BO46" i="2"/>
  <c r="D23" i="13" s="1"/>
  <c r="BO81" i="2"/>
  <c r="D53" i="13"/>
  <c r="BO45" i="2"/>
  <c r="D22" i="13" s="1"/>
  <c r="AB68" i="2"/>
  <c r="AB74" i="2"/>
  <c r="E41" i="11"/>
  <c r="BO44" i="2"/>
  <c r="D21" i="13" s="1"/>
  <c r="E42" i="11"/>
  <c r="BO49" i="2"/>
  <c r="D26" i="13" s="1"/>
  <c r="W68" i="2"/>
  <c r="W74" i="2" s="1"/>
  <c r="AF68" i="2"/>
  <c r="AF74" i="2" s="1"/>
  <c r="V68" i="2"/>
  <c r="V74" i="2"/>
  <c r="AG68" i="2"/>
  <c r="AG74" i="2" s="1"/>
  <c r="J62" i="2"/>
  <c r="E39" i="2"/>
  <c r="E37" i="2"/>
  <c r="I39" i="2"/>
  <c r="J39" i="2"/>
  <c r="E62" i="2"/>
  <c r="E68" i="2" s="1"/>
  <c r="E74" i="2" s="1"/>
  <c r="E38" i="2"/>
  <c r="I37" i="2"/>
  <c r="I38" i="2" s="1"/>
  <c r="J37" i="2"/>
  <c r="J68" i="2" s="1"/>
  <c r="J74" i="2" s="1"/>
  <c r="O39" i="2"/>
  <c r="N39" i="2"/>
  <c r="N38" i="2" s="1"/>
  <c r="N37" i="2"/>
  <c r="O37" i="2"/>
  <c r="O38" i="2" s="1"/>
  <c r="E45" i="11"/>
  <c r="S39" i="2"/>
  <c r="T39" i="2"/>
  <c r="S37" i="2"/>
  <c r="J38" i="2"/>
  <c r="Y39" i="2"/>
  <c r="X39" i="2"/>
  <c r="S38" i="2"/>
  <c r="Y37" i="2"/>
  <c r="AI39" i="2"/>
  <c r="AC39" i="2"/>
  <c r="Y38" i="2"/>
  <c r="AC37" i="2"/>
  <c r="AC38" i="2" s="1"/>
  <c r="AP39" i="2"/>
  <c r="AI37" i="2"/>
  <c r="AT68" i="2" l="1"/>
  <c r="AT74" i="2" s="1"/>
  <c r="BK78" i="2"/>
  <c r="BK76" i="2"/>
  <c r="C31" i="16"/>
  <c r="BN26" i="2"/>
  <c r="G31" i="16" s="1"/>
  <c r="BM26" i="2"/>
  <c r="F31" i="16" s="1"/>
  <c r="I62" i="2"/>
  <c r="BM30" i="2"/>
  <c r="BN30" i="2"/>
  <c r="F12" i="13"/>
  <c r="F33" i="13"/>
  <c r="F25" i="13"/>
  <c r="F41" i="13"/>
  <c r="BK39" i="2"/>
  <c r="J53" i="13"/>
  <c r="BM28" i="2"/>
  <c r="F34" i="16" s="1"/>
  <c r="BN28" i="2"/>
  <c r="G34" i="16" s="1"/>
  <c r="G22" i="13"/>
  <c r="F40" i="13"/>
  <c r="F43" i="13" s="1"/>
  <c r="F22" i="13"/>
  <c r="K53" i="13"/>
  <c r="Y55" i="13"/>
  <c r="F37" i="13"/>
  <c r="N62" i="2"/>
  <c r="N68" i="2" s="1"/>
  <c r="N74" i="2" s="1"/>
  <c r="K22" i="13"/>
  <c r="F28" i="13"/>
  <c r="F29" i="13"/>
  <c r="AT38" i="2"/>
  <c r="C35" i="16"/>
  <c r="BN29" i="2"/>
  <c r="G35" i="16" s="1"/>
  <c r="BM29" i="2"/>
  <c r="F35" i="16" s="1"/>
  <c r="J40" i="13"/>
  <c r="F16" i="13"/>
  <c r="F35" i="13"/>
  <c r="F27" i="13"/>
  <c r="BN27" i="2"/>
  <c r="G33" i="16" s="1"/>
  <c r="BM27" i="2"/>
  <c r="F33" i="16" s="1"/>
  <c r="F30" i="13"/>
  <c r="I53" i="13"/>
  <c r="F21" i="13"/>
  <c r="AP37" i="2"/>
  <c r="H53" i="13"/>
  <c r="AV37" i="2"/>
  <c r="C36" i="16"/>
  <c r="I42" i="13"/>
  <c r="F34" i="13"/>
  <c r="M55" i="13"/>
  <c r="W55" i="13"/>
  <c r="BI68" i="2"/>
  <c r="BI74" i="2" s="1"/>
  <c r="I54" i="13"/>
  <c r="H54" i="13"/>
  <c r="K54" i="13"/>
  <c r="D55" i="13"/>
  <c r="J54" i="13"/>
  <c r="F54" i="13"/>
  <c r="BQ82" i="2"/>
  <c r="P43" i="13"/>
  <c r="P55" i="13"/>
  <c r="T55" i="13"/>
  <c r="O55" i="13"/>
  <c r="V55" i="13"/>
  <c r="X55" i="13"/>
  <c r="S55" i="13"/>
  <c r="N55" i="13"/>
  <c r="L55" i="13"/>
  <c r="E83" i="14" s="1"/>
  <c r="F83" i="14" s="1"/>
  <c r="Q55" i="13"/>
  <c r="G25" i="14"/>
  <c r="R55" i="13"/>
  <c r="B77" i="14"/>
  <c r="E66" i="14"/>
  <c r="F66" i="14" s="1"/>
  <c r="E58" i="14"/>
  <c r="F58" i="14" s="1"/>
  <c r="B108" i="14"/>
  <c r="E108" i="14" s="1"/>
  <c r="F108" i="14" s="1"/>
  <c r="E122" i="14"/>
  <c r="F122" i="14" s="1"/>
  <c r="E114" i="14"/>
  <c r="F114" i="14" s="1"/>
  <c r="K12" i="13"/>
  <c r="K37" i="13"/>
  <c r="K29" i="13"/>
  <c r="K21" i="13"/>
  <c r="J6" i="13"/>
  <c r="J31" i="13"/>
  <c r="J23" i="13"/>
  <c r="I16" i="13"/>
  <c r="I33" i="13"/>
  <c r="I25" i="13"/>
  <c r="I41" i="13"/>
  <c r="H35" i="13"/>
  <c r="H27" i="13"/>
  <c r="G12" i="13"/>
  <c r="G37" i="13"/>
  <c r="G29" i="13"/>
  <c r="G21" i="13"/>
  <c r="B49" i="14"/>
  <c r="E65" i="14"/>
  <c r="F65" i="14" s="1"/>
  <c r="E57" i="14"/>
  <c r="F57" i="14" s="1"/>
  <c r="B107" i="14"/>
  <c r="E107" i="14" s="1"/>
  <c r="F107" i="14" s="1"/>
  <c r="E121" i="14"/>
  <c r="F121" i="14" s="1"/>
  <c r="E113" i="14"/>
  <c r="F113" i="14" s="1"/>
  <c r="M43" i="13"/>
  <c r="K28" i="13"/>
  <c r="J30" i="13"/>
  <c r="J22" i="13"/>
  <c r="I40" i="13"/>
  <c r="H34" i="13"/>
  <c r="H26" i="13"/>
  <c r="H42" i="13"/>
  <c r="G28" i="13"/>
  <c r="B80" i="14"/>
  <c r="B78" i="14"/>
  <c r="E64" i="14"/>
  <c r="F64" i="14" s="1"/>
  <c r="E56" i="14"/>
  <c r="F56" i="14" s="1"/>
  <c r="B106" i="14"/>
  <c r="E106" i="14" s="1"/>
  <c r="F106" i="14" s="1"/>
  <c r="E120" i="14"/>
  <c r="F120" i="14" s="1"/>
  <c r="E112" i="14"/>
  <c r="F112" i="14" s="1"/>
  <c r="K35" i="13"/>
  <c r="K27" i="13"/>
  <c r="J12" i="13"/>
  <c r="J37" i="13"/>
  <c r="J29" i="13"/>
  <c r="J21" i="13"/>
  <c r="I6" i="13"/>
  <c r="I31" i="13"/>
  <c r="I23" i="13"/>
  <c r="H16" i="13"/>
  <c r="H33" i="13"/>
  <c r="H25" i="13"/>
  <c r="H41" i="13"/>
  <c r="G35" i="13"/>
  <c r="G27" i="13"/>
  <c r="E63" i="14"/>
  <c r="F63" i="14" s="1"/>
  <c r="E55" i="14"/>
  <c r="F55" i="14" s="1"/>
  <c r="E119" i="14"/>
  <c r="F119" i="14" s="1"/>
  <c r="E111" i="14"/>
  <c r="F111" i="14" s="1"/>
  <c r="L43" i="13"/>
  <c r="K34" i="13"/>
  <c r="K26" i="13"/>
  <c r="K42" i="13"/>
  <c r="J28" i="13"/>
  <c r="I30" i="13"/>
  <c r="I22" i="13"/>
  <c r="H40" i="13"/>
  <c r="G34" i="13"/>
  <c r="G26" i="13"/>
  <c r="G42" i="13"/>
  <c r="E62" i="14"/>
  <c r="F62" i="14" s="1"/>
  <c r="E54" i="14"/>
  <c r="F54" i="14" s="1"/>
  <c r="B75" i="14"/>
  <c r="G54" i="13"/>
  <c r="E118" i="14"/>
  <c r="F118" i="14" s="1"/>
  <c r="E110" i="14"/>
  <c r="F110" i="14" s="1"/>
  <c r="K16" i="13"/>
  <c r="K33" i="13"/>
  <c r="K25" i="13"/>
  <c r="K41" i="13"/>
  <c r="J35" i="13"/>
  <c r="J27" i="13"/>
  <c r="I12" i="13"/>
  <c r="I37" i="13"/>
  <c r="I29" i="13"/>
  <c r="I21" i="13"/>
  <c r="H6" i="13"/>
  <c r="H31" i="13"/>
  <c r="H23" i="13"/>
  <c r="G16" i="13"/>
  <c r="G33" i="13"/>
  <c r="G25" i="13"/>
  <c r="G41" i="13"/>
  <c r="E61" i="14"/>
  <c r="F61" i="14" s="1"/>
  <c r="E53" i="14"/>
  <c r="F53" i="14" s="1"/>
  <c r="E86" i="14"/>
  <c r="F86" i="14" s="1"/>
  <c r="G53" i="13"/>
  <c r="E117" i="14"/>
  <c r="F117" i="14" s="1"/>
  <c r="E109" i="14"/>
  <c r="F109" i="14" s="1"/>
  <c r="K40" i="13"/>
  <c r="J34" i="13"/>
  <c r="J26" i="13"/>
  <c r="J42" i="13"/>
  <c r="I28" i="13"/>
  <c r="H30" i="13"/>
  <c r="H22" i="13"/>
  <c r="G40" i="13"/>
  <c r="E60" i="14"/>
  <c r="F60" i="14" s="1"/>
  <c r="E93" i="14"/>
  <c r="F93" i="14" s="1"/>
  <c r="E85" i="14"/>
  <c r="F85" i="14" s="1"/>
  <c r="E116" i="14"/>
  <c r="F116" i="14" s="1"/>
  <c r="K6" i="13"/>
  <c r="K31" i="13"/>
  <c r="K23" i="13"/>
  <c r="J16" i="13"/>
  <c r="J33" i="13"/>
  <c r="J25" i="13"/>
  <c r="J41" i="13"/>
  <c r="I35" i="13"/>
  <c r="I27" i="13"/>
  <c r="H12" i="13"/>
  <c r="H37" i="13"/>
  <c r="H29" i="13"/>
  <c r="H21" i="13"/>
  <c r="G6" i="13"/>
  <c r="G31" i="13"/>
  <c r="G23" i="13"/>
  <c r="U55" i="13"/>
  <c r="E59" i="14"/>
  <c r="F59" i="14" s="1"/>
  <c r="E84" i="14"/>
  <c r="F84" i="14" s="1"/>
  <c r="E115" i="14"/>
  <c r="F115" i="14" s="1"/>
  <c r="K30" i="13"/>
  <c r="I34" i="13"/>
  <c r="I26" i="13"/>
  <c r="H28" i="13"/>
  <c r="G30" i="13"/>
  <c r="BJ68" i="2"/>
  <c r="BJ74" i="2" s="1"/>
  <c r="S43" i="13"/>
  <c r="J6" i="16"/>
  <c r="E40" i="11"/>
  <c r="BK52" i="2"/>
  <c r="AP38" i="2"/>
  <c r="J14" i="16"/>
  <c r="E48" i="11"/>
  <c r="U43" i="13"/>
  <c r="O43" i="13"/>
  <c r="Y43" i="13"/>
  <c r="Q43" i="13"/>
  <c r="X43" i="13"/>
  <c r="T43" i="13"/>
  <c r="W43" i="13"/>
  <c r="V43" i="13"/>
  <c r="R43" i="13"/>
  <c r="N43" i="13"/>
  <c r="BK48" i="2"/>
  <c r="BQ48" i="2"/>
  <c r="BQ50" i="2"/>
  <c r="BK50" i="2"/>
  <c r="U38" i="13"/>
  <c r="M38" i="13"/>
  <c r="C20" i="16"/>
  <c r="E20" i="16" s="1"/>
  <c r="H20" i="16" s="1"/>
  <c r="BO76" i="2"/>
  <c r="C22" i="16"/>
  <c r="E22" i="16" s="1"/>
  <c r="H22" i="16" s="1"/>
  <c r="BO78" i="2"/>
  <c r="C21" i="16"/>
  <c r="E21" i="16" s="1"/>
  <c r="H21" i="16" s="1"/>
  <c r="BO77" i="2"/>
  <c r="C23" i="16"/>
  <c r="E23" i="16" s="1"/>
  <c r="H23" i="16" s="1"/>
  <c r="BO79" i="2"/>
  <c r="BQ76" i="2"/>
  <c r="W38" i="13"/>
  <c r="O38" i="13"/>
  <c r="Y38" i="13"/>
  <c r="Q38" i="13"/>
  <c r="S38" i="13"/>
  <c r="BQ47" i="2"/>
  <c r="BK47" i="2"/>
  <c r="N38" i="13"/>
  <c r="P38" i="13"/>
  <c r="R38" i="13"/>
  <c r="T38" i="13"/>
  <c r="V38" i="13"/>
  <c r="X38" i="13"/>
  <c r="L38" i="13"/>
  <c r="BQ43" i="2"/>
  <c r="BK43" i="2"/>
  <c r="S42" i="2"/>
  <c r="O62" i="2"/>
  <c r="O68" i="2" s="1"/>
  <c r="O74" i="2" s="1"/>
  <c r="BQ65" i="2"/>
  <c r="BL65" i="2"/>
  <c r="BL33" i="2"/>
  <c r="BO33" i="2" s="1"/>
  <c r="D14" i="13" s="1"/>
  <c r="H14" i="13" s="1"/>
  <c r="BQ33" i="2"/>
  <c r="E33" i="11" s="1"/>
  <c r="AH30" i="2"/>
  <c r="AD39" i="2"/>
  <c r="AD38" i="2" s="1"/>
  <c r="AD27" i="2"/>
  <c r="AH27" i="2" s="1"/>
  <c r="AQ27" i="2" s="1"/>
  <c r="AU27" i="2" s="1"/>
  <c r="BD27" i="2" s="1"/>
  <c r="BH27" i="2" s="1"/>
  <c r="X59" i="2"/>
  <c r="AD59" i="2" s="1"/>
  <c r="AH59" i="2" s="1"/>
  <c r="AQ59" i="2" s="1"/>
  <c r="AU59" i="2" s="1"/>
  <c r="BD59" i="2" s="1"/>
  <c r="BH59" i="2" s="1"/>
  <c r="T62" i="2"/>
  <c r="T68" i="2" s="1"/>
  <c r="T74" i="2" s="1"/>
  <c r="X32" i="2"/>
  <c r="AD32" i="2" s="1"/>
  <c r="AH32" i="2" s="1"/>
  <c r="AQ32" i="2" s="1"/>
  <c r="AU32" i="2" s="1"/>
  <c r="BD32" i="2" s="1"/>
  <c r="BH32" i="2" s="1"/>
  <c r="T37" i="2"/>
  <c r="T38" i="2" s="1"/>
  <c r="BQ28" i="2"/>
  <c r="BL28" i="2"/>
  <c r="AH26" i="2"/>
  <c r="AQ26" i="2" s="1"/>
  <c r="AU26" i="2" s="1"/>
  <c r="BD26" i="2" s="1"/>
  <c r="BH26" i="2" s="1"/>
  <c r="AD37" i="2"/>
  <c r="BQ58" i="2"/>
  <c r="BL58" i="2"/>
  <c r="BQ55" i="2"/>
  <c r="BL55" i="2"/>
  <c r="AD53" i="2"/>
  <c r="BQ51" i="2"/>
  <c r="BL51" i="2"/>
  <c r="BL71" i="2"/>
  <c r="BQ71" i="2"/>
  <c r="BQ64" i="2"/>
  <c r="BL64" i="2"/>
  <c r="BL31" i="2"/>
  <c r="BO31" i="2" s="1"/>
  <c r="D12" i="13" s="1"/>
  <c r="BQ31" i="2"/>
  <c r="E31" i="11" s="1"/>
  <c r="AQ25" i="2"/>
  <c r="AH37" i="2"/>
  <c r="BL56" i="2"/>
  <c r="BQ56" i="2"/>
  <c r="BQ66" i="2"/>
  <c r="BL66" i="2"/>
  <c r="BL29" i="2"/>
  <c r="BQ29" i="2"/>
  <c r="BL60" i="2"/>
  <c r="BQ60" i="2"/>
  <c r="BQ57" i="2"/>
  <c r="BL57" i="2"/>
  <c r="BQ54" i="2"/>
  <c r="BL54" i="2"/>
  <c r="AG38" i="2"/>
  <c r="U68" i="2"/>
  <c r="U74" i="2" s="1"/>
  <c r="BF38" i="2"/>
  <c r="AO38" i="2"/>
  <c r="BE38" i="2"/>
  <c r="W38" i="2"/>
  <c r="BO34" i="2"/>
  <c r="D15" i="13" s="1"/>
  <c r="F15" i="13" s="1"/>
  <c r="AV38" i="2"/>
  <c r="BQ77" i="2"/>
  <c r="BQ78" i="2"/>
  <c r="BK24" i="2"/>
  <c r="BQ24" i="2"/>
  <c r="BQ79" i="2"/>
  <c r="Y17" i="13"/>
  <c r="X17" i="13"/>
  <c r="W17" i="13"/>
  <c r="V17" i="13"/>
  <c r="U17" i="13"/>
  <c r="T17" i="13"/>
  <c r="S17" i="13"/>
  <c r="R17" i="13"/>
  <c r="Q17" i="13"/>
  <c r="P17" i="13"/>
  <c r="O17" i="13"/>
  <c r="N17" i="13"/>
  <c r="M17" i="13"/>
  <c r="L17" i="13"/>
  <c r="H42" i="16"/>
  <c r="H40" i="16"/>
  <c r="E30" i="16"/>
  <c r="H30" i="16" s="1"/>
  <c r="BF68" i="2"/>
  <c r="BF74" i="2" s="1"/>
  <c r="E41" i="16"/>
  <c r="H41" i="16" s="1"/>
  <c r="BC37" i="2"/>
  <c r="BK35" i="2"/>
  <c r="BD35" i="2"/>
  <c r="AI38" i="2"/>
  <c r="U38" i="2"/>
  <c r="E8" i="16"/>
  <c r="H8" i="16" s="1"/>
  <c r="E6" i="16"/>
  <c r="H6" i="16" s="1"/>
  <c r="E39" i="16"/>
  <c r="H39" i="16" s="1"/>
  <c r="E29" i="16"/>
  <c r="H29" i="16" s="1"/>
  <c r="E11" i="16"/>
  <c r="H11" i="16" s="1"/>
  <c r="E7" i="16"/>
  <c r="H7" i="16" s="1"/>
  <c r="I68" i="2"/>
  <c r="I74" i="2" s="1"/>
  <c r="M49" i="13" l="1"/>
  <c r="M51" i="13" s="1"/>
  <c r="I14" i="13"/>
  <c r="K14" i="13"/>
  <c r="F55" i="13"/>
  <c r="I43" i="13"/>
  <c r="I55" i="13"/>
  <c r="E78" i="14" s="1"/>
  <c r="K43" i="13"/>
  <c r="G36" i="16"/>
  <c r="BN39" i="2"/>
  <c r="K55" i="13"/>
  <c r="E80" i="14" s="1"/>
  <c r="E92" i="14"/>
  <c r="F92" i="14" s="1"/>
  <c r="E88" i="14"/>
  <c r="F88" i="14" s="1"/>
  <c r="E82" i="14"/>
  <c r="F82" i="14" s="1"/>
  <c r="H55" i="13"/>
  <c r="E77" i="14" s="1"/>
  <c r="E94" i="14"/>
  <c r="F94" i="14" s="1"/>
  <c r="BN24" i="2"/>
  <c r="BM24" i="2"/>
  <c r="BN43" i="2"/>
  <c r="G5" i="16" s="1"/>
  <c r="BM43" i="2"/>
  <c r="F5" i="16" s="1"/>
  <c r="J14" i="13"/>
  <c r="E81" i="14"/>
  <c r="F81" i="14" s="1"/>
  <c r="J55" i="13"/>
  <c r="E79" i="14" s="1"/>
  <c r="F14" i="13"/>
  <c r="F36" i="16"/>
  <c r="BM39" i="2"/>
  <c r="U49" i="13"/>
  <c r="U51" i="13" s="1"/>
  <c r="G14" i="13"/>
  <c r="H15" i="13"/>
  <c r="G15" i="13"/>
  <c r="K15" i="13"/>
  <c r="J15" i="13"/>
  <c r="I15" i="13"/>
  <c r="E87" i="14"/>
  <c r="F87" i="14" s="1"/>
  <c r="E89" i="14"/>
  <c r="F89" i="14" s="1"/>
  <c r="E90" i="14"/>
  <c r="F90" i="14" s="1"/>
  <c r="E75" i="14"/>
  <c r="J30" i="16"/>
  <c r="E66" i="11"/>
  <c r="E91" i="14"/>
  <c r="F91" i="14" s="1"/>
  <c r="G55" i="13"/>
  <c r="E76" i="14" s="1"/>
  <c r="G43" i="13"/>
  <c r="H43" i="13"/>
  <c r="E123" i="14"/>
  <c r="Y49" i="13"/>
  <c r="Y51" i="13" s="1"/>
  <c r="O49" i="13"/>
  <c r="O51" i="13" s="1"/>
  <c r="J43" i="13"/>
  <c r="L49" i="13"/>
  <c r="L51" i="13" s="1"/>
  <c r="BO52" i="2"/>
  <c r="D29" i="13" s="1"/>
  <c r="C14" i="16"/>
  <c r="E14" i="16" s="1"/>
  <c r="H14" i="16" s="1"/>
  <c r="R49" i="13"/>
  <c r="R51" i="13" s="1"/>
  <c r="X49" i="13"/>
  <c r="X51" i="13" s="1"/>
  <c r="S49" i="13"/>
  <c r="S51" i="13" s="1"/>
  <c r="V49" i="13"/>
  <c r="V51" i="13" s="1"/>
  <c r="T49" i="13"/>
  <c r="T51" i="13" s="1"/>
  <c r="P49" i="13"/>
  <c r="P51" i="13" s="1"/>
  <c r="N49" i="13"/>
  <c r="N51" i="13" s="1"/>
  <c r="W49" i="13"/>
  <c r="W51" i="13" s="1"/>
  <c r="Q49" i="13"/>
  <c r="Q51" i="13" s="1"/>
  <c r="BO50" i="2"/>
  <c r="D27" i="13" s="1"/>
  <c r="C12" i="16"/>
  <c r="E12" i="16" s="1"/>
  <c r="H12" i="16" s="1"/>
  <c r="J12" i="16"/>
  <c r="E46" i="11"/>
  <c r="E44" i="11"/>
  <c r="J10" i="16"/>
  <c r="C10" i="16"/>
  <c r="E10" i="16" s="1"/>
  <c r="H10" i="16" s="1"/>
  <c r="BO48" i="2"/>
  <c r="D25" i="13" s="1"/>
  <c r="X62" i="2"/>
  <c r="J20" i="16"/>
  <c r="E61" i="11"/>
  <c r="BO47" i="2"/>
  <c r="D24" i="13" s="1"/>
  <c r="C9" i="16"/>
  <c r="E9" i="16" s="1"/>
  <c r="H9" i="16" s="1"/>
  <c r="E43" i="11"/>
  <c r="J9" i="16"/>
  <c r="Y42" i="2"/>
  <c r="S62" i="2"/>
  <c r="S68" i="2" s="1"/>
  <c r="S74" i="2" s="1"/>
  <c r="BO43" i="2"/>
  <c r="D20" i="13" s="1"/>
  <c r="C5" i="16"/>
  <c r="E5" i="16" s="1"/>
  <c r="J5" i="16"/>
  <c r="E39" i="11"/>
  <c r="J22" i="16"/>
  <c r="E63" i="11"/>
  <c r="D16" i="16"/>
  <c r="E16" i="16" s="1"/>
  <c r="H16" i="16" s="1"/>
  <c r="BO54" i="2"/>
  <c r="D31" i="13" s="1"/>
  <c r="E56" i="11"/>
  <c r="J44" i="16"/>
  <c r="E24" i="11"/>
  <c r="J18" i="16"/>
  <c r="D27" i="16"/>
  <c r="E27" i="16" s="1"/>
  <c r="H27" i="16" s="1"/>
  <c r="BO57" i="2"/>
  <c r="D34" i="13" s="1"/>
  <c r="E29" i="11"/>
  <c r="J35" i="16"/>
  <c r="D24" i="16"/>
  <c r="E24" i="16" s="1"/>
  <c r="H24" i="16" s="1"/>
  <c r="BO64" i="2"/>
  <c r="D40" i="13" s="1"/>
  <c r="BO51" i="2"/>
  <c r="D28" i="13" s="1"/>
  <c r="D13" i="16"/>
  <c r="E13" i="16" s="1"/>
  <c r="H13" i="16" s="1"/>
  <c r="BO55" i="2"/>
  <c r="D32" i="13" s="1"/>
  <c r="D17" i="16"/>
  <c r="E17" i="16" s="1"/>
  <c r="H17" i="16" s="1"/>
  <c r="BL27" i="2"/>
  <c r="BQ27" i="2"/>
  <c r="D38" i="16"/>
  <c r="E38" i="16" s="1"/>
  <c r="H38" i="16" s="1"/>
  <c r="BO66" i="2"/>
  <c r="D42" i="13" s="1"/>
  <c r="BO24" i="2"/>
  <c r="D5" i="13" s="1"/>
  <c r="C18" i="16"/>
  <c r="E18" i="16" s="1"/>
  <c r="J27" i="16"/>
  <c r="E53" i="11"/>
  <c r="D35" i="16"/>
  <c r="E35" i="16" s="1"/>
  <c r="H35" i="16" s="1"/>
  <c r="BO29" i="2"/>
  <c r="D10" i="13" s="1"/>
  <c r="AU25" i="2"/>
  <c r="J24" i="16"/>
  <c r="E57" i="11"/>
  <c r="E47" i="11"/>
  <c r="J13" i="16"/>
  <c r="E51" i="11"/>
  <c r="J17" i="16"/>
  <c r="BQ26" i="2"/>
  <c r="BL26" i="2"/>
  <c r="BQ32" i="2"/>
  <c r="E32" i="11" s="1"/>
  <c r="BL32" i="2"/>
  <c r="BO32" i="2" s="1"/>
  <c r="D13" i="13" s="1"/>
  <c r="X37" i="2"/>
  <c r="X38" i="2" s="1"/>
  <c r="J25" i="16"/>
  <c r="E52" i="11"/>
  <c r="J26" i="16"/>
  <c r="E60" i="11"/>
  <c r="D28" i="16"/>
  <c r="E28" i="16" s="1"/>
  <c r="H28" i="16" s="1"/>
  <c r="BO58" i="2"/>
  <c r="D35" i="13" s="1"/>
  <c r="D34" i="16"/>
  <c r="E34" i="16" s="1"/>
  <c r="H34" i="16" s="1"/>
  <c r="BO28" i="2"/>
  <c r="D9" i="13" s="1"/>
  <c r="BO65" i="2"/>
  <c r="D41" i="13" s="1"/>
  <c r="D37" i="16"/>
  <c r="E37" i="16" s="1"/>
  <c r="H37" i="16" s="1"/>
  <c r="E64" i="11"/>
  <c r="J23" i="16"/>
  <c r="E62" i="11"/>
  <c r="J21" i="16"/>
  <c r="J16" i="16"/>
  <c r="E50" i="11"/>
  <c r="BO60" i="2"/>
  <c r="D37" i="13" s="1"/>
  <c r="D44" i="16"/>
  <c r="E44" i="16" s="1"/>
  <c r="H44" i="16" s="1"/>
  <c r="J38" i="16"/>
  <c r="E59" i="11"/>
  <c r="BO56" i="2"/>
  <c r="D33" i="13" s="1"/>
  <c r="D25" i="16"/>
  <c r="E25" i="16" s="1"/>
  <c r="H25" i="16" s="1"/>
  <c r="D26" i="16"/>
  <c r="E26" i="16" s="1"/>
  <c r="H26" i="16" s="1"/>
  <c r="BO71" i="2"/>
  <c r="AH53" i="2"/>
  <c r="AD62" i="2"/>
  <c r="AD68" i="2" s="1"/>
  <c r="AD74" i="2" s="1"/>
  <c r="J28" i="16"/>
  <c r="E54" i="11"/>
  <c r="J34" i="16"/>
  <c r="E28" i="11"/>
  <c r="BQ59" i="2"/>
  <c r="BL59" i="2"/>
  <c r="AH39" i="2"/>
  <c r="AH38" i="2" s="1"/>
  <c r="AQ30" i="2"/>
  <c r="AQ37" i="2" s="1"/>
  <c r="E58" i="11"/>
  <c r="J37" i="16"/>
  <c r="BK37" i="2"/>
  <c r="C43" i="16"/>
  <c r="BC38" i="2"/>
  <c r="BH35" i="2"/>
  <c r="E36" i="14" l="1"/>
  <c r="F36" i="14" s="1"/>
  <c r="F76" i="14"/>
  <c r="F78" i="14"/>
  <c r="F75" i="14"/>
  <c r="F10" i="13"/>
  <c r="G10" i="13"/>
  <c r="J10" i="13"/>
  <c r="I10" i="13"/>
  <c r="H10" i="13"/>
  <c r="K10" i="13"/>
  <c r="J20" i="13"/>
  <c r="G20" i="13"/>
  <c r="F20" i="13"/>
  <c r="I20" i="13"/>
  <c r="H20" i="13"/>
  <c r="K20" i="13"/>
  <c r="F32" i="13"/>
  <c r="G32" i="13"/>
  <c r="I32" i="13"/>
  <c r="K32" i="13"/>
  <c r="J32" i="13"/>
  <c r="H32" i="13"/>
  <c r="H5" i="13"/>
  <c r="K5" i="13"/>
  <c r="F5" i="13"/>
  <c r="I5" i="13"/>
  <c r="G5" i="13"/>
  <c r="J5" i="13"/>
  <c r="F9" i="13"/>
  <c r="G9" i="13"/>
  <c r="K9" i="13"/>
  <c r="J9" i="13"/>
  <c r="H9" i="13"/>
  <c r="I9" i="13"/>
  <c r="I24" i="13"/>
  <c r="J24" i="13"/>
  <c r="F24" i="13"/>
  <c r="G24" i="13"/>
  <c r="K24" i="13"/>
  <c r="H24" i="13"/>
  <c r="F18" i="16"/>
  <c r="BM37" i="2"/>
  <c r="BM38" i="2" s="1"/>
  <c r="H5" i="16"/>
  <c r="BN37" i="2"/>
  <c r="BN38" i="2" s="1"/>
  <c r="G18" i="16"/>
  <c r="E95" i="14"/>
  <c r="F13" i="13"/>
  <c r="K13" i="13"/>
  <c r="H13" i="13"/>
  <c r="J13" i="13"/>
  <c r="G13" i="13"/>
  <c r="I13" i="13"/>
  <c r="E35" i="14"/>
  <c r="F35" i="14" s="1"/>
  <c r="E33" i="14"/>
  <c r="F33" i="14" s="1"/>
  <c r="E34" i="14"/>
  <c r="F34" i="14" s="1"/>
  <c r="E30" i="14"/>
  <c r="F30" i="14" s="1"/>
  <c r="E37" i="14"/>
  <c r="F37" i="14" s="1"/>
  <c r="E32" i="14"/>
  <c r="F32" i="14" s="1"/>
  <c r="E29" i="14"/>
  <c r="F29" i="14" s="1"/>
  <c r="E31" i="14"/>
  <c r="F31" i="14" s="1"/>
  <c r="E28" i="14"/>
  <c r="F28" i="14" s="1"/>
  <c r="E26" i="14"/>
  <c r="F26" i="14" s="1"/>
  <c r="E39" i="14"/>
  <c r="F39" i="14" s="1"/>
  <c r="E38" i="14"/>
  <c r="F38" i="14" s="1"/>
  <c r="E27" i="14"/>
  <c r="F27" i="14" s="1"/>
  <c r="AC42" i="2"/>
  <c r="Y62" i="2"/>
  <c r="Y68" i="2" s="1"/>
  <c r="Y74" i="2" s="1"/>
  <c r="D32" i="16"/>
  <c r="E32" i="16" s="1"/>
  <c r="H32" i="16" s="1"/>
  <c r="BO59" i="2"/>
  <c r="D36" i="13" s="1"/>
  <c r="D33" i="16"/>
  <c r="E33" i="16" s="1"/>
  <c r="H33" i="16" s="1"/>
  <c r="BO27" i="2"/>
  <c r="D8" i="13" s="1"/>
  <c r="P42" i="12"/>
  <c r="P43" i="12" s="1"/>
  <c r="D45" i="13"/>
  <c r="D47" i="13" s="1"/>
  <c r="J32" i="16"/>
  <c r="E55" i="11"/>
  <c r="X68" i="2"/>
  <c r="X74" i="2" s="1"/>
  <c r="D31" i="16"/>
  <c r="E31" i="16" s="1"/>
  <c r="H31" i="16" s="1"/>
  <c r="BO26" i="2"/>
  <c r="D7" i="13" s="1"/>
  <c r="AQ39" i="2"/>
  <c r="AQ38" i="2" s="1"/>
  <c r="AU30" i="2"/>
  <c r="AU37" i="2" s="1"/>
  <c r="J31" i="16"/>
  <c r="E26" i="11"/>
  <c r="BD25" i="2"/>
  <c r="AQ53" i="2"/>
  <c r="AH62" i="2"/>
  <c r="AH68" i="2" s="1"/>
  <c r="AH74" i="2" s="1"/>
  <c r="E27" i="11"/>
  <c r="J33" i="16"/>
  <c r="D43" i="13"/>
  <c r="BK38" i="2"/>
  <c r="BL35" i="2"/>
  <c r="BQ35" i="2"/>
  <c r="H18" i="16" l="1"/>
  <c r="H8" i="13"/>
  <c r="K8" i="13"/>
  <c r="G8" i="13"/>
  <c r="F8" i="13"/>
  <c r="J8" i="13"/>
  <c r="I8" i="13"/>
  <c r="F36" i="13"/>
  <c r="I36" i="13"/>
  <c r="K36" i="13"/>
  <c r="H36" i="13"/>
  <c r="G36" i="13"/>
  <c r="J36" i="13"/>
  <c r="K7" i="13"/>
  <c r="H7" i="13"/>
  <c r="J7" i="13"/>
  <c r="I7" i="13"/>
  <c r="F7" i="13"/>
  <c r="G7" i="13"/>
  <c r="AI42" i="2"/>
  <c r="AC62" i="2"/>
  <c r="AC68" i="2" s="1"/>
  <c r="AC74" i="2" s="1"/>
  <c r="BH25" i="2"/>
  <c r="AU53" i="2"/>
  <c r="AQ62" i="2"/>
  <c r="AQ68" i="2" s="1"/>
  <c r="AQ74" i="2" s="1"/>
  <c r="BD30" i="2"/>
  <c r="AU39" i="2"/>
  <c r="AU38" i="2" s="1"/>
  <c r="D43" i="16"/>
  <c r="E43" i="16" s="1"/>
  <c r="H43" i="16" s="1"/>
  <c r="BO35" i="2"/>
  <c r="J43" i="16"/>
  <c r="E35" i="11"/>
  <c r="AP42" i="2" l="1"/>
  <c r="AI62" i="2"/>
  <c r="AI68" i="2" s="1"/>
  <c r="AI74" i="2" s="1"/>
  <c r="BQ25" i="2"/>
  <c r="BL25" i="2"/>
  <c r="BD53" i="2"/>
  <c r="AU62" i="2"/>
  <c r="AU68" i="2" s="1"/>
  <c r="AU74" i="2" s="1"/>
  <c r="BH30" i="2"/>
  <c r="BH37" i="2" s="1"/>
  <c r="BD39" i="2"/>
  <c r="BD37" i="2"/>
  <c r="D16" i="13"/>
  <c r="BD38" i="2" l="1"/>
  <c r="AV42" i="2"/>
  <c r="AP62" i="2"/>
  <c r="AP68" i="2" s="1"/>
  <c r="AP74" i="2" s="1"/>
  <c r="BQ37" i="2"/>
  <c r="BH53" i="2"/>
  <c r="BD62" i="2"/>
  <c r="BD68" i="2" s="1"/>
  <c r="BD74" i="2" s="1"/>
  <c r="BQ30" i="2"/>
  <c r="BH39" i="2"/>
  <c r="BQ39" i="2" s="1"/>
  <c r="BL30" i="2"/>
  <c r="BO25" i="2"/>
  <c r="D19" i="16"/>
  <c r="E19" i="16" s="1"/>
  <c r="H19" i="16" s="1"/>
  <c r="E25" i="11"/>
  <c r="J19" i="16"/>
  <c r="BC42" i="2" l="1"/>
  <c r="AV62" i="2"/>
  <c r="AV68" i="2" s="1"/>
  <c r="AV74" i="2" s="1"/>
  <c r="D6" i="13"/>
  <c r="D36" i="16"/>
  <c r="E36" i="16" s="1"/>
  <c r="H36" i="16" s="1"/>
  <c r="BL39" i="2"/>
  <c r="BO39" i="2" s="1"/>
  <c r="BO30" i="2"/>
  <c r="D11" i="13" s="1"/>
  <c r="BL53" i="2"/>
  <c r="BQ53" i="2"/>
  <c r="BH62" i="2"/>
  <c r="BL37" i="2"/>
  <c r="J36" i="16"/>
  <c r="E30" i="11"/>
  <c r="BH38" i="2"/>
  <c r="BQ38" i="2" s="1"/>
  <c r="D50" i="13" l="1"/>
  <c r="I11" i="13"/>
  <c r="F11" i="13"/>
  <c r="H11" i="13"/>
  <c r="K11" i="13"/>
  <c r="G11" i="13"/>
  <c r="J11" i="13"/>
  <c r="BL38" i="2"/>
  <c r="BO38" i="2" s="1"/>
  <c r="BK42" i="2"/>
  <c r="BQ42" i="2"/>
  <c r="BC62" i="2"/>
  <c r="BC68" i="2" s="1"/>
  <c r="BC74" i="2" s="1"/>
  <c r="BH68" i="2"/>
  <c r="J15" i="16"/>
  <c r="E49" i="11"/>
  <c r="D15" i="16"/>
  <c r="E15" i="16" s="1"/>
  <c r="H15" i="16" s="1"/>
  <c r="BO53" i="2"/>
  <c r="D30" i="13" s="1"/>
  <c r="BL62" i="2"/>
  <c r="BO37" i="2"/>
  <c r="D17" i="13"/>
  <c r="H50" i="13" l="1"/>
  <c r="E49" i="14" s="1"/>
  <c r="H17" i="13"/>
  <c r="J50" i="13"/>
  <c r="E51" i="14" s="1"/>
  <c r="J17" i="13"/>
  <c r="F50" i="13"/>
  <c r="E47" i="14" s="1"/>
  <c r="F17" i="13"/>
  <c r="G50" i="13"/>
  <c r="E48" i="14" s="1"/>
  <c r="G17" i="13"/>
  <c r="I50" i="13"/>
  <c r="E50" i="14" s="1"/>
  <c r="I17" i="13"/>
  <c r="K50" i="13"/>
  <c r="E52" i="14" s="1"/>
  <c r="K17" i="13"/>
  <c r="BN42" i="2"/>
  <c r="BM42" i="2"/>
  <c r="BQ62" i="2"/>
  <c r="E38" i="11"/>
  <c r="J4" i="16"/>
  <c r="C4" i="16"/>
  <c r="E4" i="16" s="1"/>
  <c r="BK62" i="2"/>
  <c r="BK68" i="2" s="1"/>
  <c r="BK74" i="2" s="1"/>
  <c r="BL68" i="2"/>
  <c r="BL74" i="2" s="1"/>
  <c r="BH74" i="2"/>
  <c r="BQ74" i="2" s="1"/>
  <c r="BQ68" i="2"/>
  <c r="F50" i="14" l="1"/>
  <c r="F48" i="14"/>
  <c r="BN62" i="2"/>
  <c r="BN68" i="2" s="1"/>
  <c r="BN74" i="2" s="1"/>
  <c r="G4" i="16"/>
  <c r="BO42" i="2"/>
  <c r="D19" i="13" s="1"/>
  <c r="BM62" i="2"/>
  <c r="BM68" i="2" s="1"/>
  <c r="BM74" i="2" s="1"/>
  <c r="F4" i="16"/>
  <c r="F47" i="14"/>
  <c r="E67" i="14"/>
  <c r="H4" i="16" l="1"/>
  <c r="BO62" i="2"/>
  <c r="BO68" i="2" s="1"/>
  <c r="BO74" i="2" s="1"/>
  <c r="D38" i="13"/>
  <c r="J19" i="13"/>
  <c r="G19" i="13"/>
  <c r="K19" i="13"/>
  <c r="I19" i="13"/>
  <c r="F19" i="13"/>
  <c r="H19" i="13"/>
  <c r="F38" i="13" l="1"/>
  <c r="F49" i="13" s="1"/>
  <c r="F51" i="13" s="1"/>
  <c r="I38" i="13"/>
  <c r="I49" i="13" s="1"/>
  <c r="I51" i="13" s="1"/>
  <c r="G38" i="13"/>
  <c r="G49" i="13" s="1"/>
  <c r="E21" i="14" s="1"/>
  <c r="J38" i="13"/>
  <c r="J49" i="13" s="1"/>
  <c r="J51" i="13" s="1"/>
  <c r="K38" i="13"/>
  <c r="K49" i="13" s="1"/>
  <c r="K51" i="13" s="1"/>
  <c r="H38" i="13"/>
  <c r="H49" i="13" s="1"/>
  <c r="H51" i="13" s="1"/>
  <c r="F21" i="14" l="1"/>
  <c r="E23" i="14"/>
  <c r="E24" i="14"/>
  <c r="E22" i="14"/>
  <c r="E25" i="14"/>
  <c r="E20" i="14"/>
  <c r="D49" i="13"/>
  <c r="D51" i="13" s="1"/>
  <c r="G51" i="13"/>
  <c r="F20" i="14" l="1"/>
  <c r="F23" i="14"/>
  <c r="E40" i="14"/>
  <c r="D24" i="14" l="1"/>
  <c r="F24" i="14" s="1"/>
  <c r="H25" i="12"/>
  <c r="D79" i="14"/>
  <c r="F79" i="14" s="1"/>
  <c r="D25" i="14"/>
  <c r="F25" i="14" s="1"/>
  <c r="H26" i="12"/>
  <c r="D80" i="14"/>
  <c r="F80" i="14" s="1"/>
  <c r="D52" i="14" l="1"/>
  <c r="F52" i="14" s="1"/>
  <c r="D51" i="14"/>
  <c r="F51" i="14" s="1"/>
  <c r="H23" i="12" l="1"/>
  <c r="D77" i="14"/>
  <c r="F77" i="14" s="1"/>
  <c r="D22" i="14"/>
  <c r="F22" i="14" s="1"/>
  <c r="F41" i="12"/>
  <c r="D49" i="14" l="1"/>
  <c r="F49" i="14" s="1"/>
  <c r="H41" i="12"/>
</calcChain>
</file>

<file path=xl/sharedStrings.xml><?xml version="1.0" encoding="utf-8"?>
<sst xmlns="http://schemas.openxmlformats.org/spreadsheetml/2006/main" count="473" uniqueCount="301">
  <si>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</si>
  <si>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</si>
  <si>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</si>
  <si>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</si>
  <si>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</si>
  <si>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</si>
  <si>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</si>
  <si>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</si>
  <si>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Deferred Payments in Lieu of Taxes</t>
  </si>
  <si>
    <t>Misc. Deferred Debits</t>
  </si>
  <si>
    <t>Extra-Ordinary Event Costs</t>
  </si>
  <si>
    <t>Please describe "other" components of 1508 and add more component lines if necessary.</t>
  </si>
  <si>
    <t>1563 is a contra-account and is not included in the total but is shown on a memo basis.  Account 1562 establishes the obligation to the ratepayer.</t>
  </si>
  <si>
    <t>Claim before Forecasted Transactions</t>
  </si>
  <si>
    <t>Closing Principal Balance as of Dec-31-09</t>
  </si>
  <si>
    <t>Opening Interest Amounts as of Jan-1-09</t>
  </si>
  <si>
    <t>Closing Interest Amounts as of Dec-31-09</t>
  </si>
  <si>
    <t>Smart Grid Capital Deferral Account</t>
  </si>
  <si>
    <t>Smart Grid OM&amp;A Deferral Account</t>
  </si>
  <si>
    <t>Group 2 Sub-Total</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</si>
  <si>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</si>
  <si>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</si>
  <si>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</si>
  <si>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</si>
  <si>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</si>
  <si>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</si>
  <si>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Dec-31-09</t>
  </si>
  <si>
    <t>Interest Jan-1 to Dec-31-10</t>
  </si>
  <si>
    <t>Total Claim</t>
  </si>
  <si>
    <t>2.1.7 RRR</t>
  </si>
  <si>
    <t>Explanation</t>
  </si>
  <si>
    <t>Board-Approved Disposition during 2009</t>
  </si>
  <si>
    <t>Board-Approved Disposition during 2010</t>
  </si>
  <si>
    <t>Provide supporting statement indicating whether due to denial of costs in 2006 EDR by the Board, 10% transition costs write-off, etc.</t>
  </si>
  <si>
    <t>For RSVA accounts only, report the net variance to the account during the year.  For all other accounts, record the transactions during the year.</t>
  </si>
  <si>
    <t>Please provide explanations for the nature of the adjustments.  If the adjustment relates to previously Board Approved disposed balances, please provide amounts for adjustments and include supporting documentations.</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</si>
  <si>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</si>
  <si>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</si>
  <si>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</si>
  <si>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</si>
  <si>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</si>
  <si>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</si>
  <si>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</si>
  <si>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</si>
  <si>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</si>
  <si>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</si>
  <si>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Adjustments Instructed by the Board include deferral/variance account balances moved to Account 1590 as a result of the 2006 EDR and account 1595 during the 2008 EDR and subsequent years as ordered by the Board.</t>
  </si>
  <si>
    <t>PILs and Tax Variance for 2006 and Subsequent Years - Sub-Account HST/OVAT                          Input Tax Credits (ITCs)</t>
  </si>
  <si>
    <t>PILs and Tax Variance for 2006 and Subsequent Years                                                                          (excludes sub-account and contra account below)</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</si>
  <si>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</si>
  <si>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</si>
  <si>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</si>
  <si>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</si>
  <si>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</si>
  <si>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</si>
  <si>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</si>
  <si>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</si>
  <si>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</si>
  <si>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</si>
  <si>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</si>
  <si>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</si>
  <si>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t>1A</t>
  </si>
  <si>
    <r>
      <t xml:space="preserve">Adjustments during 2009 - other </t>
    </r>
    <r>
      <rPr>
        <b/>
        <vertAlign val="superscript"/>
        <sz val="10"/>
        <rFont val="Book Antiqua"/>
        <family val="1"/>
      </rPr>
      <t>2</t>
    </r>
  </si>
  <si>
    <r>
      <t xml:space="preserve">Adjustments during 2010 - other </t>
    </r>
    <r>
      <rPr>
        <b/>
        <vertAlign val="superscript"/>
        <sz val="10"/>
        <rFont val="Book Antiqua"/>
        <family val="1"/>
      </rPr>
      <t>2</t>
    </r>
  </si>
  <si>
    <r>
      <t xml:space="preserve">Adjustments during 2011 - other </t>
    </r>
    <r>
      <rPr>
        <b/>
        <vertAlign val="superscript"/>
        <sz val="10"/>
        <rFont val="Book Antiqua"/>
        <family val="1"/>
      </rPr>
      <t>2</t>
    </r>
  </si>
  <si>
    <r>
      <t xml:space="preserve">Transactions Debit / (Credit) during 2009 excluding interest and adjustments </t>
    </r>
    <r>
      <rPr>
        <b/>
        <vertAlign val="superscript"/>
        <sz val="10"/>
        <rFont val="Book Antiqua"/>
        <family val="1"/>
      </rPr>
      <t>3</t>
    </r>
  </si>
  <si>
    <r>
      <t xml:space="preserve">Transactions Debit / (Credit) during 2010 excluding interest and adjustments </t>
    </r>
    <r>
      <rPr>
        <b/>
        <vertAlign val="superscript"/>
        <sz val="10"/>
        <rFont val="Book Antiqua"/>
        <family val="1"/>
      </rPr>
      <t>3</t>
    </r>
  </si>
  <si>
    <r>
      <t xml:space="preserve">Transactions Debit / (Credit) during 2011 excluding interest and adjustments </t>
    </r>
    <r>
      <rPr>
        <b/>
        <vertAlign val="superscript"/>
        <sz val="10"/>
        <rFont val="Book Antiqua"/>
        <family val="1"/>
      </rPr>
      <t>3</t>
    </r>
  </si>
  <si>
    <r>
      <t xml:space="preserve">Other Regulatory Assets - Sub-Account - Other </t>
    </r>
    <r>
      <rPr>
        <vertAlign val="superscript"/>
        <sz val="11"/>
        <rFont val="Arial"/>
        <family val="2"/>
      </rPr>
      <t>4</t>
    </r>
  </si>
  <si>
    <r>
      <t>Other Regulatory Assets - Sub-Account - Financial Assistance Payment and Recovery Variance - Ontario Clean Energy Benefit Act</t>
    </r>
    <r>
      <rPr>
        <vertAlign val="superscript"/>
        <sz val="11"/>
        <rFont val="Arial"/>
        <family val="2"/>
      </rPr>
      <t>8</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</si>
  <si>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</si>
  <si>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</si>
  <si>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</si>
  <si>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</si>
  <si>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</si>
  <si>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</si>
  <si>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t>"By way of exception... The Board does acticipate that licensed distributors that cannot adapt their invoices as of January 1, 2011 will require a variance account for OCEB purposes... The Board expects that any principal</t>
  </si>
  <si>
    <t>Version</t>
  </si>
  <si>
    <t xml:space="preserve">Utility Name   </t>
  </si>
  <si>
    <t>Service Territory</t>
  </si>
  <si>
    <t>(if applicable)</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</si>
  <si>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</si>
  <si>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</si>
  <si>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</si>
  <si>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</si>
  <si>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</si>
  <si>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</si>
  <si>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</si>
  <si>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</si>
  <si>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</si>
  <si>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Billed kWh for Non-RPP Customers</t>
  </si>
  <si>
    <t>Estimated kW for Non-RPP Customers</t>
  </si>
  <si>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</si>
  <si>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</si>
  <si>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</si>
  <si>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</si>
  <si>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Metered kWh</t>
  </si>
  <si>
    <t>Metered kW</t>
  </si>
  <si>
    <t>LRAM Variance Account</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</si>
  <si>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</si>
  <si>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</si>
  <si>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</si>
  <si>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</si>
  <si>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</si>
  <si>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In the green shaded cells, enter the most recent Board Approved volumetric forecast.  If there is a material difference between the latest Board-approved volumetric forecast and the most recent 12-month actual volumetric data, use the most recent 12-month actual data.  Do not enter data for the MicroFit class.</t>
  </si>
  <si>
    <t>1590 Recovery Share Proportion</t>
  </si>
  <si>
    <t>Balance as per Sheet 2</t>
  </si>
  <si>
    <t>Variance</t>
  </si>
  <si>
    <t>Disposition and Recovery/Refund of Regulatory Balances (2008)</t>
  </si>
  <si>
    <t>Disposition and Recovery/Refund of Regulatory Balances (2009)</t>
  </si>
  <si>
    <t>Disposition and Recovery/Refund of Regulatory Balances (2010)</t>
  </si>
  <si>
    <t>Other Regulatory Assets - Sub-Account - Financial Assistance Payment and Recovery Variance - Ontario Clean Energy Benefit Act</t>
  </si>
  <si>
    <t>PILs and Tax Variance for 2006 and Subsequent Years -
      Sub-Account HST/OVAT Input Tax Credits (ITCs)</t>
  </si>
  <si>
    <t>Allocator</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</si>
  <si>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</si>
  <si>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</si>
  <si>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</si>
  <si>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</si>
  <si>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</si>
  <si>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r>
      <t xml:space="preserve">LRAM Variance Account </t>
    </r>
    <r>
      <rPr>
        <b/>
        <sz val="10"/>
        <color rgb="FFFF0000"/>
        <rFont val="Arial"/>
        <family val="2"/>
      </rPr>
      <t>(Enter dollar amount for each class)</t>
    </r>
  </si>
  <si>
    <t>Amounts from Sheet 2</t>
  </si>
  <si>
    <t>(Account 1568 - total amount allocated to classes)</t>
  </si>
  <si>
    <t>Rate Rider for Deferral/Variance Accounts</t>
  </si>
  <si>
    <t xml:space="preserve"> Please indicate the Rate Rider Recovery Period (in years)</t>
  </si>
  <si>
    <t>kW / kWh / # of Customers</t>
  </si>
  <si>
    <t>Rate Rider Calculation for Deferral / Variance Accounts Balances (excluding Global Adj.)</t>
  </si>
  <si>
    <t xml:space="preserve">Accounts that produced a variance on the 2014 continuity schedule are listed below.  
Please provide a detailed explanation for each variance below.
</t>
  </si>
  <si>
    <t>RSVA - Global Adjustment</t>
  </si>
  <si>
    <t>Group 1 Sub-Total (including Account 1589 - Global Adjustment)</t>
  </si>
  <si>
    <t>Group 1 Sub-Total (excluding Account 1589 - Global Adjustment)</t>
  </si>
  <si>
    <r>
      <t>Disposition and Recovery/Refund of Regulatory Balances (2011)</t>
    </r>
    <r>
      <rPr>
        <vertAlign val="superscript"/>
        <sz val="11"/>
        <rFont val="Arial"/>
        <family val="2"/>
      </rPr>
      <t>7</t>
    </r>
  </si>
  <si>
    <t>Opening Principal Amounts as of Jan-1-12</t>
  </si>
  <si>
    <r>
      <t xml:space="preserve">Transactions Debit / (Credit) during 2012 excluding interest and adjustments </t>
    </r>
    <r>
      <rPr>
        <b/>
        <vertAlign val="superscript"/>
        <sz val="10"/>
        <rFont val="Book Antiqua"/>
        <family val="1"/>
      </rPr>
      <t>3</t>
    </r>
  </si>
  <si>
    <t>Board-Approved Disposition during 2012</t>
  </si>
  <si>
    <r>
      <t xml:space="preserve">Other </t>
    </r>
    <r>
      <rPr>
        <b/>
        <vertAlign val="superscript"/>
        <sz val="10"/>
        <rFont val="Book Antiqua"/>
        <family val="1"/>
      </rPr>
      <t xml:space="preserve">2 </t>
    </r>
    <r>
      <rPr>
        <b/>
        <sz val="10"/>
        <rFont val="Book Antiqua"/>
        <family val="1"/>
      </rPr>
      <t>Adjustments during Q1 2012</t>
    </r>
  </si>
  <si>
    <r>
      <t xml:space="preserve">Other </t>
    </r>
    <r>
      <rPr>
        <b/>
        <vertAlign val="superscript"/>
        <sz val="10"/>
        <rFont val="Book Antiqua"/>
        <family val="1"/>
      </rPr>
      <t xml:space="preserve">2 </t>
    </r>
    <r>
      <rPr>
        <b/>
        <sz val="10"/>
        <rFont val="Book Antiqua"/>
        <family val="1"/>
      </rPr>
      <t>Adjustments during Q2 2012</t>
    </r>
  </si>
  <si>
    <r>
      <t xml:space="preserve">Other </t>
    </r>
    <r>
      <rPr>
        <b/>
        <vertAlign val="superscript"/>
        <sz val="10"/>
        <rFont val="Book Antiqua"/>
        <family val="1"/>
      </rPr>
      <t xml:space="preserve">2 </t>
    </r>
    <r>
      <rPr>
        <b/>
        <sz val="10"/>
        <rFont val="Book Antiqua"/>
        <family val="1"/>
      </rPr>
      <t>Adjustments during Q3 2012</t>
    </r>
  </si>
  <si>
    <r>
      <t xml:space="preserve">Other </t>
    </r>
    <r>
      <rPr>
        <b/>
        <vertAlign val="superscript"/>
        <sz val="10"/>
        <rFont val="Book Antiqua"/>
        <family val="1"/>
      </rPr>
      <t xml:space="preserve">2 </t>
    </r>
    <r>
      <rPr>
        <b/>
        <sz val="10"/>
        <rFont val="Book Antiqua"/>
        <family val="1"/>
      </rPr>
      <t>Adjustments during Q4 2012</t>
    </r>
  </si>
  <si>
    <t>Closing Principal Balance as of Dec-31-12</t>
  </si>
  <si>
    <t>Opening Interest Amounts as of Jan-1-12</t>
  </si>
  <si>
    <t>Interest Jan-1 to Dec-31-12</t>
  </si>
  <si>
    <r>
      <t xml:space="preserve">Adjustments during 2012 - other </t>
    </r>
    <r>
      <rPr>
        <b/>
        <vertAlign val="superscript"/>
        <sz val="10"/>
        <rFont val="Book Antiqua"/>
        <family val="1"/>
      </rPr>
      <t>2</t>
    </r>
  </si>
  <si>
    <t>Closing Interest Amounts as of Dec-31-12</t>
  </si>
  <si>
    <r>
      <t>Smart Meter Capital and Recovery Offset Variance - Sub-Account - Capital</t>
    </r>
    <r>
      <rPr>
        <vertAlign val="superscript"/>
        <sz val="11"/>
        <rFont val="Arial"/>
        <family val="2"/>
      </rPr>
      <t>10</t>
    </r>
  </si>
  <si>
    <r>
      <t>Smart Meter Capital and Recovery Offset Variance - Sub-Account - Recoveries</t>
    </r>
    <r>
      <rPr>
        <vertAlign val="superscript"/>
        <sz val="11"/>
        <rFont val="Arial"/>
        <family val="2"/>
      </rPr>
      <t>10</t>
    </r>
  </si>
  <si>
    <r>
      <t>Smart Meter Capital and Recovery Offset Variance - Sub-Account - Stranded Meter Costs</t>
    </r>
    <r>
      <rPr>
        <vertAlign val="superscript"/>
        <sz val="11"/>
        <rFont val="Arial"/>
        <family val="2"/>
      </rPr>
      <t>10</t>
    </r>
  </si>
  <si>
    <r>
      <t>Smart Meter OM&amp;A Variance</t>
    </r>
    <r>
      <rPr>
        <vertAlign val="superscript"/>
        <sz val="11"/>
        <rFont val="Arial"/>
        <family val="2"/>
      </rPr>
      <t>10</t>
    </r>
  </si>
  <si>
    <t>Total including Account 1568</t>
  </si>
  <si>
    <t>Total of Group 1 Accounts (excluding 1589)</t>
  </si>
  <si>
    <t>Total Balance Allocated to each class from Account 1589</t>
  </si>
  <si>
    <t>Allocated Balance (excluding 1589)</t>
  </si>
  <si>
    <t>Total Balance Allocated to each class for Accounts 1575 and 1576</t>
  </si>
  <si>
    <t>Rate Rider Calculation for Accounts 1575 and 1576</t>
  </si>
  <si>
    <t>Balance of Accounts 1575 and 1576</t>
  </si>
  <si>
    <t>Rate Rider for Accounts 1575 and 1576</t>
  </si>
  <si>
    <t>The Board requires that disposition of Account 1575 and Account 1576 shall require the use of separate rate riders. In the "Other Adjustments during Q4 2012" column of the continuity schedule, please enter the amounts to be included in the Account 1575 and 1576 rate rider calculation from the applicable Chapter 2 appendices. For Account 1575, please provide the value in cell F39 from the relevant Chapter 2 Appendix (i.e. 2-EA, 2-EB or 2-EC). For Account 1576, please provide the value in cell F39 from the relevant Chapter 2 Appendix (i.e. 2-ED or 2-EE).</t>
  </si>
  <si>
    <t>Algoma Power Inc.</t>
  </si>
  <si>
    <t>Atikokan Hydro Inc.</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</si>
  <si>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</si>
  <si>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</si>
  <si>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</si>
  <si>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</si>
  <si>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</si>
  <si>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</si>
  <si>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</si>
  <si>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</si>
  <si>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</si>
  <si>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</si>
  <si>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</si>
  <si>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Entegrus Powerlines Inc.</t>
  </si>
  <si>
    <t>ENWIN Utilities Ltd.</t>
  </si>
  <si>
    <t>Erie Thames Powerlines Corporation</t>
  </si>
  <si>
    <t>Espanola Regional Hydro Distribution Corporation</t>
  </si>
  <si>
    <t>Essex Powerlines Corporation</t>
  </si>
  <si>
    <t>Festival Hydro Inc.</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</si>
  <si>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</si>
  <si>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</si>
  <si>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</si>
  <si>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</si>
  <si>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</si>
  <si>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</si>
  <si>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</si>
  <si>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</si>
  <si>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</si>
  <si>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</si>
  <si>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</si>
  <si>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</si>
  <si>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</si>
  <si>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</si>
  <si>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Kenora Hydro Electric Corporation Ltd.</t>
  </si>
  <si>
    <t>Kingston Hydro Corporation</t>
  </si>
  <si>
    <t>Kitchener-Wilmot Hydro Inc.</t>
  </si>
  <si>
    <t>Lakefront Utilities Inc.</t>
  </si>
  <si>
    <t>Lakeland Power Distribution Ltd.</t>
  </si>
  <si>
    <t>London Hydro Inc.</t>
  </si>
  <si>
    <t>Midland Power Utility Corporation</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</si>
  <si>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</si>
  <si>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</si>
  <si>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</si>
  <si>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</si>
  <si>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</si>
  <si>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</si>
  <si>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</si>
  <si>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</si>
  <si>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</si>
  <si>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</si>
  <si>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</si>
  <si>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</si>
  <si>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</si>
  <si>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</si>
  <si>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</si>
  <si>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</si>
  <si>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</si>
  <si>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</si>
  <si>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</si>
  <si>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</si>
  <si>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</si>
  <si>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</si>
  <si>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</si>
  <si>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</si>
  <si>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</si>
  <si>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</si>
  <si>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</si>
  <si>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</si>
  <si>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</si>
  <si>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</si>
  <si>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</si>
  <si>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Disposition and Recovery/Refund of Regulatory Balances (2011)</t>
  </si>
  <si>
    <r>
      <t>IFRS-CGAAP Transition PP&amp;E Amounts Balance + Return Component</t>
    </r>
    <r>
      <rPr>
        <vertAlign val="superscript"/>
        <sz val="11"/>
        <rFont val="Arial"/>
        <family val="2"/>
      </rPr>
      <t>9</t>
    </r>
  </si>
  <si>
    <r>
      <t>Accounting Changes Under CGAAP Balance + Return Component</t>
    </r>
    <r>
      <rPr>
        <vertAlign val="superscript"/>
        <sz val="11"/>
        <rFont val="Arial"/>
        <family val="2"/>
      </rPr>
      <t>9</t>
    </r>
  </si>
  <si>
    <t>IFRS-CGAAP Transition PP&amp;E Amounts Balance + Return Component</t>
  </si>
  <si>
    <t>Accounting Changes Under CGAAP Balance + Return Component</t>
  </si>
  <si>
    <t>Rate Rider Calculation for RSVA - Power - Global Adjustment</t>
  </si>
  <si>
    <t>Balance of RSVA - Power - Global Adjustment</t>
  </si>
  <si>
    <t>Rate Rider for RSVA - Power - Global Adjustment</t>
  </si>
  <si>
    <t>Non-RPP kW / kWh / # of Customers</t>
  </si>
  <si>
    <r>
      <t xml:space="preserve">1595 Recovery Share Proportion (2011) </t>
    </r>
    <r>
      <rPr>
        <b/>
        <vertAlign val="superscript"/>
        <sz val="10"/>
        <rFont val="Arial"/>
        <family val="2"/>
      </rPr>
      <t>2</t>
    </r>
  </si>
  <si>
    <t>Collus PowerStream Corporation</t>
  </si>
  <si>
    <t>Entegrus Powerlines Inc. - Dutton Service Area</t>
  </si>
  <si>
    <t>Entegrus Powerlines Inc. - former Chatham-Kent Hydro Service Area</t>
  </si>
  <si>
    <t>Entegrus Powerlines Inc. - Newbury Service Area</t>
  </si>
  <si>
    <t>Entegrus Powerlines Inc. - Strathroy, Mount Brydges and Parkhill Service Areas</t>
  </si>
  <si>
    <t>Milton Hydro Distribution Inc.</t>
  </si>
  <si>
    <r>
      <t>Disposition and Recovery/Refund of Regulatory Balances (2012)</t>
    </r>
    <r>
      <rPr>
        <vertAlign val="superscript"/>
        <sz val="11"/>
        <rFont val="Arial"/>
        <family val="2"/>
      </rPr>
      <t>7</t>
    </r>
  </si>
  <si>
    <t>Smart Metering Entity Charge Variance Account</t>
  </si>
  <si>
    <t>Opening Principal Amounts as of Jan-1-13</t>
  </si>
  <si>
    <t>Transactions Debit / (Credit) during 2013 excluding interest and adjustments 3</t>
  </si>
  <si>
    <t>Board-Approved Disposition during 2013</t>
  </si>
  <si>
    <t>Other 2 Adjustments during Q1 2013</t>
  </si>
  <si>
    <t>Other 2 Adjustments during Q2 2013</t>
  </si>
  <si>
    <t>Other 2 Adjustments during Q3 2013</t>
  </si>
  <si>
    <t>Other 2 Adjustments during Q4 2013</t>
  </si>
  <si>
    <t>Adjustments during 2013 - other 2</t>
  </si>
  <si>
    <t>Closing Principal Balance as of Dec-31-13</t>
  </si>
  <si>
    <t>Opening Interest Amounts as of Jan-1-13</t>
  </si>
  <si>
    <t>Interest Jan-1 to Dec-31-13</t>
  </si>
  <si>
    <t>Closing Interest Amounts as of Dec-31-13</t>
  </si>
  <si>
    <t>Principal Disposition during 2014 - instructed by Board</t>
  </si>
  <si>
    <t>Interest Disposition during 2014 - instructed by Board</t>
  </si>
  <si>
    <t>Closing Principal Balances as of Dec 31-13 Adjusted for Dispositions during 2014</t>
  </si>
  <si>
    <t>Closing Interest Balances as of Dec 31-13 Adjusted for Dispositions during 2014</t>
  </si>
  <si>
    <t>Projected Interest on Dec-31-13 Balances</t>
  </si>
  <si>
    <r>
      <t xml:space="preserve">Projected Interest from Jan 1, 2014 to December 31, 2014 on                        Dec 31 -13 balance adjusted for disposition during 2014 </t>
    </r>
    <r>
      <rPr>
        <b/>
        <vertAlign val="superscript"/>
        <sz val="10"/>
        <rFont val="Book Antiqua"/>
        <family val="1"/>
      </rPr>
      <t>6</t>
    </r>
  </si>
  <si>
    <r>
      <t xml:space="preserve">Projected Interest from January 1, 2015 to April 30, 2015 on Dec 31 -13 balance adjusted for disposition during 2014  </t>
    </r>
    <r>
      <rPr>
        <b/>
        <vertAlign val="superscript"/>
        <sz val="11"/>
        <rFont val="Book Antiqua"/>
        <family val="1"/>
      </rPr>
      <t>6</t>
    </r>
  </si>
  <si>
    <t>As of Dec 31-13</t>
  </si>
  <si>
    <r>
      <t xml:space="preserve">Variance                           RRR vs. 2013 Balance                        </t>
    </r>
    <r>
      <rPr>
        <b/>
        <i/>
        <sz val="10"/>
        <rFont val="Book Antiqua"/>
        <family val="1"/>
      </rPr>
      <t>(Principal + Interest)</t>
    </r>
  </si>
  <si>
    <r>
      <t xml:space="preserve">Projected Interest from January 1, 2015 to April 30, 2015 on Dec 31 -13 balance adjusted for disposition during 2014  </t>
    </r>
    <r>
      <rPr>
        <b/>
        <vertAlign val="superscript"/>
        <sz val="10"/>
        <rFont val="Book Antiqua"/>
        <family val="1"/>
      </rPr>
      <t>6</t>
    </r>
  </si>
  <si>
    <t>December 31, 2013 Audited Balances</t>
  </si>
  <si>
    <t>2.1.7
As of Dec 31-13</t>
  </si>
  <si>
    <t>Smart Meter OM&amp;A Variance</t>
  </si>
  <si>
    <t>Smart Meter Capital and Recovery Offset Variance - Sub-Account - Stranded Meter Costs</t>
  </si>
  <si>
    <t>Smart Meter Capital and Recovery Offset Variance - Sub-Account - Recoveries</t>
  </si>
  <si>
    <t>Smart Meter Capital and Recovery Offset Variance - Sub-Account - Capital</t>
  </si>
  <si>
    <t xml:space="preserve">Other Regulatory Assets - Sub-Account - Other </t>
  </si>
  <si>
    <t>Disposition and Recovery/Refund of Regulatory Balances (2012)</t>
  </si>
  <si>
    <r>
      <t xml:space="preserve">1595 Recovery Share Proportion (2012) </t>
    </r>
    <r>
      <rPr>
        <b/>
        <vertAlign val="superscript"/>
        <sz val="10"/>
        <rFont val="Arial"/>
        <family val="2"/>
      </rPr>
      <t>2</t>
    </r>
  </si>
  <si>
    <t>kWh</t>
  </si>
  <si>
    <t>Rate Rider Calculation for Accounts 1568</t>
  </si>
  <si>
    <t>Balance of 
Account 1568</t>
  </si>
  <si>
    <t>Rate Rider for Account 1568</t>
  </si>
  <si>
    <t>Total Balance Allocated to each class (excluding 1589 and 1586)</t>
  </si>
  <si>
    <t>Total Balance Allocated to each class (including 1589 and excluding 1586)</t>
  </si>
  <si>
    <t>If the LDC’s 2014 rate year begins January 1, 2014, the projected interest is recorded from January 1, 2013 to December 31, 2013 on the December 31, 2012 balance adjusted for the disposed balances approved by the Board in the 2013 rate decision.  If the LDC’s 2013 rate year begins May 1, 2014 the projected interest is recorded from January 1, 2013 to April 30, 2014 on the December 31, 2012 balance adjusted for the disposed balances approved by the Board in the 2013 rate decision.</t>
  </si>
  <si>
    <r>
      <t xml:space="preserve">Other Regulatory Assets - Sub-Account - Other </t>
    </r>
    <r>
      <rPr>
        <vertAlign val="superscript"/>
        <sz val="10"/>
        <rFont val="Arial"/>
        <family val="2"/>
      </rPr>
      <t>4</t>
    </r>
  </si>
  <si>
    <r>
      <t>Other Regulatory Assets - Sub-Account - Financial Assistance Payment and Recovery Variance - Ontario Clean Energy Benefit Act</t>
    </r>
    <r>
      <rPr>
        <vertAlign val="superscript"/>
        <sz val="10"/>
        <rFont val="Arial"/>
        <family val="2"/>
      </rPr>
      <t>8</t>
    </r>
  </si>
  <si>
    <t>EB-2014-0096</t>
  </si>
  <si>
    <t>Suzanne Wilson, Vice-President Finance</t>
  </si>
  <si>
    <t>905-353-6004</t>
  </si>
  <si>
    <t>Suzanne.Wilson@npei.ca</t>
  </si>
  <si>
    <t>Residential</t>
  </si>
  <si>
    <t>General Service &lt; 50 kW</t>
  </si>
  <si>
    <t>General Service &gt; 50</t>
  </si>
  <si>
    <t>Unmetered Scattered Load</t>
  </si>
  <si>
    <t>Sentinel Lighting</t>
  </si>
  <si>
    <t>Street Lighting</t>
  </si>
  <si>
    <t>kW</t>
  </si>
  <si>
    <t>Non-RPP kWh</t>
  </si>
  <si>
    <t>Distribution Rev.</t>
  </si>
  <si>
    <t>The difference of $56,211 is the 2014 depreciation on stranded meters, which has been included for disposition. The total for disposition agrees to Appendix 2-S Stranded Meters.</t>
  </si>
  <si>
    <t xml:space="preserve"> The amount included in the continuity schedule is 50% of the HST/OVAT Input Tax Credit balance: ($123,675) * 50% = ($61,838). The RRR balance nets to zero ,because the HST/OVAT Contra Account is also included in the RRR.</t>
  </si>
  <si>
    <t>The difference of $4,129,266 consists of the 2014 forecast amount of $3,333,862 plus the return of $795,404. The total for disposition agrees to Appendix 2-EC Account 1576 - Accounting Changes Under CGAAP.</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</si>
</sst>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44" formatCode="_(&quot;$&quot;* #,##0.00_);_(&quot;$&quot;* \(#,##0.00\);_(&quot;$&quot;* &quot;-&quot;??_);_(@_)"/>
    <numFmt numFmtId="164" formatCode="&quot;$&quot;#,##0;[Red]\-&quot;$&quot;#,##0"/>
    <numFmt numFmtId="165" formatCode="&quot;$&quot;#,##0.00;[Red]\-&quot;$&quot;#,##0.00"/>
    <numFmt numFmtId="166" formatCode="_-&quot;$&quot;* #,##0.00_-;\-&quot;$&quot;* #,##0.00_-;_-&quot;$&quot;* &quot;-&quot;??_-;_-@_-"/>
    <numFmt numFmtId="167" formatCode="_-* #,##0.00_-;\-* #,##0.00_-;_-* &quot;-&quot;??_-;_-@_-"/>
    <numFmt numFmtId="168" formatCode="_(* #,##0.0_);_(* \(#,##0.0\);_(* &quot;-&quot;??_);_(@_)"/>
    <numFmt numFmtId="169" formatCode="_(* #,##0_);_(* \(#,##0\);_(* &quot;-&quot;??_);_(@_)"/>
    <numFmt numFmtId="170" formatCode="&quot;£ &quot;#,##0.00;[Red]\-&quot;£ &quot;#,##0.00"/>
    <numFmt numFmtId="171" formatCode="#,##0.0"/>
    <numFmt numFmtId="172" formatCode="##\-#"/>
    <numFmt numFmtId="173" formatCode="mm/dd/yyyy"/>
    <numFmt numFmtId="174" formatCode="0\-0"/>
    <numFmt numFmtId="175" formatCode="_-&quot;$&quot;* #,##0_-;\-&quot;$&quot;* #,##0_-;_-&quot;$&quot;* &quot;-&quot;??_-;_-@_-"/>
    <numFmt numFmtId="176" formatCode="0.0"/>
    <numFmt numFmtId="177" formatCode="#,##0;[Red]\(#,##0\)"/>
    <numFmt numFmtId="178" formatCode="_-* #,##0_-;\-* #,##0_-;_-* &quot;-&quot;??_-;_-@_-"/>
    <numFmt numFmtId="179" formatCode="_-* #,##0.0000_-;\-* #,##0.0000_-;_-* &quot;-&quot;??_-;_-@_-"/>
  </numFmts>
  <fonts count="53"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vertAlign val="superscript"/>
      <sz val="1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medium">
        <color indexed="9"/>
      </right>
      <top style="medium">
        <color indexed="9"/>
      </top>
      <bottom/>
      <diagonal/>
    </border>
    <border>
      <left style="medium">
        <color indexed="64"/>
      </left>
      <right style="medium">
        <color indexed="64"/>
      </right>
      <top style="medium">
        <color indexed="9"/>
      </top>
      <bottom/>
      <diagonal/>
    </border>
    <border>
      <left style="medium">
        <color auto="1"/>
      </left>
      <right/>
      <top style="medium">
        <color indexed="12"/>
      </top>
      <bottom/>
      <diagonal/>
    </border>
    <border>
      <left style="medium">
        <color auto="1"/>
      </left>
      <right style="medium">
        <color indexed="9"/>
      </right>
      <top style="medium">
        <color indexed="9"/>
      </top>
      <bottom style="medium">
        <color indexed="9"/>
      </bottom>
      <diagonal/>
    </border>
    <border>
      <left style="medium">
        <color auto="1"/>
      </left>
      <right/>
      <top/>
      <bottom/>
      <diagonal/>
    </border>
    <border>
      <left style="medium">
        <color auto="1"/>
      </left>
      <right style="medium">
        <color indexed="9"/>
      </right>
      <top style="medium">
        <color indexed="9"/>
      </top>
      <bottom/>
      <diagonal/>
    </border>
    <border>
      <left style="medium">
        <color auto="1"/>
      </left>
      <right style="medium">
        <color indexed="9"/>
      </right>
      <top/>
      <bottom style="medium">
        <color indexed="9"/>
      </bottom>
      <diagonal/>
    </border>
    <border>
      <left style="medium">
        <color auto="1"/>
      </left>
      <right style="medium">
        <color indexed="64"/>
      </right>
      <top/>
      <bottom style="medium">
        <color auto="1"/>
      </bottom>
      <diagonal/>
    </border>
    <border>
      <left style="medium">
        <color auto="1"/>
      </left>
      <right/>
      <top style="medium">
        <color indexed="9"/>
      </top>
      <bottom style="medium">
        <color auto="1"/>
      </bottom>
      <diagonal/>
    </border>
    <border>
      <left/>
      <right/>
      <top/>
      <bottom style="medium">
        <color auto="1"/>
      </bottom>
      <diagonal/>
    </border>
    <border>
      <left/>
      <right style="medium">
        <color indexed="64"/>
      </right>
      <top/>
      <bottom style="medium">
        <color auto="1"/>
      </bottom>
      <diagonal/>
    </border>
    <border>
      <left style="medium">
        <color indexed="64"/>
      </left>
      <right style="medium">
        <color indexed="64"/>
      </right>
      <top/>
      <bottom style="thin">
        <color indexed="64"/>
      </bottom>
      <diagonal/>
    </border>
  </borders>
  <cellStyleXfs count="71">
    <xf numFmtId="0" fontId="0" fillId="0" borderId="0"/>
    <xf numFmtId="168" fontId="3" fillId="0" borderId="0"/>
    <xf numFmtId="171" fontId="3" fillId="0" borderId="0"/>
    <xf numFmtId="173" fontId="3" fillId="0" borderId="0"/>
    <xf numFmtId="174" fontId="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3"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0" fontId="25" fillId="0" borderId="0" applyNumberFormat="0" applyFill="0" applyBorder="0" applyAlignment="0" applyProtection="0"/>
    <xf numFmtId="2" fontId="3" fillId="0" borderId="0" applyFont="0" applyFill="0" applyBorder="0" applyAlignment="0" applyProtection="0"/>
    <xf numFmtId="0" fontId="26" fillId="4" borderId="0" applyNumberFormat="0" applyBorder="0" applyAlignment="0" applyProtection="0"/>
    <xf numFmtId="38" fontId="7" fillId="22" borderId="0" applyNumberFormat="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10" fontId="7" fillId="23" borderId="4" applyNumberFormat="0" applyBorder="0" applyAlignment="0" applyProtection="0"/>
    <xf numFmtId="0" fontId="29" fillId="0" borderId="5" applyNumberFormat="0" applyFill="0" applyAlignment="0" applyProtection="0"/>
    <xf numFmtId="172" fontId="3" fillId="0" borderId="0"/>
    <xf numFmtId="169" fontId="3" fillId="0" borderId="0"/>
    <xf numFmtId="0" fontId="30" fillId="24" borderId="0" applyNumberFormat="0" applyBorder="0" applyAlignment="0" applyProtection="0"/>
    <xf numFmtId="170" fontId="3" fillId="0" borderId="0"/>
    <xf numFmtId="0" fontId="11" fillId="25" borderId="6" applyNumberFormat="0" applyFont="0" applyAlignment="0" applyProtection="0"/>
    <xf numFmtId="0" fontId="31" fillId="20" borderId="7" applyNumberFormat="0" applyAlignment="0" applyProtection="0"/>
    <xf numFmtId="10" fontId="3" fillId="0" borderId="0" applyFont="0" applyFill="0" applyBorder="0" applyAlignment="0" applyProtection="0"/>
    <xf numFmtId="0" fontId="32" fillId="0" borderId="0" applyNumberFormat="0" applyFill="0" applyBorder="0" applyAlignment="0" applyProtection="0"/>
    <xf numFmtId="0" fontId="3" fillId="0" borderId="8" applyNumberFormat="0" applyFont="0" applyBorder="0" applyAlignment="0" applyProtection="0"/>
    <xf numFmtId="0" fontId="33" fillId="0" borderId="0" applyNumberFormat="0" applyFill="0" applyBorder="0" applyAlignment="0" applyProtection="0"/>
    <xf numFmtId="167" fontId="39" fillId="0" borderId="0" applyFont="0" applyFill="0" applyBorder="0" applyAlignment="0" applyProtection="0"/>
    <xf numFmtId="166" fontId="39" fillId="0" borderId="0" applyFont="0" applyFill="0" applyBorder="0" applyAlignment="0" applyProtection="0"/>
    <xf numFmtId="9" fontId="39" fillId="0" borderId="0" applyFont="0" applyFill="0" applyBorder="0" applyAlignment="0" applyProtection="0"/>
    <xf numFmtId="0" fontId="2" fillId="0" borderId="0"/>
    <xf numFmtId="168" fontId="3" fillId="0" borderId="0"/>
    <xf numFmtId="168" fontId="3" fillId="0" borderId="0"/>
    <xf numFmtId="168" fontId="3" fillId="0" borderId="0"/>
    <xf numFmtId="168" fontId="3" fillId="0" borderId="0"/>
    <xf numFmtId="173" fontId="3" fillId="0" borderId="0"/>
    <xf numFmtId="172" fontId="3" fillId="0" borderId="0"/>
    <xf numFmtId="172" fontId="3" fillId="0" borderId="0"/>
    <xf numFmtId="172" fontId="3" fillId="0" borderId="0"/>
    <xf numFmtId="172" fontId="3" fillId="0" borderId="0"/>
    <xf numFmtId="0" fontId="3" fillId="0" borderId="0"/>
    <xf numFmtId="0" fontId="3" fillId="0" borderId="0"/>
  </cellStyleXfs>
  <cellXfs count="279">
    <xf numFmtId="0" fontId="0" fillId="0" borderId="0" xfId="0"/>
    <xf numFmtId="0" fontId="0" fillId="0" borderId="0" xfId="0" applyProtection="1"/>
    <xf numFmtId="0" fontId="6" fillId="0" borderId="0" xfId="0" applyFont="1" applyProtection="1"/>
    <xf numFmtId="0" fontId="17" fillId="0" borderId="0" xfId="0" applyFont="1" applyProtection="1"/>
    <xf numFmtId="0" fontId="4" fillId="0" borderId="0" xfId="0" applyFont="1" applyProtection="1"/>
    <xf numFmtId="0" fontId="4" fillId="0" borderId="0" xfId="0" applyFont="1" applyBorder="1" applyProtection="1"/>
    <xf numFmtId="0" fontId="0" fillId="0" borderId="10" xfId="0" applyBorder="1" applyProtection="1"/>
    <xf numFmtId="0" fontId="4" fillId="0" borderId="0" xfId="0" applyFont="1" applyAlignment="1" applyProtection="1">
      <alignment horizontal="center"/>
    </xf>
    <xf numFmtId="0" fontId="4" fillId="0" borderId="0" xfId="0" applyFont="1" applyAlignment="1" applyProtection="1"/>
    <xf numFmtId="0" fontId="4" fillId="0" borderId="0" xfId="0" applyFont="1" applyAlignment="1" applyProtection="1">
      <alignment horizontal="left"/>
    </xf>
    <xf numFmtId="0" fontId="5" fillId="0" borderId="0" xfId="0" applyFont="1" applyAlignment="1" applyProtection="1"/>
    <xf numFmtId="0" fontId="5" fillId="0" borderId="0" xfId="0" applyFont="1" applyAlignment="1" applyProtection="1">
      <alignment horizontal="left"/>
    </xf>
    <xf numFmtId="0" fontId="5" fillId="0" borderId="0" xfId="0" applyFont="1" applyAlignment="1" applyProtection="1">
      <alignment horizontal="center"/>
    </xf>
    <xf numFmtId="0" fontId="4" fillId="0" borderId="0" xfId="0" applyFont="1" applyBorder="1" applyAlignment="1" applyProtection="1">
      <alignment horizontal="center"/>
    </xf>
    <xf numFmtId="0" fontId="5" fillId="0" borderId="0" xfId="0" applyFont="1" applyBorder="1" applyProtection="1"/>
    <xf numFmtId="0" fontId="4" fillId="0" borderId="0" xfId="0" applyFont="1" applyFill="1" applyBorder="1" applyProtection="1"/>
    <xf numFmtId="0" fontId="5" fillId="0" borderId="0" xfId="0" applyFont="1" applyFill="1" applyBorder="1" applyProtection="1"/>
    <xf numFmtId="0" fontId="10" fillId="0" borderId="0" xfId="0" applyFont="1" applyProtection="1"/>
    <xf numFmtId="0" fontId="10" fillId="0" borderId="0" xfId="0" applyFont="1" applyAlignment="1" applyProtection="1">
      <alignment horizontal="right"/>
    </xf>
    <xf numFmtId="0" fontId="34" fillId="0" borderId="0" xfId="0" applyFont="1" applyAlignment="1" applyProtection="1">
      <alignment vertical="center"/>
    </xf>
    <xf numFmtId="0" fontId="4" fillId="0" borderId="10" xfId="0" applyFont="1" applyBorder="1" applyProtection="1"/>
    <xf numFmtId="0" fontId="16" fillId="0" borderId="13" xfId="0" applyFont="1" applyBorder="1" applyAlignment="1" applyProtection="1"/>
    <xf numFmtId="0" fontId="16" fillId="0" borderId="14" xfId="0" applyFont="1" applyBorder="1" applyAlignment="1" applyProtection="1"/>
    <xf numFmtId="0" fontId="0" fillId="0" borderId="16" xfId="0" applyBorder="1" applyProtection="1"/>
    <xf numFmtId="0" fontId="16" fillId="0" borderId="17" xfId="0" applyFont="1" applyBorder="1" applyAlignment="1" applyProtection="1"/>
    <xf numFmtId="44" fontId="0" fillId="0" borderId="15" xfId="0" applyNumberFormat="1" applyBorder="1" applyAlignment="1" applyProtection="1">
      <alignment vertical="center"/>
    </xf>
    <xf numFmtId="0" fontId="5" fillId="0" borderId="10" xfId="0" applyFont="1" applyBorder="1" applyAlignment="1" applyProtection="1">
      <alignment horizontal="left" vertical="center"/>
    </xf>
    <xf numFmtId="0" fontId="38" fillId="0" borderId="9" xfId="0" applyFont="1" applyBorder="1" applyAlignment="1" applyProtection="1">
      <alignment vertical="center"/>
    </xf>
    <xf numFmtId="0" fontId="4" fillId="0" borderId="0" xfId="0" applyFont="1" applyAlignment="1" applyProtection="1">
      <alignment vertical="center" wrapText="1"/>
    </xf>
    <xf numFmtId="0" fontId="4" fillId="0" borderId="0" xfId="0" applyFont="1" applyBorder="1" applyAlignment="1" applyProtection="1">
      <alignment horizontal="center" vertical="center"/>
    </xf>
    <xf numFmtId="0" fontId="0" fillId="0" borderId="30" xfId="0" applyBorder="1" applyAlignment="1" applyProtection="1">
      <alignment horizontal="left" vertical="top" wrapText="1"/>
      <protection locked="0"/>
    </xf>
    <xf numFmtId="0" fontId="4" fillId="0" borderId="0" xfId="0" applyFont="1" applyAlignment="1" applyProtection="1">
      <alignment wrapText="1"/>
    </xf>
    <xf numFmtId="0" fontId="4" fillId="0" borderId="0" xfId="0" applyFont="1" applyAlignment="1" applyProtection="1">
      <alignment horizontal="center" vertical="center"/>
    </xf>
    <xf numFmtId="0" fontId="4" fillId="0" borderId="9" xfId="0" applyFont="1" applyBorder="1" applyAlignment="1" applyProtection="1">
      <alignment vertical="center"/>
    </xf>
    <xf numFmtId="0" fontId="4" fillId="0" borderId="9" xfId="0" applyFont="1" applyBorder="1" applyAlignment="1" applyProtection="1">
      <alignment vertical="center" wrapText="1"/>
    </xf>
    <xf numFmtId="0" fontId="4" fillId="0" borderId="9" xfId="0" applyFont="1" applyBorder="1" applyAlignment="1" applyProtection="1">
      <alignment horizontal="left" vertical="center"/>
    </xf>
    <xf numFmtId="0" fontId="0" fillId="0" borderId="32" xfId="0" applyBorder="1" applyProtection="1"/>
    <xf numFmtId="0" fontId="2" fillId="0" borderId="0" xfId="59" applyProtection="1"/>
    <xf numFmtId="0" fontId="2" fillId="0" borderId="0" xfId="59" applyFill="1" applyProtection="1"/>
    <xf numFmtId="0" fontId="2" fillId="28" borderId="0" xfId="59" applyFill="1" applyAlignment="1" applyProtection="1">
      <alignment horizontal="left"/>
    </xf>
    <xf numFmtId="0" fontId="40" fillId="0" borderId="0" xfId="59" applyFont="1" applyProtection="1"/>
    <xf numFmtId="176" fontId="41" fillId="0" borderId="0" xfId="59" applyNumberFormat="1" applyFont="1" applyAlignment="1" applyProtection="1">
      <alignment horizontal="left"/>
    </xf>
    <xf numFmtId="0" fontId="42" fillId="0" borderId="0" xfId="59" applyFont="1" applyAlignment="1" applyProtection="1">
      <alignment horizontal="right" vertical="center"/>
    </xf>
    <xf numFmtId="0" fontId="2" fillId="0" borderId="0" xfId="59" applyAlignment="1" applyProtection="1">
      <alignment horizontal="right" vertical="center"/>
    </xf>
    <xf numFmtId="0" fontId="2" fillId="0" borderId="0" xfId="59" applyAlignment="1" applyProtection="1">
      <alignment vertical="center"/>
    </xf>
    <xf numFmtId="0" fontId="2" fillId="0" borderId="0" xfId="59" applyFill="1" applyAlignment="1" applyProtection="1">
      <alignment vertical="center"/>
    </xf>
    <xf numFmtId="0" fontId="42" fillId="0" borderId="0" xfId="59" applyFont="1" applyAlignment="1" applyProtection="1">
      <alignment horizontal="right" vertical="center" indent="1"/>
    </xf>
    <xf numFmtId="0" fontId="43" fillId="0" borderId="0" xfId="59" applyFont="1" applyProtection="1"/>
    <xf numFmtId="0" fontId="43" fillId="0" borderId="0" xfId="59" applyFont="1" applyAlignment="1" applyProtection="1">
      <alignment horizontal="right" vertical="center"/>
    </xf>
    <xf numFmtId="0" fontId="45" fillId="0" borderId="0" xfId="59" applyFont="1"/>
    <xf numFmtId="0" fontId="2" fillId="0" borderId="0" xfId="59"/>
    <xf numFmtId="0" fontId="2" fillId="30" borderId="14" xfId="59" applyFill="1" applyBorder="1"/>
    <xf numFmtId="0" fontId="2" fillId="29" borderId="14" xfId="59" applyFill="1" applyBorder="1"/>
    <xf numFmtId="0" fontId="2" fillId="0" borderId="0" xfId="59" applyAlignment="1">
      <alignment wrapText="1"/>
    </xf>
    <xf numFmtId="0" fontId="2" fillId="0" borderId="14" xfId="59" applyBorder="1"/>
    <xf numFmtId="0" fontId="8" fillId="0" borderId="0" xfId="0" applyFont="1" applyAlignment="1" applyProtection="1">
      <alignment vertical="center"/>
    </xf>
    <xf numFmtId="0" fontId="3" fillId="0" borderId="0" xfId="0" applyFont="1"/>
    <xf numFmtId="0" fontId="6" fillId="0" borderId="0" xfId="0" applyFont="1"/>
    <xf numFmtId="0" fontId="12" fillId="0" borderId="0" xfId="59" applyFont="1" applyBorder="1" applyProtection="1"/>
    <xf numFmtId="0" fontId="12" fillId="0" borderId="0" xfId="59" applyFont="1" applyBorder="1" applyAlignment="1" applyProtection="1">
      <alignment horizontal="center"/>
    </xf>
    <xf numFmtId="0" fontId="0" fillId="0" borderId="4" xfId="0" applyBorder="1"/>
    <xf numFmtId="0" fontId="6" fillId="0" borderId="4" xfId="0" applyFont="1" applyBorder="1"/>
    <xf numFmtId="175" fontId="6" fillId="0" borderId="4" xfId="57" applyNumberFormat="1" applyFont="1" applyBorder="1"/>
    <xf numFmtId="0" fontId="7" fillId="0" borderId="0" xfId="0" applyFont="1" applyAlignment="1">
      <alignment horizontal="right" indent="1"/>
    </xf>
    <xf numFmtId="175" fontId="7" fillId="0" borderId="0" xfId="57" applyNumberFormat="1" applyFont="1" applyAlignment="1">
      <alignment horizontal="right" indent="1"/>
    </xf>
    <xf numFmtId="175" fontId="7" fillId="0" borderId="0" xfId="0" applyNumberFormat="1" applyFont="1" applyAlignment="1">
      <alignment horizontal="right" indent="1"/>
    </xf>
    <xf numFmtId="0" fontId="6" fillId="0" borderId="44" xfId="0" applyFont="1" applyBorder="1" applyAlignment="1">
      <alignment horizontal="center" vertical="center"/>
    </xf>
    <xf numFmtId="0" fontId="6" fillId="0" borderId="44" xfId="0" applyFont="1" applyBorder="1" applyAlignment="1">
      <alignment horizontal="center" vertical="center" wrapText="1"/>
    </xf>
    <xf numFmtId="0" fontId="3" fillId="0" borderId="4" xfId="0" applyFont="1" applyBorder="1" applyProtection="1"/>
    <xf numFmtId="0" fontId="3" fillId="0" borderId="4" xfId="0" applyFont="1" applyBorder="1" applyAlignment="1" applyProtection="1">
      <alignment horizontal="center"/>
    </xf>
    <xf numFmtId="177" fontId="3" fillId="0" borderId="4" xfId="57" applyNumberFormat="1" applyFont="1" applyBorder="1" applyAlignment="1" applyProtection="1">
      <alignment horizontal="center" vertical="center"/>
    </xf>
    <xf numFmtId="0" fontId="3" fillId="0" borderId="4" xfId="0" applyFont="1" applyBorder="1" applyAlignment="1" applyProtection="1"/>
    <xf numFmtId="0" fontId="3" fillId="0" borderId="4" xfId="0" applyFont="1" applyBorder="1" applyAlignment="1" applyProtection="1">
      <alignment horizontal="left"/>
    </xf>
    <xf numFmtId="0" fontId="6" fillId="0" borderId="0" xfId="0" applyFont="1" applyAlignment="1" applyProtection="1"/>
    <xf numFmtId="175" fontId="6" fillId="0" borderId="0" xfId="57" applyNumberFormat="1" applyFont="1" applyAlignment="1" applyProtection="1"/>
    <xf numFmtId="0" fontId="3" fillId="0" borderId="4" xfId="0" applyFont="1" applyBorder="1" applyAlignment="1" applyProtection="1">
      <alignment wrapText="1"/>
    </xf>
    <xf numFmtId="0" fontId="3" fillId="0" borderId="0" xfId="0" applyFont="1" applyBorder="1"/>
    <xf numFmtId="0" fontId="6" fillId="0" borderId="0" xfId="0" applyFont="1" applyBorder="1" applyProtection="1"/>
    <xf numFmtId="0" fontId="3" fillId="0" borderId="0" xfId="0" applyFont="1" applyBorder="1" applyAlignment="1" applyProtection="1">
      <alignment horizontal="center"/>
    </xf>
    <xf numFmtId="177" fontId="3" fillId="0" borderId="0" xfId="57" applyNumberFormat="1" applyFont="1" applyBorder="1" applyAlignment="1" applyProtection="1">
      <alignment horizontal="center" vertical="center"/>
    </xf>
    <xf numFmtId="0" fontId="3" fillId="0" borderId="0" xfId="0" applyFont="1" applyBorder="1" applyProtection="1"/>
    <xf numFmtId="175" fontId="3" fillId="0" borderId="0" xfId="57" applyNumberFormat="1" applyFont="1" applyBorder="1" applyProtection="1"/>
    <xf numFmtId="175" fontId="3" fillId="0" borderId="0" xfId="57" applyNumberFormat="1" applyFont="1"/>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left" vertical="center"/>
    </xf>
    <xf numFmtId="0" fontId="3" fillId="0" borderId="4" xfId="0" applyFont="1" applyBorder="1" applyAlignment="1" applyProtection="1">
      <alignment horizontal="left" vertical="center" wrapText="1"/>
    </xf>
    <xf numFmtId="0" fontId="6" fillId="0" borderId="0" xfId="0" applyFont="1" applyAlignment="1" applyProtection="1">
      <alignment vertical="center"/>
    </xf>
    <xf numFmtId="0" fontId="6" fillId="31" borderId="4" xfId="0" applyFont="1" applyFill="1" applyBorder="1" applyProtection="1"/>
    <xf numFmtId="177" fontId="6" fillId="31" borderId="4" xfId="57" applyNumberFormat="1" applyFont="1" applyFill="1" applyBorder="1" applyAlignment="1" applyProtection="1">
      <alignment horizontal="center" vertical="center"/>
    </xf>
    <xf numFmtId="0" fontId="6" fillId="31" borderId="4" xfId="0" applyFont="1" applyFill="1" applyBorder="1" applyAlignment="1" applyProtection="1">
      <alignment horizontal="center" vertical="center"/>
    </xf>
    <xf numFmtId="3" fontId="6" fillId="0" borderId="4" xfId="0" applyNumberFormat="1" applyFont="1" applyBorder="1"/>
    <xf numFmtId="9" fontId="6" fillId="0" borderId="4" xfId="58" applyFont="1" applyBorder="1"/>
    <xf numFmtId="0" fontId="3" fillId="28" borderId="0" xfId="0" applyFont="1" applyFill="1" applyBorder="1" applyAlignment="1" applyProtection="1">
      <alignment horizontal="center" vertical="center"/>
    </xf>
    <xf numFmtId="0" fontId="3" fillId="28" borderId="4" xfId="0" applyFont="1" applyFill="1" applyBorder="1" applyAlignment="1" applyProtection="1">
      <alignment horizontal="center" vertical="center"/>
    </xf>
    <xf numFmtId="177" fontId="3" fillId="0" borderId="0" xfId="0" applyNumberFormat="1" applyFont="1" applyBorder="1" applyAlignment="1">
      <alignment horizontal="center" vertical="center"/>
    </xf>
    <xf numFmtId="0" fontId="3" fillId="28" borderId="4" xfId="0" applyFont="1" applyFill="1" applyBorder="1"/>
    <xf numFmtId="0" fontId="3" fillId="28" borderId="0" xfId="0" applyFont="1" applyFill="1" applyBorder="1"/>
    <xf numFmtId="0" fontId="3" fillId="28" borderId="0" xfId="0" applyFont="1" applyFill="1"/>
    <xf numFmtId="178" fontId="0" fillId="0" borderId="4" xfId="56" applyNumberFormat="1" applyFont="1" applyBorder="1" applyAlignment="1">
      <alignment horizontal="center" vertical="center"/>
    </xf>
    <xf numFmtId="175" fontId="0" fillId="0" borderId="4" xfId="57" applyNumberFormat="1" applyFont="1" applyBorder="1"/>
    <xf numFmtId="177" fontId="6" fillId="31" borderId="4" xfId="0" applyNumberFormat="1" applyFont="1" applyFill="1" applyBorder="1" applyAlignment="1" applyProtection="1">
      <alignment vertical="center"/>
    </xf>
    <xf numFmtId="177" fontId="6" fillId="28" borderId="4" xfId="57" applyNumberFormat="1" applyFont="1" applyFill="1" applyBorder="1" applyAlignment="1" applyProtection="1">
      <alignment horizontal="center" vertical="center"/>
    </xf>
    <xf numFmtId="0" fontId="6" fillId="28" borderId="4" xfId="0" applyFont="1" applyFill="1" applyBorder="1" applyAlignment="1" applyProtection="1">
      <alignment horizontal="center" vertical="center"/>
    </xf>
    <xf numFmtId="177" fontId="6" fillId="33" borderId="4" xfId="57" applyNumberFormat="1" applyFont="1" applyFill="1" applyBorder="1" applyAlignment="1" applyProtection="1">
      <alignment horizontal="center" vertical="center"/>
    </xf>
    <xf numFmtId="0" fontId="6" fillId="33" borderId="4" xfId="0" applyFont="1" applyFill="1" applyBorder="1" applyAlignment="1" applyProtection="1">
      <alignment horizontal="center" vertical="center"/>
    </xf>
    <xf numFmtId="0" fontId="6" fillId="32" borderId="4" xfId="0" applyFont="1" applyFill="1" applyBorder="1"/>
    <xf numFmtId="0" fontId="6" fillId="32" borderId="4" xfId="0" applyFont="1" applyFill="1" applyBorder="1" applyAlignment="1">
      <alignment horizontal="center" vertical="center"/>
    </xf>
    <xf numFmtId="178" fontId="6" fillId="32" borderId="4" xfId="56" applyNumberFormat="1" applyFont="1" applyFill="1" applyBorder="1" applyAlignment="1">
      <alignment horizontal="center" vertical="center"/>
    </xf>
    <xf numFmtId="175" fontId="6" fillId="32" borderId="4" xfId="57" applyNumberFormat="1" applyFont="1" applyFill="1" applyBorder="1"/>
    <xf numFmtId="179" fontId="6" fillId="0" borderId="4" xfId="56" applyNumberFormat="1" applyFont="1" applyBorder="1" applyAlignment="1">
      <alignment horizontal="center" vertical="center"/>
    </xf>
    <xf numFmtId="0" fontId="6" fillId="0" borderId="0" xfId="70" applyFont="1" applyAlignment="1" applyProtection="1">
      <alignment vertical="top"/>
    </xf>
    <xf numFmtId="0" fontId="6" fillId="0" borderId="0" xfId="70" applyFont="1" applyAlignment="1" applyProtection="1">
      <alignment vertical="top" wrapText="1"/>
    </xf>
    <xf numFmtId="0" fontId="6" fillId="29" borderId="4" xfId="70" applyFont="1" applyFill="1" applyBorder="1" applyAlignment="1" applyProtection="1">
      <alignment horizontal="center"/>
      <protection locked="0"/>
    </xf>
    <xf numFmtId="178" fontId="3" fillId="28" borderId="4" xfId="0" applyNumberFormat="1" applyFont="1" applyFill="1" applyBorder="1" applyAlignment="1">
      <alignment horizontal="right" vertical="center"/>
    </xf>
    <xf numFmtId="0" fontId="51" fillId="0" borderId="0" xfId="0" applyFont="1"/>
    <xf numFmtId="178" fontId="0" fillId="0" borderId="0" xfId="0" applyNumberFormat="1"/>
    <xf numFmtId="0" fontId="0" fillId="0" borderId="10" xfId="0" applyBorder="1" applyAlignment="1" applyProtection="1">
      <alignment horizontal="left" vertical="top" wrapText="1"/>
      <protection locked="0"/>
    </xf>
    <xf numFmtId="0" fontId="10" fillId="0" borderId="0" xfId="0" applyFont="1" applyAlignment="1" applyProtection="1">
      <alignment vertical="top"/>
    </xf>
    <xf numFmtId="0" fontId="0" fillId="0" borderId="4" xfId="0" applyFill="1" applyBorder="1"/>
    <xf numFmtId="165" fontId="0" fillId="0" borderId="0" xfId="0" applyNumberFormat="1" applyProtection="1"/>
    <xf numFmtId="165" fontId="4" fillId="0" borderId="0" xfId="0" applyNumberFormat="1" applyFont="1" applyFill="1" applyBorder="1" applyProtection="1"/>
    <xf numFmtId="165" fontId="0" fillId="0" borderId="0" xfId="0" applyNumberFormat="1" applyFill="1" applyProtection="1"/>
    <xf numFmtId="0" fontId="0" fillId="0" borderId="0" xfId="0" applyNumberFormat="1" applyProtection="1"/>
    <xf numFmtId="0" fontId="5" fillId="0" borderId="0" xfId="0" applyNumberFormat="1" applyFont="1" applyProtection="1"/>
    <xf numFmtId="0" fontId="5" fillId="0" borderId="0" xfId="0" applyNumberFormat="1" applyFont="1" applyAlignment="1" applyProtection="1">
      <alignment wrapText="1"/>
    </xf>
    <xf numFmtId="0" fontId="16" fillId="0" borderId="14" xfId="0" applyNumberFormat="1" applyFont="1" applyBorder="1" applyAlignment="1" applyProtection="1">
      <alignment horizontal="center"/>
    </xf>
    <xf numFmtId="0" fontId="16" fillId="0" borderId="13" xfId="0" applyNumberFormat="1" applyFont="1" applyBorder="1" applyAlignment="1" applyProtection="1"/>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3" fillId="29" borderId="4" xfId="0" applyFont="1" applyFill="1" applyBorder="1" applyAlignment="1" applyProtection="1">
      <alignment horizontal="center" vertical="center"/>
      <protection locked="0"/>
    </xf>
    <xf numFmtId="177" fontId="3" fillId="30" borderId="4" xfId="57" applyNumberFormat="1" applyFont="1" applyFill="1" applyBorder="1" applyAlignment="1" applyProtection="1">
      <alignment horizontal="center" vertical="center"/>
      <protection locked="0"/>
    </xf>
    <xf numFmtId="0" fontId="3" fillId="30" borderId="4" xfId="0" applyFont="1" applyFill="1" applyBorder="1" applyProtection="1">
      <protection locked="0"/>
    </xf>
    <xf numFmtId="0" fontId="3" fillId="29" borderId="4" xfId="0" applyFont="1" applyFill="1" applyBorder="1" applyProtection="1">
      <protection locked="0"/>
    </xf>
    <xf numFmtId="178" fontId="3" fillId="30" borderId="4" xfId="56" applyNumberFormat="1" applyFont="1" applyFill="1" applyBorder="1" applyProtection="1">
      <protection locked="0"/>
    </xf>
    <xf numFmtId="0" fontId="0" fillId="0" borderId="0" xfId="0" applyAlignment="1">
      <alignment wrapText="1"/>
    </xf>
    <xf numFmtId="9" fontId="3" fillId="30" borderId="4" xfId="58" applyFont="1" applyFill="1" applyBorder="1" applyProtection="1">
      <protection locked="0"/>
    </xf>
    <xf numFmtId="164" fontId="4" fillId="0" borderId="9" xfId="0" applyNumberFormat="1" applyFont="1" applyBorder="1" applyProtection="1"/>
    <xf numFmtId="164" fontId="4" fillId="0" borderId="0" xfId="0" applyNumberFormat="1" applyFont="1" applyBorder="1" applyProtection="1"/>
    <xf numFmtId="164" fontId="0" fillId="0" borderId="0" xfId="0" applyNumberFormat="1" applyBorder="1" applyAlignment="1" applyProtection="1">
      <alignment wrapText="1"/>
    </xf>
    <xf numFmtId="164" fontId="5" fillId="0" borderId="10" xfId="0" applyNumberFormat="1" applyFont="1" applyBorder="1" applyAlignment="1" applyProtection="1">
      <alignment horizontal="center" vertical="center" wrapText="1"/>
    </xf>
    <xf numFmtId="164" fontId="0" fillId="0" borderId="12" xfId="0" applyNumberFormat="1" applyBorder="1" applyAlignment="1" applyProtection="1">
      <alignment wrapText="1"/>
    </xf>
    <xf numFmtId="164" fontId="0" fillId="0" borderId="18" xfId="0" applyNumberFormat="1" applyBorder="1" applyAlignment="1" applyProtection="1">
      <alignment wrapText="1"/>
    </xf>
    <xf numFmtId="164" fontId="0" fillId="0" borderId="11" xfId="0" applyNumberFormat="1" applyBorder="1" applyAlignment="1" applyProtection="1">
      <alignment wrapText="1"/>
    </xf>
    <xf numFmtId="164" fontId="0" fillId="0" borderId="0" xfId="0" applyNumberFormat="1" applyBorder="1" applyProtection="1"/>
    <xf numFmtId="164" fontId="0" fillId="0" borderId="10" xfId="0" applyNumberFormat="1" applyBorder="1" applyProtection="1"/>
    <xf numFmtId="164" fontId="0" fillId="0" borderId="15" xfId="0" applyNumberFormat="1" applyBorder="1" applyProtection="1"/>
    <xf numFmtId="164" fontId="0" fillId="0" borderId="11" xfId="0" applyNumberFormat="1" applyBorder="1" applyProtection="1"/>
    <xf numFmtId="164" fontId="0" fillId="0" borderId="0" xfId="0" applyNumberFormat="1" applyProtection="1"/>
    <xf numFmtId="164" fontId="4" fillId="30" borderId="19" xfId="0" applyNumberFormat="1" applyFont="1" applyFill="1" applyBorder="1" applyProtection="1">
      <protection locked="0"/>
    </xf>
    <xf numFmtId="164" fontId="4" fillId="30" borderId="20" xfId="0" applyNumberFormat="1" applyFont="1" applyFill="1" applyBorder="1" applyProtection="1">
      <protection locked="0"/>
    </xf>
    <xf numFmtId="164" fontId="4" fillId="0" borderId="0" xfId="0" applyNumberFormat="1" applyFont="1" applyFill="1" applyBorder="1" applyProtection="1"/>
    <xf numFmtId="164" fontId="4" fillId="0" borderId="10" xfId="0" applyNumberFormat="1" applyFont="1" applyFill="1" applyBorder="1" applyProtection="1"/>
    <xf numFmtId="164" fontId="4" fillId="26" borderId="19" xfId="0" applyNumberFormat="1" applyFont="1" applyFill="1" applyBorder="1" applyProtection="1"/>
    <xf numFmtId="164" fontId="4" fillId="26" borderId="20" xfId="0" applyNumberFormat="1" applyFont="1" applyFill="1" applyBorder="1" applyProtection="1"/>
    <xf numFmtId="164" fontId="4" fillId="26" borderId="31" xfId="0" applyNumberFormat="1" applyFont="1" applyFill="1" applyBorder="1" applyProtection="1"/>
    <xf numFmtId="164" fontId="4" fillId="30" borderId="21" xfId="0" applyNumberFormat="1" applyFont="1" applyFill="1" applyBorder="1" applyProtection="1">
      <protection locked="0"/>
    </xf>
    <xf numFmtId="164" fontId="4" fillId="30" borderId="22" xfId="0" applyNumberFormat="1" applyFont="1" applyFill="1" applyBorder="1" applyProtection="1">
      <protection locked="0"/>
    </xf>
    <xf numFmtId="164" fontId="4" fillId="0" borderId="9" xfId="0" applyNumberFormat="1" applyFont="1" applyFill="1" applyBorder="1" applyProtection="1"/>
    <xf numFmtId="164" fontId="4" fillId="0" borderId="15" xfId="0" applyNumberFormat="1" applyFont="1" applyFill="1" applyBorder="1" applyProtection="1"/>
    <xf numFmtId="164" fontId="4" fillId="22" borderId="20" xfId="0" applyNumberFormat="1" applyFont="1" applyFill="1" applyBorder="1" applyProtection="1"/>
    <xf numFmtId="164" fontId="4" fillId="30" borderId="23" xfId="0" applyNumberFormat="1" applyFont="1" applyFill="1" applyBorder="1" applyProtection="1">
      <protection locked="0"/>
    </xf>
    <xf numFmtId="164" fontId="4" fillId="30" borderId="24" xfId="0" applyNumberFormat="1" applyFont="1" applyFill="1" applyBorder="1" applyProtection="1">
      <protection locked="0"/>
    </xf>
    <xf numFmtId="164" fontId="4" fillId="30" borderId="25" xfId="0" applyNumberFormat="1" applyFont="1" applyFill="1" applyBorder="1" applyProtection="1">
      <protection locked="0"/>
    </xf>
    <xf numFmtId="164" fontId="4" fillId="26" borderId="25" xfId="0" applyNumberFormat="1" applyFont="1" applyFill="1" applyBorder="1" applyProtection="1"/>
    <xf numFmtId="164" fontId="4" fillId="22" borderId="24" xfId="0" applyNumberFormat="1" applyFont="1" applyFill="1" applyBorder="1" applyProtection="1"/>
    <xf numFmtId="164" fontId="4" fillId="22" borderId="0" xfId="0" applyNumberFormat="1" applyFont="1" applyFill="1" applyBorder="1" applyProtection="1"/>
    <xf numFmtId="164" fontId="4" fillId="22" borderId="10" xfId="0" applyNumberFormat="1" applyFont="1" applyFill="1" applyBorder="1" applyProtection="1"/>
    <xf numFmtId="164" fontId="4" fillId="30" borderId="27" xfId="0" applyNumberFormat="1" applyFont="1" applyFill="1" applyBorder="1" applyProtection="1">
      <protection locked="0"/>
    </xf>
    <xf numFmtId="164" fontId="4" fillId="30" borderId="28" xfId="0" applyNumberFormat="1" applyFont="1" applyFill="1" applyBorder="1" applyProtection="1">
      <protection locked="0"/>
    </xf>
    <xf numFmtId="164" fontId="4" fillId="30" borderId="0" xfId="0" applyNumberFormat="1" applyFont="1" applyFill="1" applyBorder="1" applyProtection="1">
      <protection locked="0"/>
    </xf>
    <xf numFmtId="164" fontId="4" fillId="30" borderId="15" xfId="0" applyNumberFormat="1" applyFont="1" applyFill="1" applyBorder="1" applyProtection="1">
      <protection locked="0"/>
    </xf>
    <xf numFmtId="164" fontId="4" fillId="26" borderId="23" xfId="0" applyNumberFormat="1" applyFont="1" applyFill="1" applyBorder="1" applyProtection="1"/>
    <xf numFmtId="164" fontId="4" fillId="26" borderId="24" xfId="0" applyNumberFormat="1" applyFont="1" applyFill="1" applyBorder="1" applyProtection="1"/>
    <xf numFmtId="164" fontId="4" fillId="30" borderId="47" xfId="0" applyNumberFormat="1" applyFont="1" applyFill="1" applyBorder="1" applyProtection="1">
      <protection locked="0"/>
    </xf>
    <xf numFmtId="164" fontId="4" fillId="30" borderId="48" xfId="0" applyNumberFormat="1" applyFont="1" applyFill="1" applyBorder="1" applyProtection="1">
      <protection locked="0"/>
    </xf>
    <xf numFmtId="164" fontId="4" fillId="26" borderId="26" xfId="0" applyNumberFormat="1" applyFont="1" applyFill="1" applyBorder="1" applyProtection="1"/>
    <xf numFmtId="0" fontId="3" fillId="0" borderId="0" xfId="0" applyFont="1" applyAlignment="1">
      <alignment wrapText="1"/>
    </xf>
    <xf numFmtId="164" fontId="4" fillId="0" borderId="49" xfId="0" applyNumberFormat="1" applyFont="1" applyBorder="1" applyProtection="1"/>
    <xf numFmtId="164" fontId="4" fillId="30" borderId="50" xfId="0" applyNumberFormat="1" applyFont="1" applyFill="1" applyBorder="1" applyProtection="1">
      <protection locked="0"/>
    </xf>
    <xf numFmtId="164" fontId="4" fillId="0" borderId="51" xfId="0" applyNumberFormat="1" applyFont="1" applyFill="1" applyBorder="1" applyProtection="1"/>
    <xf numFmtId="164" fontId="4" fillId="30" borderId="52" xfId="0" applyNumberFormat="1" applyFont="1" applyFill="1" applyBorder="1" applyProtection="1">
      <protection locked="0"/>
    </xf>
    <xf numFmtId="164" fontId="4" fillId="30" borderId="53" xfId="0" applyNumberFormat="1" applyFont="1" applyFill="1" applyBorder="1" applyProtection="1">
      <protection locked="0"/>
    </xf>
    <xf numFmtId="164" fontId="4" fillId="22" borderId="52" xfId="0" applyNumberFormat="1" applyFont="1" applyFill="1" applyBorder="1" applyProtection="1"/>
    <xf numFmtId="164" fontId="4" fillId="22" borderId="51" xfId="0" applyNumberFormat="1" applyFont="1" applyFill="1" applyBorder="1" applyProtection="1"/>
    <xf numFmtId="164" fontId="4" fillId="26" borderId="53" xfId="0" applyNumberFormat="1" applyFont="1" applyFill="1" applyBorder="1" applyProtection="1"/>
    <xf numFmtId="164" fontId="4" fillId="26" borderId="50" xfId="0" applyNumberFormat="1" applyFont="1" applyFill="1" applyBorder="1" applyProtection="1"/>
    <xf numFmtId="164" fontId="4" fillId="0" borderId="55" xfId="0" applyNumberFormat="1" applyFont="1" applyFill="1" applyBorder="1" applyProtection="1"/>
    <xf numFmtId="164" fontId="4" fillId="0" borderId="56" xfId="0" applyNumberFormat="1" applyFont="1" applyFill="1" applyBorder="1" applyProtection="1"/>
    <xf numFmtId="164" fontId="0" fillId="0" borderId="57" xfId="0" applyNumberFormat="1" applyBorder="1" applyProtection="1"/>
    <xf numFmtId="164" fontId="0" fillId="0" borderId="54" xfId="0" applyNumberFormat="1" applyBorder="1" applyProtection="1"/>
    <xf numFmtId="0" fontId="11" fillId="0" borderId="0" xfId="0" applyFont="1" applyAlignment="1" applyProtection="1">
      <alignment vertical="top"/>
    </xf>
    <xf numFmtId="0" fontId="0" fillId="0" borderId="0" xfId="0" applyAlignment="1" applyProtection="1">
      <alignment vertical="top"/>
    </xf>
    <xf numFmtId="165" fontId="0" fillId="0" borderId="0" xfId="0" applyNumberFormat="1" applyAlignment="1" applyProtection="1">
      <alignment vertical="top"/>
    </xf>
    <xf numFmtId="0" fontId="4" fillId="0" borderId="0" xfId="0" applyFont="1" applyAlignment="1" applyProtection="1">
      <alignment horizontal="center" vertical="top"/>
    </xf>
    <xf numFmtId="165" fontId="3" fillId="0" borderId="0" xfId="0" applyNumberFormat="1" applyFont="1" applyProtection="1"/>
    <xf numFmtId="0" fontId="4" fillId="0" borderId="4" xfId="0" applyFont="1" applyBorder="1" applyProtection="1"/>
    <xf numFmtId="0" fontId="4" fillId="0" borderId="4" xfId="0" applyFont="1" applyBorder="1" applyAlignment="1" applyProtection="1">
      <alignment horizontal="center"/>
    </xf>
    <xf numFmtId="0" fontId="4" fillId="0" borderId="4" xfId="0" applyFont="1" applyBorder="1" applyAlignment="1" applyProtection="1">
      <alignment wrapText="1"/>
    </xf>
    <xf numFmtId="0" fontId="4" fillId="0" borderId="4" xfId="0" applyFont="1" applyBorder="1" applyAlignment="1" applyProtection="1"/>
    <xf numFmtId="0" fontId="4" fillId="0" borderId="4" xfId="0" applyFont="1" applyBorder="1" applyAlignment="1" applyProtection="1">
      <alignment vertical="center" wrapText="1"/>
    </xf>
    <xf numFmtId="0" fontId="4" fillId="0" borderId="4" xfId="0" applyFont="1" applyBorder="1" applyAlignment="1" applyProtection="1">
      <alignment horizontal="center" vertical="center"/>
    </xf>
    <xf numFmtId="0" fontId="4" fillId="0" borderId="4" xfId="0" applyFont="1" applyBorder="1" applyAlignment="1" applyProtection="1">
      <alignment horizontal="left"/>
    </xf>
    <xf numFmtId="0" fontId="4" fillId="0" borderId="0" xfId="0" applyFont="1" applyBorder="1" applyAlignment="1" applyProtection="1"/>
    <xf numFmtId="0" fontId="0" fillId="0" borderId="58" xfId="0" applyBorder="1" applyAlignment="1" applyProtection="1">
      <alignment horizontal="left" vertical="top" wrapText="1"/>
      <protection locked="0"/>
    </xf>
    <xf numFmtId="0" fontId="0" fillId="0" borderId="29" xfId="0" applyBorder="1" applyProtection="1">
      <protection locked="0"/>
    </xf>
    <xf numFmtId="0" fontId="3" fillId="0" borderId="4" xfId="0" applyFont="1" applyBorder="1" applyAlignment="1" applyProtection="1">
      <alignment horizontal="left" vertical="top" wrapText="1"/>
    </xf>
    <xf numFmtId="0" fontId="3" fillId="0" borderId="30" xfId="0" applyFont="1" applyBorder="1" applyAlignment="1" applyProtection="1">
      <alignment horizontal="left" vertical="top" wrapText="1"/>
      <protection locked="0"/>
    </xf>
    <xf numFmtId="0" fontId="2" fillId="0" borderId="0" xfId="59" applyAlignment="1">
      <alignment horizontal="left"/>
    </xf>
    <xf numFmtId="0" fontId="3" fillId="0" borderId="9" xfId="59" applyFont="1" applyBorder="1" applyAlignment="1">
      <alignment horizontal="left" vertical="top" wrapText="1"/>
    </xf>
    <xf numFmtId="0" fontId="3" fillId="0" borderId="0" xfId="59" applyFont="1" applyBorder="1" applyAlignment="1">
      <alignment horizontal="left" vertical="top" wrapText="1"/>
    </xf>
    <xf numFmtId="0" fontId="3" fillId="0" borderId="0" xfId="59" applyFont="1" applyAlignment="1">
      <alignment horizontal="left" wrapText="1"/>
    </xf>
    <xf numFmtId="0" fontId="2" fillId="0" borderId="0" xfId="59" applyAlignment="1">
      <alignment horizontal="left" wrapText="1"/>
    </xf>
    <xf numFmtId="0" fontId="2" fillId="0" borderId="0" xfId="59" applyAlignment="1" applyProtection="1">
      <alignment horizontal="left" vertical="top" wrapText="1"/>
    </xf>
    <xf numFmtId="0" fontId="43" fillId="29" borderId="41" xfId="59" applyFont="1" applyFill="1" applyBorder="1" applyAlignment="1" applyProtection="1">
      <alignment horizontal="left" vertical="center" wrapText="1"/>
      <protection locked="0"/>
    </xf>
    <xf numFmtId="0" fontId="43" fillId="29" borderId="42" xfId="59" applyFont="1" applyFill="1" applyBorder="1" applyAlignment="1" applyProtection="1">
      <alignment horizontal="left" vertical="center" wrapText="1"/>
      <protection locked="0"/>
    </xf>
    <xf numFmtId="0" fontId="43" fillId="29" borderId="43" xfId="59" applyFont="1" applyFill="1" applyBorder="1" applyAlignment="1" applyProtection="1">
      <alignment horizontal="left" vertical="center" wrapText="1"/>
      <protection locked="0"/>
    </xf>
    <xf numFmtId="0" fontId="44" fillId="30" borderId="41" xfId="59" applyFont="1" applyFill="1" applyBorder="1" applyAlignment="1" applyProtection="1">
      <alignment horizontal="left" vertical="center"/>
      <protection locked="0"/>
    </xf>
    <xf numFmtId="0" fontId="44" fillId="30" borderId="42" xfId="59" applyFont="1" applyFill="1" applyBorder="1" applyAlignment="1" applyProtection="1">
      <alignment horizontal="left" vertical="center"/>
      <protection locked="0"/>
    </xf>
    <xf numFmtId="0" fontId="44" fillId="30" borderId="43" xfId="59" applyFont="1" applyFill="1" applyBorder="1" applyAlignment="1" applyProtection="1">
      <alignment horizontal="left" vertical="center"/>
      <protection locked="0"/>
    </xf>
    <xf numFmtId="0" fontId="43" fillId="30" borderId="41" xfId="59" applyFont="1" applyFill="1" applyBorder="1" applyAlignment="1" applyProtection="1">
      <alignment horizontal="left" vertical="center"/>
      <protection locked="0"/>
    </xf>
    <xf numFmtId="0" fontId="43" fillId="30" borderId="42" xfId="59" applyFont="1" applyFill="1" applyBorder="1" applyAlignment="1" applyProtection="1">
      <alignment horizontal="left" vertical="center"/>
      <protection locked="0"/>
    </xf>
    <xf numFmtId="0" fontId="43" fillId="30" borderId="43" xfId="59" applyFont="1" applyFill="1" applyBorder="1" applyAlignment="1" applyProtection="1">
      <alignment horizontal="left" vertical="center"/>
      <protection locked="0"/>
    </xf>
    <xf numFmtId="0" fontId="43" fillId="30" borderId="41" xfId="59" applyNumberFormat="1" applyFont="1" applyFill="1" applyBorder="1" applyAlignment="1" applyProtection="1">
      <alignment horizontal="left" vertical="center"/>
      <protection locked="0"/>
    </xf>
    <xf numFmtId="0" fontId="43" fillId="30" borderId="42" xfId="59" applyNumberFormat="1" applyFont="1" applyFill="1" applyBorder="1" applyAlignment="1" applyProtection="1">
      <alignment horizontal="left" vertical="center"/>
      <protection locked="0"/>
    </xf>
    <xf numFmtId="0" fontId="43" fillId="30" borderId="43" xfId="59" applyNumberFormat="1" applyFont="1" applyFill="1" applyBorder="1" applyAlignment="1" applyProtection="1">
      <alignment horizontal="left" vertical="center"/>
      <protection locked="0"/>
    </xf>
    <xf numFmtId="165" fontId="17" fillId="0" borderId="37" xfId="0" applyNumberFormat="1" applyFont="1" applyBorder="1" applyAlignment="1" applyProtection="1">
      <alignment horizontal="center" vertical="center" wrapText="1"/>
    </xf>
    <xf numFmtId="165" fontId="17" fillId="0" borderId="10" xfId="0" applyNumberFormat="1" applyFont="1" applyBorder="1" applyAlignment="1" applyProtection="1">
      <alignment horizontal="center" vertical="center" wrapText="1"/>
    </xf>
    <xf numFmtId="165" fontId="17" fillId="0" borderId="38" xfId="0" applyNumberFormat="1" applyFont="1" applyBorder="1" applyAlignment="1" applyProtection="1">
      <alignment horizontal="center" vertical="center" wrapText="1"/>
    </xf>
    <xf numFmtId="165" fontId="17" fillId="0" borderId="32" xfId="0" applyNumberFormat="1" applyFont="1" applyBorder="1" applyAlignment="1" applyProtection="1">
      <alignment horizontal="center" vertical="center" wrapText="1"/>
    </xf>
    <xf numFmtId="165" fontId="15" fillId="0" borderId="0" xfId="0" applyNumberFormat="1" applyFont="1" applyBorder="1" applyAlignment="1" applyProtection="1">
      <alignment horizontal="center" vertical="center" wrapText="1"/>
    </xf>
    <xf numFmtId="165" fontId="15" fillId="0" borderId="36" xfId="0" applyNumberFormat="1" applyFont="1" applyBorder="1" applyAlignment="1" applyProtection="1">
      <alignment horizontal="center" vertical="center" wrapText="1"/>
    </xf>
    <xf numFmtId="165" fontId="17" fillId="0" borderId="0" xfId="0" applyNumberFormat="1" applyFont="1" applyBorder="1" applyAlignment="1" applyProtection="1">
      <alignment horizontal="center" vertical="center" wrapText="1"/>
    </xf>
    <xf numFmtId="165" fontId="17" fillId="0" borderId="36" xfId="0" applyNumberFormat="1" applyFont="1" applyBorder="1" applyAlignment="1" applyProtection="1">
      <alignment horizontal="center" vertical="center" wrapText="1"/>
    </xf>
    <xf numFmtId="165" fontId="17" fillId="0" borderId="34" xfId="0" applyNumberFormat="1" applyFont="1" applyBorder="1" applyAlignment="1" applyProtection="1">
      <alignment horizontal="center" vertical="center" wrapText="1"/>
    </xf>
    <xf numFmtId="165" fontId="17" fillId="0" borderId="9" xfId="0" applyNumberFormat="1" applyFont="1" applyBorder="1" applyAlignment="1" applyProtection="1">
      <alignment horizontal="center" vertical="center" wrapText="1"/>
    </xf>
    <xf numFmtId="165" fontId="17" fillId="0" borderId="35" xfId="0" applyNumberFormat="1" applyFont="1" applyBorder="1" applyAlignment="1" applyProtection="1">
      <alignment horizontal="center" vertical="center" wrapText="1"/>
    </xf>
    <xf numFmtId="0" fontId="14" fillId="0" borderId="17" xfId="0" applyNumberFormat="1" applyFont="1" applyFill="1" applyBorder="1" applyAlignment="1" applyProtection="1">
      <alignment horizontal="center" vertical="center"/>
    </xf>
    <xf numFmtId="0" fontId="14" fillId="0" borderId="33"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6" fillId="0" borderId="17" xfId="0" applyNumberFormat="1" applyFont="1" applyBorder="1" applyAlignment="1" applyProtection="1">
      <alignment horizontal="center"/>
    </xf>
    <xf numFmtId="0" fontId="16" fillId="0" borderId="33" xfId="0" applyNumberFormat="1" applyFont="1" applyBorder="1" applyAlignment="1" applyProtection="1">
      <alignment horizontal="center"/>
    </xf>
    <xf numFmtId="0" fontId="16" fillId="0" borderId="13" xfId="0" applyNumberFormat="1" applyFont="1" applyBorder="1" applyAlignment="1" applyProtection="1">
      <alignment horizontal="center"/>
    </xf>
    <xf numFmtId="165" fontId="17" fillId="0" borderId="39" xfId="0" applyNumberFormat="1" applyFont="1" applyBorder="1" applyAlignment="1" applyProtection="1">
      <alignment horizontal="center" vertical="center" wrapText="1"/>
    </xf>
    <xf numFmtId="165" fontId="17" fillId="0" borderId="15" xfId="0" applyNumberFormat="1" applyFont="1" applyBorder="1" applyAlignment="1" applyProtection="1">
      <alignment horizontal="center" vertical="center" wrapText="1"/>
    </xf>
    <xf numFmtId="165" fontId="17" fillId="0" borderId="40" xfId="0" applyNumberFormat="1" applyFont="1" applyBorder="1" applyAlignment="1" applyProtection="1">
      <alignment horizontal="center" vertical="center" wrapText="1"/>
    </xf>
    <xf numFmtId="165" fontId="36" fillId="0" borderId="32" xfId="0" applyNumberFormat="1" applyFont="1" applyBorder="1" applyAlignment="1" applyProtection="1">
      <alignment horizontal="center" vertical="center" wrapText="1"/>
    </xf>
    <xf numFmtId="165" fontId="37" fillId="0" borderId="0" xfId="0" applyNumberFormat="1" applyFont="1" applyBorder="1" applyAlignment="1" applyProtection="1">
      <alignment horizontal="center" vertical="center" wrapText="1"/>
    </xf>
    <xf numFmtId="165" fontId="37" fillId="0" borderId="36" xfId="0" applyNumberFormat="1" applyFont="1" applyBorder="1" applyAlignment="1" applyProtection="1">
      <alignment horizontal="center" vertical="center"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34" fillId="0" borderId="34" xfId="0" applyFont="1" applyBorder="1" applyAlignment="1" applyProtection="1">
      <alignment horizontal="left" vertical="center"/>
    </xf>
    <xf numFmtId="0" fontId="34" fillId="0" borderId="9" xfId="0" applyFont="1" applyBorder="1" applyAlignment="1" applyProtection="1">
      <alignment horizontal="left" vertical="center"/>
    </xf>
    <xf numFmtId="0" fontId="34" fillId="0" borderId="35" xfId="0" applyFont="1" applyBorder="1" applyAlignment="1" applyProtection="1">
      <alignment horizontal="left" vertical="center"/>
    </xf>
    <xf numFmtId="0" fontId="17" fillId="0" borderId="37"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38" xfId="0" applyFont="1" applyBorder="1" applyAlignment="1" applyProtection="1">
      <alignment horizontal="center" vertical="center" wrapText="1"/>
    </xf>
    <xf numFmtId="0" fontId="5" fillId="27" borderId="0" xfId="0" applyFont="1" applyFill="1" applyBorder="1" applyAlignment="1" applyProtection="1">
      <alignment horizontal="left" vertical="top" wrapText="1"/>
    </xf>
    <xf numFmtId="0" fontId="34" fillId="0" borderId="34" xfId="0" applyFont="1" applyBorder="1" applyAlignment="1" applyProtection="1">
      <alignment horizontal="left" vertical="center" wrapText="1"/>
    </xf>
    <xf numFmtId="0" fontId="34" fillId="0" borderId="9" xfId="0" applyFont="1" applyBorder="1" applyAlignment="1" applyProtection="1">
      <alignment horizontal="left" vertical="center" wrapText="1"/>
    </xf>
    <xf numFmtId="0" fontId="34" fillId="0" borderId="35" xfId="0" applyFont="1" applyBorder="1" applyAlignment="1" applyProtection="1">
      <alignment horizontal="left" vertical="center" wrapText="1"/>
    </xf>
    <xf numFmtId="0" fontId="6" fillId="0" borderId="0" xfId="0" applyFont="1" applyAlignment="1" applyProtection="1">
      <alignment horizontal="left" vertical="top" wrapText="1"/>
    </xf>
    <xf numFmtId="177" fontId="6" fillId="28" borderId="4" xfId="69" applyNumberFormat="1" applyFont="1" applyFill="1" applyBorder="1" applyAlignment="1" applyProtection="1">
      <alignment horizontal="center" vertical="center"/>
    </xf>
    <xf numFmtId="10" fontId="6" fillId="28" borderId="4" xfId="69" applyNumberFormat="1" applyFont="1" applyFill="1" applyBorder="1" applyAlignment="1" applyProtection="1">
      <alignment horizontal="center" vertical="center" wrapText="1"/>
    </xf>
    <xf numFmtId="0" fontId="6" fillId="28" borderId="4" xfId="69" applyNumberFormat="1" applyFont="1" applyFill="1" applyBorder="1" applyAlignment="1" applyProtection="1">
      <alignment horizontal="center" vertical="center" wrapText="1"/>
    </xf>
    <xf numFmtId="0" fontId="49" fillId="0" borderId="0" xfId="0" applyFont="1" applyAlignment="1" applyProtection="1">
      <alignment horizontal="left" vertical="top" wrapText="1"/>
    </xf>
    <xf numFmtId="177" fontId="6" fillId="28" borderId="4" xfId="69" applyNumberFormat="1" applyFont="1" applyFill="1" applyBorder="1" applyAlignment="1" applyProtection="1">
      <alignment horizontal="center" vertical="center" wrapText="1"/>
    </xf>
    <xf numFmtId="0" fontId="6" fillId="28" borderId="4" xfId="69" applyFont="1" applyFill="1" applyBorder="1" applyAlignment="1" applyProtection="1">
      <alignment horizontal="center" vertical="center"/>
    </xf>
    <xf numFmtId="0" fontId="6" fillId="0" borderId="4" xfId="69" applyFont="1" applyBorder="1" applyAlignment="1" applyProtection="1">
      <alignment horizontal="center" vertical="center" wrapText="1"/>
    </xf>
    <xf numFmtId="0" fontId="6" fillId="0" borderId="4" xfId="69" applyFont="1" applyBorder="1" applyAlignment="1" applyProtection="1">
      <alignment horizontal="center" vertical="center"/>
    </xf>
    <xf numFmtId="0" fontId="3" fillId="0" borderId="45" xfId="0" applyFont="1" applyBorder="1" applyAlignment="1">
      <alignment horizontal="right" vertical="center" wrapText="1" indent="1"/>
    </xf>
    <xf numFmtId="0" fontId="3" fillId="0" borderId="0" xfId="0" applyFont="1" applyBorder="1" applyAlignment="1">
      <alignment horizontal="right" vertical="center" wrapText="1" indent="1"/>
    </xf>
    <xf numFmtId="0" fontId="6" fillId="28" borderId="4" xfId="0" applyFont="1" applyFill="1" applyBorder="1" applyAlignment="1">
      <alignment horizontal="right" vertical="center" wrapText="1" indent="1"/>
    </xf>
    <xf numFmtId="0" fontId="6" fillId="33" borderId="4" xfId="0" applyFont="1" applyFill="1" applyBorder="1" applyAlignment="1">
      <alignment horizontal="right" vertical="center" wrapText="1" indent="1"/>
    </xf>
    <xf numFmtId="0" fontId="6" fillId="28" borderId="44" xfId="69" applyFont="1" applyFill="1" applyBorder="1" applyAlignment="1" applyProtection="1">
      <alignment horizontal="center" vertical="center" wrapText="1"/>
    </xf>
    <xf numFmtId="0" fontId="6" fillId="28" borderId="46" xfId="69" applyFont="1" applyFill="1" applyBorder="1" applyAlignment="1" applyProtection="1">
      <alignment horizontal="center" vertical="center" wrapText="1"/>
    </xf>
    <xf numFmtId="0" fontId="6" fillId="28" borderId="4" xfId="69" applyFont="1" applyFill="1" applyBorder="1" applyAlignment="1" applyProtection="1">
      <alignment horizontal="center" vertical="center" wrapText="1"/>
    </xf>
    <xf numFmtId="165" fontId="17" fillId="0" borderId="4" xfId="0" applyNumberFormat="1" applyFont="1" applyBorder="1" applyAlignment="1" applyProtection="1">
      <alignment horizontal="center" vertical="center" wrapText="1"/>
    </xf>
    <xf numFmtId="165" fontId="15" fillId="0" borderId="4" xfId="0" applyNumberFormat="1" applyFont="1" applyBorder="1" applyAlignment="1" applyProtection="1">
      <alignment horizontal="center" vertical="center" wrapText="1"/>
    </xf>
  </cellXfs>
  <cellStyles count="71">
    <cellStyle name="$" xfId="1"/>
    <cellStyle name="$.00" xfId="2"/>
    <cellStyle name="$_9. Rev2Cost_GDPIPI" xfId="60"/>
    <cellStyle name="$_lists" xfId="61"/>
    <cellStyle name="$_lists_4. Current Monthly Fixed Charge" xfId="62"/>
    <cellStyle name="$_Sheet4" xfId="63"/>
    <cellStyle name="$M" xfId="3"/>
    <cellStyle name="$M.00" xfId="4"/>
    <cellStyle name="$M_9. Rev2Cost_GDPIPI" xfId="64"/>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29" builtinId="27" customBuiltin="1"/>
    <cellStyle name="Calculation" xfId="30" builtinId="22" customBuiltin="1"/>
    <cellStyle name="Check Cell" xfId="31" builtinId="23" customBuiltin="1"/>
    <cellStyle name="Comma" xfId="56" builtinId="3"/>
    <cellStyle name="Comma0" xfId="32"/>
    <cellStyle name="Currency" xfId="57" builtinId="4"/>
    <cellStyle name="Currency0" xfId="33"/>
    <cellStyle name="Date" xfId="34"/>
    <cellStyle name="Explanatory Text" xfId="35" builtinId="53" customBuiltin="1"/>
    <cellStyle name="Fixed" xfId="36"/>
    <cellStyle name="Good" xfId="37" builtinId="26" customBuiltin="1"/>
    <cellStyle name="Grey" xfId="38"/>
    <cellStyle name="Heading 1" xfId="39" builtinId="16" customBuiltin="1"/>
    <cellStyle name="Heading 2" xfId="40" builtinId="17" customBuiltin="1"/>
    <cellStyle name="Heading 3" xfId="41" builtinId="18" customBuiltin="1"/>
    <cellStyle name="Heading 4" xfId="42" builtinId="19" customBuiltin="1"/>
    <cellStyle name="Input" xfId="43" builtinId="20" customBuiltin="1"/>
    <cellStyle name="Input [yellow]" xfId="44"/>
    <cellStyle name="Linked Cell" xfId="45" builtinId="24" customBuiltin="1"/>
    <cellStyle name="M" xfId="46"/>
    <cellStyle name="M.00" xfId="47"/>
    <cellStyle name="M_9. Rev2Cost_GDPIPI" xfId="65"/>
    <cellStyle name="M_lists" xfId="66"/>
    <cellStyle name="M_lists_4. Current Monthly Fixed Charge" xfId="67"/>
    <cellStyle name="M_Sheet4" xfId="68"/>
    <cellStyle name="Neutral" xfId="48" builtinId="28" customBuiltin="1"/>
    <cellStyle name="Normal" xfId="0" builtinId="0"/>
    <cellStyle name="Normal - Style1" xfId="49"/>
    <cellStyle name="Normal 2" xfId="59"/>
    <cellStyle name="Normal_6. Cost Allocation for Def-Var" xfId="69"/>
    <cellStyle name="Normal_Sheet7" xfId="70"/>
    <cellStyle name="Note" xfId="50" builtinId="10" customBuiltin="1"/>
    <cellStyle name="Output" xfId="51" builtinId="21" customBuiltin="1"/>
    <cellStyle name="Percent" xfId="58" builtinId="5"/>
    <cellStyle name="Percent [2]" xfId="52"/>
    <cellStyle name="Title" xfId="53" builtinId="15" customBuiltin="1"/>
    <cellStyle name="Total" xfId="54" builtinId="25" customBuiltin="1"/>
    <cellStyle name="Warning Text" xfId="55" builtinId="11" customBuiltin="1"/>
  </cellStyles>
  <dxfs count="1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indexed="42"/>
        </patternFill>
      </fill>
    </dxf>
    <dxf>
      <fill>
        <patternFill>
          <bgColor indexed="42"/>
        </patternFill>
      </fill>
    </dxf>
  </dxfs>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twoCellAnchor>
    <xdr:from>
      <xdr:col>0</xdr:col>
      <xdr:colOff>0</xdr:colOff>
      <xdr:row>0</xdr:row>
      <xdr:rowOff>0</xdr:rowOff>
    </xdr:from>
    <xdr:to>
      <xdr:col>14</xdr:col>
      <xdr:colOff>46795</xdr:colOff>
      <xdr:row>10</xdr:row>
      <xdr:rowOff>10766</xdr:rowOff>
    </xdr:to>
    <xdr:grpSp>
      <xdr:nvGrpSpPr>
        <xdr:cNvPr id="11" name="Group 10"/>
        <xdr:cNvGrpSpPr/>
      </xdr:nvGrpSpPr>
      <xdr:grpSpPr>
        <a:xfrm>
          <a:off x="0" y="0"/>
          <a:ext cx="8857420" cy="1915766"/>
          <a:chOff x="0" y="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sp macro="" textlink="">
        <xdr:nvSpPr>
          <xdr:cNvPr id="8" name="Rectangle 7"/>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2015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15</xdr:col>
      <xdr:colOff>142875</xdr:colOff>
      <xdr:row>0</xdr:row>
      <xdr:rowOff>85725</xdr:rowOff>
    </xdr:from>
    <xdr:to>
      <xdr:col>25</xdr:col>
      <xdr:colOff>469900</xdr:colOff>
      <xdr:row>9</xdr:row>
      <xdr:rowOff>0</xdr:rowOff>
    </xdr:to>
    <xdr:sp macro="" textlink="">
      <xdr:nvSpPr>
        <xdr:cNvPr id="2" name="TextBox 1"/>
        <xdr:cNvSpPr txBox="1"/>
      </xdr:nvSpPr>
      <xdr:spPr>
        <a:xfrm>
          <a:off x="9563100" y="85725"/>
          <a:ext cx="5813425" cy="1628775"/>
        </a:xfrm>
        <a:prstGeom prst="rect">
          <a:avLst/>
        </a:prstGeom>
        <a:solidFill>
          <a:srgbClr val="FFFFCC"/>
        </a:solidFill>
        <a:ln w="9525" cmpd="sng">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solidFill>
                <a:srgbClr val="FF0000"/>
              </a:solidFill>
            </a:rPr>
            <a:t>Draft Version</a:t>
          </a:r>
          <a:r>
            <a:rPr lang="en-CA" sz="1400" b="1" baseline="0">
              <a:solidFill>
                <a:srgbClr val="FF0000"/>
              </a:solidFill>
            </a:rPr>
            <a:t> 2.3 has been updated as follows:</a:t>
          </a:r>
        </a:p>
        <a:p>
          <a:endParaRPr lang="en-CA" sz="1100" baseline="0"/>
        </a:p>
        <a:p>
          <a:r>
            <a:rPr lang="en-CA" sz="1100" baseline="0"/>
            <a:t>1.  </a:t>
          </a:r>
          <a:r>
            <a:rPr lang="en-CA" sz="1100" b="1" baseline="0"/>
            <a:t>Sheet 2 - 2014 Continuity Schedule:</a:t>
          </a:r>
          <a:r>
            <a:rPr lang="en-CA" sz="1100" baseline="0"/>
            <a:t>   U</a:t>
          </a:r>
          <a:r>
            <a:rPr lang="en-CA" sz="1100" b="0" baseline="0"/>
            <a:t>pdated </a:t>
          </a:r>
          <a:r>
            <a:rPr lang="en-CA" sz="1100" b="1" baseline="0"/>
            <a:t>row 34</a:t>
          </a:r>
          <a:r>
            <a:rPr lang="en-CA" sz="1100" b="0" baseline="0"/>
            <a:t> to ensure all applicable cells contain formulas.</a:t>
          </a:r>
        </a:p>
        <a:p>
          <a:endParaRPr lang="en-CA" sz="1100" b="0" baseline="0"/>
        </a:p>
        <a:p>
          <a:r>
            <a:rPr lang="en-CA" sz="1100" b="0" baseline="0"/>
            <a:t>2.  </a:t>
          </a:r>
          <a:r>
            <a:rPr lang="en-CA" sz="1100" b="1" baseline="0"/>
            <a:t>Sheet 5 - Allocation of Balances:  </a:t>
          </a:r>
          <a:r>
            <a:rPr lang="en-CA" sz="1100" b="0" baseline="0"/>
            <a:t>Updated </a:t>
          </a:r>
          <a:r>
            <a:rPr lang="en-CA" sz="1100" b="1" baseline="0"/>
            <a:t>row 17 </a:t>
          </a:r>
          <a:r>
            <a:rPr lang="en-CA" sz="1100" b="0" baseline="0"/>
            <a:t>to exclude account 1589 from the total.</a:t>
          </a:r>
        </a:p>
        <a:p>
          <a:endParaRPr lang="en-CA" sz="1100" b="0" baseline="0"/>
        </a:p>
        <a:p>
          <a:pPr marL="0" marR="0" indent="0" defTabSz="914400" eaLnBrk="1" fontAlgn="auto" latinLnBrk="0" hangingPunct="1">
            <a:lnSpc>
              <a:spcPct val="100000"/>
            </a:lnSpc>
            <a:spcBef>
              <a:spcPts val="0"/>
            </a:spcBef>
            <a:spcAft>
              <a:spcPts val="0"/>
            </a:spcAft>
            <a:buClrTx/>
            <a:buSzTx/>
            <a:buFontTx/>
            <a:buNone/>
            <a:tabLst/>
            <a:defRPr/>
          </a:pPr>
          <a:r>
            <a:rPr lang="en-CA" sz="1100" b="0" baseline="0">
              <a:solidFill>
                <a:schemeClr val="dk1"/>
              </a:solidFill>
              <a:effectLst/>
              <a:latin typeface="+mn-lt"/>
              <a:ea typeface="+mn-ea"/>
              <a:cs typeface="+mn-cs"/>
            </a:rPr>
            <a:t>3.  </a:t>
          </a:r>
          <a:r>
            <a:rPr lang="en-CA" sz="1100" b="1" baseline="0">
              <a:solidFill>
                <a:schemeClr val="dk1"/>
              </a:solidFill>
              <a:effectLst/>
              <a:latin typeface="+mn-lt"/>
              <a:ea typeface="+mn-ea"/>
              <a:cs typeface="+mn-cs"/>
            </a:rPr>
            <a:t>Sheet 5 - Allocation of Balances:  </a:t>
          </a:r>
          <a:r>
            <a:rPr lang="en-CA" sz="1100" b="0" baseline="0">
              <a:solidFill>
                <a:schemeClr val="dk1"/>
              </a:solidFill>
              <a:effectLst/>
              <a:latin typeface="+mn-lt"/>
              <a:ea typeface="+mn-ea"/>
              <a:cs typeface="+mn-cs"/>
            </a:rPr>
            <a:t>Updated </a:t>
          </a:r>
          <a:r>
            <a:rPr lang="en-CA" sz="1100" b="1" baseline="0">
              <a:solidFill>
                <a:schemeClr val="dk1"/>
              </a:solidFill>
              <a:effectLst/>
              <a:latin typeface="+mn-lt"/>
              <a:ea typeface="+mn-ea"/>
              <a:cs typeface="+mn-cs"/>
            </a:rPr>
            <a:t>row 50 </a:t>
          </a:r>
          <a:r>
            <a:rPr lang="en-CA" sz="1100" b="0" baseline="0">
              <a:solidFill>
                <a:schemeClr val="dk1"/>
              </a:solidFill>
              <a:effectLst/>
              <a:latin typeface="+mn-lt"/>
              <a:ea typeface="+mn-ea"/>
              <a:cs typeface="+mn-cs"/>
            </a:rPr>
            <a:t>to correctly reference  </a:t>
          </a:r>
          <a:r>
            <a:rPr lang="en-CA" sz="1100" b="1" baseline="0">
              <a:solidFill>
                <a:schemeClr val="dk1"/>
              </a:solidFill>
              <a:effectLst/>
              <a:latin typeface="+mn-lt"/>
              <a:ea typeface="+mn-ea"/>
              <a:cs typeface="+mn-cs"/>
            </a:rPr>
            <a:t>account 1589.</a:t>
          </a:r>
          <a:endParaRPr lang="en-CA">
            <a:effectLst/>
          </a:endParaRPr>
        </a:p>
        <a:p>
          <a:endParaRPr lang="en-CA" sz="1100" b="0" baseline="0"/>
        </a:p>
        <a:p>
          <a:endParaRPr lang="en-CA" sz="1100" b="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5</xdr:col>
      <xdr:colOff>139053</xdr:colOff>
      <xdr:row>14</xdr:row>
      <xdr:rowOff>22411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44823"/>
          <a:ext cx="8420200" cy="2173941"/>
        </a:xfrm>
        <a:prstGeom prst="rect">
          <a:avLst/>
        </a:prstGeom>
        <a:ln>
          <a:noFill/>
        </a:ln>
        <a:effectLst>
          <a:softEdge rad="112500"/>
        </a:effectLst>
      </xdr:spPr>
    </xdr:pic>
    <xdr:clientData/>
  </xdr:twoCellAnchor>
  <xdr:twoCellAnchor>
    <xdr:from>
      <xdr:col>0</xdr:col>
      <xdr:colOff>156883</xdr:colOff>
      <xdr:row>3</xdr:row>
      <xdr:rowOff>87476</xdr:rowOff>
    </xdr:from>
    <xdr:to>
      <xdr:col>5</xdr:col>
      <xdr:colOff>0</xdr:colOff>
      <xdr:row>11</xdr:row>
      <xdr:rowOff>22409</xdr:rowOff>
    </xdr:to>
    <xdr:sp macro="" textlink="">
      <xdr:nvSpPr>
        <xdr:cNvPr id="7" name="Rectangle 6"/>
        <xdr:cNvSpPr/>
      </xdr:nvSpPr>
      <xdr:spPr>
        <a:xfrm>
          <a:off x="156883" y="558123"/>
          <a:ext cx="8124264" cy="118999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2015 Deferral/Variance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546371</xdr:colOff>
      <xdr:row>0</xdr:row>
      <xdr:rowOff>158221</xdr:rowOff>
    </xdr:from>
    <xdr:to>
      <xdr:col>2</xdr:col>
      <xdr:colOff>2329485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699135</xdr:colOff>
      <xdr:row>12</xdr:row>
      <xdr:rowOff>7620</xdr:rowOff>
    </xdr:from>
    <xdr:to>
      <xdr:col>4</xdr:col>
      <xdr:colOff>1266830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1</xdr:col>
      <xdr:colOff>47625</xdr:colOff>
      <xdr:row>0</xdr:row>
      <xdr:rowOff>28575</xdr:rowOff>
    </xdr:from>
    <xdr:to>
      <xdr:col>5</xdr:col>
      <xdr:colOff>663575</xdr:colOff>
      <xdr:row>14</xdr:row>
      <xdr:rowOff>123825</xdr:rowOff>
    </xdr:to>
    <xdr:grpSp>
      <xdr:nvGrpSpPr>
        <xdr:cNvPr id="13" name="Group 12"/>
        <xdr:cNvGrpSpPr/>
      </xdr:nvGrpSpPr>
      <xdr:grpSpPr>
        <a:xfrm>
          <a:off x="452438" y="28575"/>
          <a:ext cx="9319418" cy="2428875"/>
          <a:chOff x="9524" y="19051"/>
          <a:chExt cx="8537711" cy="1924049"/>
        </a:xfrm>
      </xdr:grpSpPr>
      <xdr:pic>
        <xdr:nvPicPr>
          <xdr:cNvPr id="14" name="Picture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1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6" name="Rectangle 15"/>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789745</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0</xdr:col>
      <xdr:colOff>137211</xdr:colOff>
      <xdr:row>4</xdr:row>
      <xdr:rowOff>53861</xdr:rowOff>
    </xdr:from>
    <xdr:to>
      <xdr:col>7</xdr:col>
      <xdr:colOff>636106</xdr:colOff>
      <xdr:row>7</xdr:row>
      <xdr:rowOff>114715</xdr:rowOff>
    </xdr:to>
    <xdr:sp macro="" textlink="">
      <xdr:nvSpPr>
        <xdr:cNvPr id="7" name="Rectangle 6"/>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2015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546371</xdr:colOff>
      <xdr:row>0</xdr:row>
      <xdr:rowOff>158221</xdr:rowOff>
    </xdr:from>
    <xdr:to>
      <xdr:col>1</xdr:col>
      <xdr:colOff>2519985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189670</xdr:colOff>
      <xdr:row>1</xdr:row>
      <xdr:rowOff>96491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xdr:col>
      <xdr:colOff>61011</xdr:colOff>
      <xdr:row>0</xdr:row>
      <xdr:rowOff>701561</xdr:rowOff>
    </xdr:from>
    <xdr:to>
      <xdr:col>6</xdr:col>
      <xdr:colOff>36031</xdr:colOff>
      <xdr:row>0</xdr:row>
      <xdr:rowOff>1248190</xdr:rowOff>
    </xdr:to>
    <xdr:sp macro="" textlink="">
      <xdr:nvSpPr>
        <xdr:cNvPr id="7" name="Rectangle 6"/>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2015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129624</xdr:colOff>
      <xdr:row>0</xdr:row>
      <xdr:rowOff>188475</xdr:rowOff>
    </xdr:from>
    <xdr:to>
      <xdr:col>1</xdr:col>
      <xdr:colOff>518906</xdr:colOff>
      <xdr:row>0</xdr:row>
      <xdr:rowOff>566620</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470171</xdr:colOff>
      <xdr:row>0</xdr:row>
      <xdr:rowOff>158221</xdr:rowOff>
    </xdr:from>
    <xdr:to>
      <xdr:col>1</xdr:col>
      <xdr:colOff>3053385</xdr:colOff>
      <xdr:row>0</xdr:row>
      <xdr:rowOff>494471</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0</xdr:rowOff>
    </xdr:from>
    <xdr:to>
      <xdr:col>8</xdr:col>
      <xdr:colOff>75370</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9050" y="0"/>
          <a:ext cx="8857420" cy="1915766"/>
        </a:xfrm>
        <a:prstGeom prst="rect">
          <a:avLst/>
        </a:prstGeom>
        <a:ln>
          <a:noFill/>
        </a:ln>
        <a:effectLst>
          <a:softEdge rad="112500"/>
        </a:effectLst>
      </xdr:spPr>
    </xdr:pic>
    <xdr:clientData/>
  </xdr:twoCellAnchor>
  <xdr:twoCellAnchor>
    <xdr:from>
      <xdr:col>0</xdr:col>
      <xdr:colOff>156261</xdr:colOff>
      <xdr:row>4</xdr:row>
      <xdr:rowOff>53861</xdr:rowOff>
    </xdr:from>
    <xdr:to>
      <xdr:col>7</xdr:col>
      <xdr:colOff>674206</xdr:colOff>
      <xdr:row>7</xdr:row>
      <xdr:rowOff>114715</xdr:rowOff>
    </xdr:to>
    <xdr:sp macro="" textlink="">
      <xdr:nvSpPr>
        <xdr:cNvPr id="7" name="Rectangle 6"/>
        <xdr:cNvSpPr/>
      </xdr:nvSpPr>
      <xdr:spPr>
        <a:xfrm>
          <a:off x="15626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2015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224874</xdr:colOff>
      <xdr:row>1</xdr:row>
      <xdr:rowOff>26550</xdr:rowOff>
    </xdr:from>
    <xdr:to>
      <xdr:col>1</xdr:col>
      <xdr:colOff>4556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2487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565421</xdr:colOff>
      <xdr:row>0</xdr:row>
      <xdr:rowOff>158221</xdr:rowOff>
    </xdr:from>
    <xdr:to>
      <xdr:col>2</xdr:col>
      <xdr:colOff>157785</xdr:colOff>
      <xdr:row>3</xdr:row>
      <xdr:rowOff>8696</xdr:rowOff>
    </xdr:to>
    <xdr:sp macro="" textlink="">
      <xdr:nvSpPr>
        <xdr:cNvPr id="9" name="Rectangle 8"/>
        <xdr:cNvSpPr/>
      </xdr:nvSpPr>
      <xdr:spPr>
        <a:xfrm>
          <a:off x="56542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V78"/>
  <sheetViews>
    <sheetView showGridLines="0" tabSelected="1" topLeftCell="A14" zoomScaleNormal="100" workbookViewId="0">
      <selection activeCell="F24" sqref="F24:J24"/>
    </sheetView>
  </sheetViews>
  <sheetFormatPr defaultColWidth="9.140625" defaultRowHeight="15" x14ac:dyDescent="0.25"/>
  <cols>
    <col min="1" max="1" width="13.28515625" style="37" customWidth="1"/>
    <col min="2" max="4" width="9.140625" style="37"/>
    <col min="5" max="5" width="9.140625" style="37" customWidth="1"/>
    <col min="6" max="21" width="9.140625" style="37"/>
    <col min="22" max="22" width="54.140625" style="37" hidden="1" customWidth="1"/>
    <col min="23" max="16384" width="9.140625" style="37"/>
  </cols>
  <sheetData>
    <row r="1" spans="2:22" x14ac:dyDescent="0.25">
      <c r="V1" t="s">
        <v>156</v>
      </c>
    </row>
    <row r="2" spans="2:22" x14ac:dyDescent="0.25">
      <c r="V2" t="s">
        <v>157</v>
      </c>
    </row>
    <row r="3" spans="2:22" x14ac:dyDescent="0.25">
      <c r="V3" t="s">
        <v>158</v>
      </c>
    </row>
    <row r="4" spans="2:22" x14ac:dyDescent="0.25">
      <c r="V4" t="s">
        <v>159</v>
      </c>
    </row>
    <row r="5" spans="2:22" x14ac:dyDescent="0.25">
      <c r="V5" t="s">
        <v>160</v>
      </c>
    </row>
    <row r="6" spans="2:22" x14ac:dyDescent="0.25">
      <c r="V6" t="s">
        <v>161</v>
      </c>
    </row>
    <row r="7" spans="2:22" x14ac:dyDescent="0.25">
      <c r="V7" t="s">
        <v>162</v>
      </c>
    </row>
    <row r="8" spans="2:22" x14ac:dyDescent="0.25">
      <c r="V8" t="s">
        <v>163</v>
      </c>
    </row>
    <row r="9" spans="2:22" x14ac:dyDescent="0.25">
      <c r="V9" t="s">
        <v>164</v>
      </c>
    </row>
    <row r="10" spans="2:22" x14ac:dyDescent="0.25">
      <c r="V10" t="s">
        <v>165</v>
      </c>
    </row>
    <row r="11" spans="2:22" x14ac:dyDescent="0.25">
      <c r="G11" s="38"/>
      <c r="V11" t="s">
        <v>237</v>
      </c>
    </row>
    <row r="12" spans="2:22" x14ac:dyDescent="0.25">
      <c r="B12" s="39"/>
      <c r="C12" s="39"/>
      <c r="D12" s="39"/>
      <c r="E12" s="39"/>
      <c r="F12" s="39"/>
      <c r="G12" s="38"/>
      <c r="M12" s="40" t="s">
        <v>77</v>
      </c>
      <c r="N12" s="41">
        <v>2.4</v>
      </c>
      <c r="V12" t="s">
        <v>166</v>
      </c>
    </row>
    <row r="13" spans="2:22" ht="15.75" thickBot="1" x14ac:dyDescent="0.3">
      <c r="G13" s="38"/>
      <c r="V13" t="s">
        <v>167</v>
      </c>
    </row>
    <row r="14" spans="2:22" ht="16.5" thickTop="1" thickBot="1" x14ac:dyDescent="0.3">
      <c r="E14" s="42" t="s">
        <v>78</v>
      </c>
      <c r="F14" s="214" t="s">
        <v>197</v>
      </c>
      <c r="G14" s="215"/>
      <c r="H14" s="215"/>
      <c r="I14" s="215"/>
      <c r="J14" s="215"/>
      <c r="K14" s="215"/>
      <c r="L14" s="216"/>
      <c r="V14" t="s">
        <v>168</v>
      </c>
    </row>
    <row r="15" spans="2:22" ht="15.75" thickBot="1" x14ac:dyDescent="0.3">
      <c r="E15" s="43"/>
      <c r="F15" s="44"/>
      <c r="G15" s="45"/>
      <c r="H15" s="44"/>
      <c r="I15" s="44"/>
      <c r="J15" s="44"/>
      <c r="V15" s="177" t="s">
        <v>169</v>
      </c>
    </row>
    <row r="16" spans="2:22" ht="16.5" thickTop="1" thickBot="1" x14ac:dyDescent="0.3">
      <c r="E16" s="46" t="s">
        <v>79</v>
      </c>
      <c r="F16" s="217" t="s">
        <v>80</v>
      </c>
      <c r="G16" s="218"/>
      <c r="H16" s="218"/>
      <c r="I16" s="218"/>
      <c r="J16" s="219"/>
      <c r="V16" s="177" t="s">
        <v>238</v>
      </c>
    </row>
    <row r="17" spans="2:22" ht="27" thickBot="1" x14ac:dyDescent="0.3">
      <c r="E17" s="47"/>
      <c r="V17" s="177" t="s">
        <v>239</v>
      </c>
    </row>
    <row r="18" spans="2:22" ht="16.5" thickTop="1" thickBot="1" x14ac:dyDescent="0.3">
      <c r="E18" s="46" t="s">
        <v>81</v>
      </c>
      <c r="F18" s="220" t="s">
        <v>285</v>
      </c>
      <c r="G18" s="221"/>
      <c r="H18" s="221"/>
      <c r="I18" s="221"/>
      <c r="J18" s="222"/>
      <c r="V18" s="177" t="s">
        <v>240</v>
      </c>
    </row>
    <row r="19" spans="2:22" ht="12.75" customHeight="1" thickBot="1" x14ac:dyDescent="0.3">
      <c r="E19" s="47"/>
      <c r="V19" s="177" t="s">
        <v>241</v>
      </c>
    </row>
    <row r="20" spans="2:22" ht="16.5" thickTop="1" thickBot="1" x14ac:dyDescent="0.3">
      <c r="E20" s="46" t="s">
        <v>82</v>
      </c>
      <c r="F20" s="220" t="s">
        <v>286</v>
      </c>
      <c r="G20" s="221"/>
      <c r="H20" s="221"/>
      <c r="I20" s="221"/>
      <c r="J20" s="222"/>
      <c r="V20" t="s">
        <v>170</v>
      </c>
    </row>
    <row r="21" spans="2:22" ht="15.75" thickBot="1" x14ac:dyDescent="0.3">
      <c r="E21" s="48"/>
      <c r="F21" s="44"/>
      <c r="G21" s="45"/>
      <c r="H21" s="44"/>
      <c r="I21" s="44"/>
      <c r="J21" s="44"/>
      <c r="V21" t="s">
        <v>171</v>
      </c>
    </row>
    <row r="22" spans="2:22" ht="16.5" thickTop="1" thickBot="1" x14ac:dyDescent="0.3">
      <c r="E22" s="42" t="s">
        <v>83</v>
      </c>
      <c r="F22" s="220" t="s">
        <v>287</v>
      </c>
      <c r="G22" s="221"/>
      <c r="H22" s="221"/>
      <c r="I22" s="221"/>
      <c r="J22" s="222"/>
      <c r="V22" t="s">
        <v>172</v>
      </c>
    </row>
    <row r="23" spans="2:22" ht="15.75" thickBot="1" x14ac:dyDescent="0.3">
      <c r="E23" s="48"/>
      <c r="F23" s="44"/>
      <c r="G23" s="45"/>
      <c r="H23" s="44"/>
      <c r="I23" s="44"/>
      <c r="J23" s="44"/>
      <c r="V23" t="s">
        <v>173</v>
      </c>
    </row>
    <row r="24" spans="2:22" ht="16.5" thickTop="1" thickBot="1" x14ac:dyDescent="0.3">
      <c r="E24" s="42" t="s">
        <v>84</v>
      </c>
      <c r="F24" s="223" t="s">
        <v>288</v>
      </c>
      <c r="G24" s="224"/>
      <c r="H24" s="224"/>
      <c r="I24" s="224"/>
      <c r="J24" s="225"/>
      <c r="V24" t="s">
        <v>174</v>
      </c>
    </row>
    <row r="25" spans="2:22" x14ac:dyDescent="0.25">
      <c r="E25" s="48"/>
      <c r="F25" s="44"/>
      <c r="G25" s="45"/>
      <c r="H25" s="44"/>
      <c r="I25" s="44"/>
      <c r="J25" s="44"/>
      <c r="V25" t="s">
        <v>175</v>
      </c>
    </row>
    <row r="26" spans="2:22" x14ac:dyDescent="0.25">
      <c r="E26" s="42"/>
      <c r="I26" s="44"/>
      <c r="J26" s="44"/>
      <c r="V26" t="s">
        <v>176</v>
      </c>
    </row>
    <row r="27" spans="2:22" x14ac:dyDescent="0.25">
      <c r="B27" s="213" t="s">
        <v>89</v>
      </c>
      <c r="C27" s="213"/>
      <c r="D27" s="213"/>
      <c r="E27" s="213"/>
      <c r="F27" s="213"/>
      <c r="G27" s="213"/>
      <c r="H27" s="213"/>
      <c r="I27" s="213"/>
      <c r="J27" s="213"/>
      <c r="K27" s="213"/>
      <c r="L27" s="213"/>
      <c r="M27" s="213"/>
      <c r="V27" t="s">
        <v>177</v>
      </c>
    </row>
    <row r="28" spans="2:22" x14ac:dyDescent="0.25">
      <c r="V28" t="s">
        <v>178</v>
      </c>
    </row>
    <row r="29" spans="2:22" x14ac:dyDescent="0.25">
      <c r="B29" s="49" t="s">
        <v>85</v>
      </c>
      <c r="C29" s="50"/>
      <c r="D29" s="50"/>
      <c r="E29" s="50"/>
      <c r="F29" s="50"/>
      <c r="G29" s="50"/>
      <c r="H29" s="50"/>
      <c r="I29" s="50"/>
      <c r="J29" s="50"/>
      <c r="K29" s="50"/>
      <c r="L29" s="50"/>
      <c r="M29" s="50"/>
      <c r="N29" s="50"/>
      <c r="V29" t="s">
        <v>179</v>
      </c>
    </row>
    <row r="30" spans="2:22" ht="15.75" thickBot="1" x14ac:dyDescent="0.3">
      <c r="B30" s="50"/>
      <c r="C30" s="50"/>
      <c r="D30" s="50"/>
      <c r="E30" s="50"/>
      <c r="F30" s="50"/>
      <c r="G30" s="50"/>
      <c r="H30" s="50"/>
      <c r="I30" s="50"/>
      <c r="J30" s="50"/>
      <c r="K30" s="50"/>
      <c r="L30" s="50"/>
      <c r="M30" s="50"/>
      <c r="N30" s="50"/>
      <c r="V30" t="s">
        <v>180</v>
      </c>
    </row>
    <row r="31" spans="2:22" ht="15.75" thickBot="1" x14ac:dyDescent="0.3">
      <c r="B31" s="51"/>
      <c r="C31" s="208" t="s">
        <v>86</v>
      </c>
      <c r="D31" s="208"/>
      <c r="E31" s="208"/>
      <c r="F31" s="208"/>
      <c r="G31" s="208"/>
      <c r="H31" s="208"/>
      <c r="I31" s="208"/>
      <c r="J31" s="208"/>
      <c r="K31" s="208"/>
      <c r="L31" s="208"/>
      <c r="M31" s="50"/>
      <c r="N31" s="50"/>
      <c r="V31" t="s">
        <v>181</v>
      </c>
    </row>
    <row r="32" spans="2:22" ht="15.75" thickBot="1" x14ac:dyDescent="0.3">
      <c r="B32" s="50"/>
      <c r="C32" s="50"/>
      <c r="D32" s="50"/>
      <c r="E32" s="50"/>
      <c r="F32" s="50"/>
      <c r="G32" s="50"/>
      <c r="H32" s="50"/>
      <c r="I32" s="50"/>
      <c r="J32" s="50"/>
      <c r="K32" s="50"/>
      <c r="L32" s="50"/>
      <c r="M32" s="50"/>
      <c r="N32" s="50"/>
      <c r="V32" t="s">
        <v>182</v>
      </c>
    </row>
    <row r="33" spans="2:22" ht="15.75" thickBot="1" x14ac:dyDescent="0.3">
      <c r="B33" s="52"/>
      <c r="C33" s="209" t="s">
        <v>87</v>
      </c>
      <c r="D33" s="210"/>
      <c r="E33" s="210"/>
      <c r="F33" s="210"/>
      <c r="G33" s="210"/>
      <c r="H33" s="210"/>
      <c r="I33" s="210"/>
      <c r="J33" s="210"/>
      <c r="K33" s="210"/>
      <c r="L33" s="210"/>
      <c r="M33" s="210"/>
      <c r="N33" s="210"/>
      <c r="V33" t="s">
        <v>183</v>
      </c>
    </row>
    <row r="34" spans="2:22" ht="15.75" thickBot="1" x14ac:dyDescent="0.3">
      <c r="B34" s="53"/>
      <c r="C34" s="50"/>
      <c r="D34" s="50"/>
      <c r="E34" s="50"/>
      <c r="F34" s="50"/>
      <c r="G34" s="50"/>
      <c r="H34" s="50"/>
      <c r="I34" s="50"/>
      <c r="J34" s="50"/>
      <c r="K34" s="50"/>
      <c r="L34" s="50"/>
      <c r="M34" s="50"/>
      <c r="N34" s="50"/>
      <c r="V34" t="s">
        <v>184</v>
      </c>
    </row>
    <row r="35" spans="2:22" ht="15.75" thickBot="1" x14ac:dyDescent="0.3">
      <c r="B35" s="54"/>
      <c r="C35" s="211" t="s">
        <v>88</v>
      </c>
      <c r="D35" s="212"/>
      <c r="E35" s="212"/>
      <c r="F35" s="212"/>
      <c r="G35" s="212"/>
      <c r="H35" s="212"/>
      <c r="I35" s="212"/>
      <c r="J35" s="212"/>
      <c r="K35" s="212"/>
      <c r="L35" s="212"/>
      <c r="M35" s="212"/>
      <c r="N35" s="50"/>
      <c r="V35" t="s">
        <v>185</v>
      </c>
    </row>
    <row r="36" spans="2:22" x14ac:dyDescent="0.25">
      <c r="B36" s="50"/>
      <c r="C36" s="50"/>
      <c r="D36" s="50"/>
      <c r="E36" s="50"/>
      <c r="F36" s="50"/>
      <c r="G36" s="50"/>
      <c r="H36" s="50"/>
      <c r="I36" s="50"/>
      <c r="J36" s="50"/>
      <c r="K36" s="50"/>
      <c r="L36" s="50"/>
      <c r="M36" s="50"/>
      <c r="N36" s="50"/>
      <c r="V36" s="56" t="s">
        <v>186</v>
      </c>
    </row>
    <row r="37" spans="2:22" x14ac:dyDescent="0.25">
      <c r="V37" t="s">
        <v>187</v>
      </c>
    </row>
    <row r="38" spans="2:22" x14ac:dyDescent="0.25">
      <c r="V38" t="s">
        <v>188</v>
      </c>
    </row>
    <row r="39" spans="2:22" x14ac:dyDescent="0.25">
      <c r="V39" t="s">
        <v>189</v>
      </c>
    </row>
    <row r="40" spans="2:22" x14ac:dyDescent="0.25">
      <c r="V40" t="s">
        <v>190</v>
      </c>
    </row>
    <row r="41" spans="2:22" x14ac:dyDescent="0.25">
      <c r="V41" t="s">
        <v>191</v>
      </c>
    </row>
    <row r="42" spans="2:22" x14ac:dyDescent="0.25">
      <c r="V42" t="s">
        <v>192</v>
      </c>
    </row>
    <row r="43" spans="2:22" x14ac:dyDescent="0.25">
      <c r="V43" t="s">
        <v>193</v>
      </c>
    </row>
    <row r="44" spans="2:22" x14ac:dyDescent="0.25">
      <c r="V44" t="s">
        <v>194</v>
      </c>
    </row>
    <row r="45" spans="2:22" x14ac:dyDescent="0.25">
      <c r="V45" t="s">
        <v>195</v>
      </c>
    </row>
    <row r="46" spans="2:22" x14ac:dyDescent="0.25">
      <c r="V46" t="s">
        <v>242</v>
      </c>
    </row>
    <row r="47" spans="2:22" x14ac:dyDescent="0.25">
      <c r="V47" t="s">
        <v>196</v>
      </c>
    </row>
    <row r="48" spans="2:22" x14ac:dyDescent="0.25">
      <c r="V48" t="s">
        <v>197</v>
      </c>
    </row>
    <row r="49" spans="22:22" x14ac:dyDescent="0.25">
      <c r="V49" t="s">
        <v>198</v>
      </c>
    </row>
    <row r="50" spans="22:22" x14ac:dyDescent="0.25">
      <c r="V50" t="s">
        <v>199</v>
      </c>
    </row>
    <row r="51" spans="22:22" x14ac:dyDescent="0.25">
      <c r="V51" t="s">
        <v>200</v>
      </c>
    </row>
    <row r="52" spans="22:22" x14ac:dyDescent="0.25">
      <c r="V52" t="s">
        <v>201</v>
      </c>
    </row>
    <row r="53" spans="22:22" x14ac:dyDescent="0.25">
      <c r="V53" t="s">
        <v>202</v>
      </c>
    </row>
    <row r="54" spans="22:22" x14ac:dyDescent="0.25">
      <c r="V54" t="s">
        <v>203</v>
      </c>
    </row>
    <row r="55" spans="22:22" x14ac:dyDescent="0.25">
      <c r="V55" t="s">
        <v>204</v>
      </c>
    </row>
    <row r="56" spans="22:22" x14ac:dyDescent="0.25">
      <c r="V56" t="s">
        <v>205</v>
      </c>
    </row>
    <row r="57" spans="22:22" x14ac:dyDescent="0.25">
      <c r="V57" t="s">
        <v>206</v>
      </c>
    </row>
    <row r="58" spans="22:22" x14ac:dyDescent="0.25">
      <c r="V58" t="s">
        <v>207</v>
      </c>
    </row>
    <row r="59" spans="22:22" x14ac:dyDescent="0.25">
      <c r="V59" t="s">
        <v>208</v>
      </c>
    </row>
    <row r="60" spans="22:22" x14ac:dyDescent="0.25">
      <c r="V60" t="s">
        <v>209</v>
      </c>
    </row>
    <row r="61" spans="22:22" x14ac:dyDescent="0.25">
      <c r="V61" t="s">
        <v>210</v>
      </c>
    </row>
    <row r="62" spans="22:22" x14ac:dyDescent="0.25">
      <c r="V62" t="s">
        <v>211</v>
      </c>
    </row>
    <row r="63" spans="22:22" x14ac:dyDescent="0.25">
      <c r="V63" t="s">
        <v>212</v>
      </c>
    </row>
    <row r="64" spans="22:22" x14ac:dyDescent="0.25">
      <c r="V64" t="s">
        <v>213</v>
      </c>
    </row>
    <row r="65" spans="22:22" x14ac:dyDescent="0.25">
      <c r="V65" t="s">
        <v>214</v>
      </c>
    </row>
    <row r="66" spans="22:22" x14ac:dyDescent="0.25">
      <c r="V66" t="s">
        <v>215</v>
      </c>
    </row>
    <row r="67" spans="22:22" x14ac:dyDescent="0.25">
      <c r="V67" t="s">
        <v>216</v>
      </c>
    </row>
    <row r="68" spans="22:22" x14ac:dyDescent="0.25">
      <c r="V68" t="s">
        <v>217</v>
      </c>
    </row>
    <row r="69" spans="22:22" x14ac:dyDescent="0.25">
      <c r="V69" t="s">
        <v>218</v>
      </c>
    </row>
    <row r="70" spans="22:22" x14ac:dyDescent="0.25">
      <c r="V70" t="s">
        <v>219</v>
      </c>
    </row>
    <row r="71" spans="22:22" x14ac:dyDescent="0.25">
      <c r="V71" t="s">
        <v>220</v>
      </c>
    </row>
    <row r="72" spans="22:22" x14ac:dyDescent="0.25">
      <c r="V72" t="s">
        <v>221</v>
      </c>
    </row>
    <row r="73" spans="22:22" x14ac:dyDescent="0.25">
      <c r="V73" t="s">
        <v>222</v>
      </c>
    </row>
    <row r="74" spans="22:22" x14ac:dyDescent="0.25">
      <c r="V74" t="s">
        <v>223</v>
      </c>
    </row>
    <row r="75" spans="22:22" x14ac:dyDescent="0.25">
      <c r="V75" t="s">
        <v>224</v>
      </c>
    </row>
    <row r="76" spans="22:22" x14ac:dyDescent="0.25">
      <c r="V76" s="135" t="s">
        <v>225</v>
      </c>
    </row>
    <row r="77" spans="22:22" x14ac:dyDescent="0.25">
      <c r="V77" t="s">
        <v>226</v>
      </c>
    </row>
    <row r="78" spans="22:22" x14ac:dyDescent="0.25">
      <c r="V78" s="119"/>
    </row>
  </sheetData>
  <sheetProtection password="F8BD" sheet="1" objects="1" scenarios="1"/>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$V$1:$V$78</formula1>
    </dataValidation>
  </dataValidations>
  <pageMargins left="0.25" right="0.25" top="0.75" bottom="0.75" header="0.3" footer="0.3"/>
  <pageSetup scale="65" orientation="landscape" r:id="rId1"/>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8:BQ101"/>
  <sheetViews>
    <sheetView showGridLines="0" topLeftCell="BI1" zoomScale="75" zoomScaleNormal="75" workbookViewId="0">
      <selection activeCell="BQ82" sqref="BQ82"/>
    </sheetView>
  </sheetViews>
  <sheetFormatPr defaultColWidth="9.140625" defaultRowHeight="12.75" x14ac:dyDescent="0.2"/>
  <cols>
    <col min="1" max="1" width="9.140625" style="1" customWidth="1"/>
    <col min="2" max="2" width="2.85546875" style="1" bestFit="1" customWidth="1"/>
    <col min="3" max="3" width="86.42578125" style="1" customWidth="1"/>
    <col min="4" max="4" width="9.7109375" style="1" customWidth="1"/>
    <col min="5" max="5" width="16.140625" style="120" customWidth="1"/>
    <col min="6" max="6" width="23.140625" style="120" customWidth="1"/>
    <col min="7" max="8" width="18.42578125" style="120" customWidth="1"/>
    <col min="9" max="9" width="14.7109375" style="120" customWidth="1"/>
    <col min="10" max="10" width="14.140625" style="120" customWidth="1"/>
    <col min="11" max="13" width="14.85546875" style="120" customWidth="1"/>
    <col min="14" max="14" width="15.42578125" style="120" customWidth="1"/>
    <col min="15" max="15" width="16.140625" style="120" customWidth="1"/>
    <col min="16" max="16" width="23.140625" style="120" customWidth="1"/>
    <col min="17" max="18" width="18.42578125" style="120" customWidth="1"/>
    <col min="19" max="19" width="14.7109375" style="120" customWidth="1"/>
    <col min="20" max="20" width="14.140625" style="120" customWidth="1"/>
    <col min="21" max="23" width="14.85546875" style="120" customWidth="1"/>
    <col min="24" max="24" width="15.42578125" style="120" customWidth="1"/>
    <col min="25" max="25" width="16.140625" style="120" customWidth="1"/>
    <col min="26" max="26" width="23.140625" style="120" customWidth="1"/>
    <col min="27" max="28" width="18.42578125" style="120" customWidth="1"/>
    <col min="29" max="29" width="14.7109375" style="120" customWidth="1"/>
    <col min="30" max="30" width="14.140625" style="120" customWidth="1"/>
    <col min="31" max="33" width="14.85546875" style="120" customWidth="1"/>
    <col min="34" max="34" width="15.42578125" style="120" customWidth="1"/>
    <col min="35" max="35" width="16.140625" style="120" customWidth="1"/>
    <col min="36" max="36" width="23.140625" style="120" customWidth="1"/>
    <col min="37" max="41" width="18.42578125" style="120" customWidth="1"/>
    <col min="42" max="42" width="14.7109375" style="120" customWidth="1"/>
    <col min="43" max="43" width="14.140625" style="120" customWidth="1"/>
    <col min="44" max="46" width="14.85546875" style="120" customWidth="1"/>
    <col min="47" max="47" width="15.42578125" style="120" customWidth="1"/>
    <col min="48" max="48" width="16.140625" style="120" customWidth="1"/>
    <col min="49" max="49" width="23.140625" style="120" customWidth="1"/>
    <col min="50" max="54" width="18.42578125" style="120" customWidth="1"/>
    <col min="55" max="55" width="14.7109375" style="120" customWidth="1"/>
    <col min="56" max="56" width="14.140625" style="120" customWidth="1"/>
    <col min="57" max="59" width="14.85546875" style="120" customWidth="1"/>
    <col min="60" max="60" width="15.42578125" style="120" customWidth="1"/>
    <col min="61" max="62" width="14.85546875" style="120" customWidth="1"/>
    <col min="63" max="63" width="16.85546875" style="120" customWidth="1"/>
    <col min="64" max="64" width="17.28515625" style="120" customWidth="1"/>
    <col min="65" max="66" width="26.85546875" style="120" customWidth="1"/>
    <col min="67" max="67" width="22.28515625" style="120" bestFit="1" customWidth="1"/>
    <col min="68" max="68" width="22.42578125" style="120" bestFit="1" customWidth="1"/>
    <col min="69" max="69" width="19.85546875" style="120" customWidth="1"/>
    <col min="70" max="16384" width="9.140625" style="1"/>
  </cols>
  <sheetData>
    <row r="18" spans="1:69" ht="15.75" thickBot="1" x14ac:dyDescent="0.35">
      <c r="C18" s="3"/>
      <c r="BK18" s="195"/>
      <c r="BL18" s="195"/>
      <c r="BM18" s="195"/>
      <c r="BN18" s="195"/>
      <c r="BO18" s="195"/>
    </row>
    <row r="19" spans="1:69" s="123" customFormat="1" ht="29.25" thickBot="1" x14ac:dyDescent="0.5">
      <c r="C19" s="124"/>
      <c r="D19" s="125"/>
      <c r="E19" s="237">
        <v>2009</v>
      </c>
      <c r="F19" s="238"/>
      <c r="G19" s="238"/>
      <c r="H19" s="238"/>
      <c r="I19" s="238"/>
      <c r="J19" s="238"/>
      <c r="K19" s="238"/>
      <c r="L19" s="238"/>
      <c r="M19" s="238"/>
      <c r="N19" s="239"/>
      <c r="O19" s="237">
        <v>2010</v>
      </c>
      <c r="P19" s="238"/>
      <c r="Q19" s="238"/>
      <c r="R19" s="238"/>
      <c r="S19" s="238"/>
      <c r="T19" s="238"/>
      <c r="U19" s="238"/>
      <c r="V19" s="238"/>
      <c r="W19" s="238"/>
      <c r="X19" s="239"/>
      <c r="Y19" s="237">
        <v>2011</v>
      </c>
      <c r="Z19" s="238"/>
      <c r="AA19" s="238"/>
      <c r="AB19" s="238"/>
      <c r="AC19" s="238"/>
      <c r="AD19" s="238"/>
      <c r="AE19" s="238"/>
      <c r="AF19" s="238"/>
      <c r="AG19" s="238"/>
      <c r="AH19" s="239"/>
      <c r="AI19" s="237">
        <v>2012</v>
      </c>
      <c r="AJ19" s="238"/>
      <c r="AK19" s="238"/>
      <c r="AL19" s="238"/>
      <c r="AM19" s="238"/>
      <c r="AN19" s="238"/>
      <c r="AO19" s="238"/>
      <c r="AP19" s="238"/>
      <c r="AQ19" s="238"/>
      <c r="AR19" s="238"/>
      <c r="AS19" s="238"/>
      <c r="AT19" s="238"/>
      <c r="AU19" s="239"/>
      <c r="AV19" s="237">
        <v>2013</v>
      </c>
      <c r="AW19" s="238"/>
      <c r="AX19" s="238"/>
      <c r="AY19" s="238"/>
      <c r="AZ19" s="238"/>
      <c r="BA19" s="238"/>
      <c r="BB19" s="238"/>
      <c r="BC19" s="238"/>
      <c r="BD19" s="238"/>
      <c r="BE19" s="238"/>
      <c r="BF19" s="238"/>
      <c r="BG19" s="238"/>
      <c r="BH19" s="239"/>
      <c r="BI19" s="237">
        <v>2014</v>
      </c>
      <c r="BJ19" s="238"/>
      <c r="BK19" s="238"/>
      <c r="BL19" s="239"/>
      <c r="BM19" s="240" t="s">
        <v>261</v>
      </c>
      <c r="BN19" s="241"/>
      <c r="BO19" s="242"/>
      <c r="BP19" s="126" t="s">
        <v>29</v>
      </c>
      <c r="BQ19" s="127"/>
    </row>
    <row r="20" spans="1:69" ht="14.25" customHeight="1" x14ac:dyDescent="0.2">
      <c r="C20" s="251" t="s">
        <v>24</v>
      </c>
      <c r="D20" s="254" t="s">
        <v>0</v>
      </c>
      <c r="E20" s="234" t="s">
        <v>49</v>
      </c>
      <c r="F20" s="229" t="s">
        <v>65</v>
      </c>
      <c r="G20" s="229" t="s">
        <v>31</v>
      </c>
      <c r="H20" s="229" t="s">
        <v>62</v>
      </c>
      <c r="I20" s="229" t="s">
        <v>14</v>
      </c>
      <c r="J20" s="229" t="s">
        <v>15</v>
      </c>
      <c r="K20" s="229" t="s">
        <v>26</v>
      </c>
      <c r="L20" s="229" t="s">
        <v>31</v>
      </c>
      <c r="M20" s="229" t="s">
        <v>62</v>
      </c>
      <c r="N20" s="226" t="s">
        <v>16</v>
      </c>
      <c r="O20" s="234" t="s">
        <v>50</v>
      </c>
      <c r="P20" s="229" t="s">
        <v>66</v>
      </c>
      <c r="Q20" s="229" t="s">
        <v>32</v>
      </c>
      <c r="R20" s="229" t="s">
        <v>63</v>
      </c>
      <c r="S20" s="229" t="s">
        <v>20</v>
      </c>
      <c r="T20" s="229" t="s">
        <v>21</v>
      </c>
      <c r="U20" s="229" t="s">
        <v>27</v>
      </c>
      <c r="V20" s="229" t="s">
        <v>32</v>
      </c>
      <c r="W20" s="229" t="s">
        <v>63</v>
      </c>
      <c r="X20" s="226" t="s">
        <v>22</v>
      </c>
      <c r="Y20" s="234" t="s">
        <v>52</v>
      </c>
      <c r="Z20" s="229" t="s">
        <v>67</v>
      </c>
      <c r="AA20" s="229" t="s">
        <v>53</v>
      </c>
      <c r="AB20" s="229" t="s">
        <v>63</v>
      </c>
      <c r="AC20" s="229" t="s">
        <v>54</v>
      </c>
      <c r="AD20" s="229" t="s">
        <v>55</v>
      </c>
      <c r="AE20" s="229" t="s">
        <v>56</v>
      </c>
      <c r="AF20" s="229" t="s">
        <v>53</v>
      </c>
      <c r="AG20" s="229" t="s">
        <v>64</v>
      </c>
      <c r="AH20" s="226" t="s">
        <v>57</v>
      </c>
      <c r="AI20" s="234" t="s">
        <v>131</v>
      </c>
      <c r="AJ20" s="229" t="s">
        <v>132</v>
      </c>
      <c r="AK20" s="229" t="s">
        <v>133</v>
      </c>
      <c r="AL20" s="229" t="s">
        <v>134</v>
      </c>
      <c r="AM20" s="229" t="s">
        <v>135</v>
      </c>
      <c r="AN20" s="229" t="s">
        <v>136</v>
      </c>
      <c r="AO20" s="229" t="s">
        <v>137</v>
      </c>
      <c r="AP20" s="229" t="s">
        <v>138</v>
      </c>
      <c r="AQ20" s="229" t="s">
        <v>139</v>
      </c>
      <c r="AR20" s="229" t="s">
        <v>140</v>
      </c>
      <c r="AS20" s="229" t="s">
        <v>133</v>
      </c>
      <c r="AT20" s="229" t="s">
        <v>141</v>
      </c>
      <c r="AU20" s="226" t="s">
        <v>142</v>
      </c>
      <c r="AV20" s="234" t="s">
        <v>245</v>
      </c>
      <c r="AW20" s="229" t="s">
        <v>246</v>
      </c>
      <c r="AX20" s="229" t="s">
        <v>247</v>
      </c>
      <c r="AY20" s="229" t="s">
        <v>248</v>
      </c>
      <c r="AZ20" s="229" t="s">
        <v>249</v>
      </c>
      <c r="BA20" s="229" t="s">
        <v>250</v>
      </c>
      <c r="BB20" s="229" t="s">
        <v>251</v>
      </c>
      <c r="BC20" s="229" t="s">
        <v>253</v>
      </c>
      <c r="BD20" s="229" t="s">
        <v>254</v>
      </c>
      <c r="BE20" s="229" t="s">
        <v>255</v>
      </c>
      <c r="BF20" s="229" t="s">
        <v>247</v>
      </c>
      <c r="BG20" s="229" t="s">
        <v>252</v>
      </c>
      <c r="BH20" s="226" t="s">
        <v>256</v>
      </c>
      <c r="BI20" s="229" t="s">
        <v>257</v>
      </c>
      <c r="BJ20" s="229" t="s">
        <v>258</v>
      </c>
      <c r="BK20" s="246" t="s">
        <v>259</v>
      </c>
      <c r="BL20" s="246" t="s">
        <v>260</v>
      </c>
      <c r="BM20" s="234" t="s">
        <v>262</v>
      </c>
      <c r="BN20" s="229" t="s">
        <v>263</v>
      </c>
      <c r="BO20" s="226" t="s">
        <v>28</v>
      </c>
      <c r="BP20" s="243" t="s">
        <v>264</v>
      </c>
      <c r="BQ20" s="226" t="s">
        <v>265</v>
      </c>
    </row>
    <row r="21" spans="1:69" ht="24.75" customHeight="1" x14ac:dyDescent="0.2">
      <c r="C21" s="252"/>
      <c r="D21" s="255"/>
      <c r="E21" s="235"/>
      <c r="F21" s="232"/>
      <c r="G21" s="230"/>
      <c r="H21" s="230"/>
      <c r="I21" s="230"/>
      <c r="J21" s="232"/>
      <c r="K21" s="230"/>
      <c r="L21" s="230"/>
      <c r="M21" s="230"/>
      <c r="N21" s="227"/>
      <c r="O21" s="235"/>
      <c r="P21" s="232"/>
      <c r="Q21" s="230"/>
      <c r="R21" s="230"/>
      <c r="S21" s="230"/>
      <c r="T21" s="232"/>
      <c r="U21" s="230"/>
      <c r="V21" s="230"/>
      <c r="W21" s="230"/>
      <c r="X21" s="227"/>
      <c r="Y21" s="235"/>
      <c r="Z21" s="232"/>
      <c r="AA21" s="230"/>
      <c r="AB21" s="230"/>
      <c r="AC21" s="230"/>
      <c r="AD21" s="232"/>
      <c r="AE21" s="230"/>
      <c r="AF21" s="230"/>
      <c r="AG21" s="230"/>
      <c r="AH21" s="227"/>
      <c r="AI21" s="235"/>
      <c r="AJ21" s="232"/>
      <c r="AK21" s="230"/>
      <c r="AL21" s="230"/>
      <c r="AM21" s="230"/>
      <c r="AN21" s="230"/>
      <c r="AO21" s="230"/>
      <c r="AP21" s="230"/>
      <c r="AQ21" s="232"/>
      <c r="AR21" s="230"/>
      <c r="AS21" s="230"/>
      <c r="AT21" s="230"/>
      <c r="AU21" s="227"/>
      <c r="AV21" s="235"/>
      <c r="AW21" s="232"/>
      <c r="AX21" s="230"/>
      <c r="AY21" s="230"/>
      <c r="AZ21" s="230"/>
      <c r="BA21" s="230"/>
      <c r="BB21" s="230"/>
      <c r="BC21" s="230"/>
      <c r="BD21" s="232"/>
      <c r="BE21" s="230"/>
      <c r="BF21" s="230"/>
      <c r="BG21" s="230"/>
      <c r="BH21" s="227"/>
      <c r="BI21" s="230"/>
      <c r="BJ21" s="230"/>
      <c r="BK21" s="247"/>
      <c r="BL21" s="247"/>
      <c r="BM21" s="235"/>
      <c r="BN21" s="232"/>
      <c r="BO21" s="227"/>
      <c r="BP21" s="244"/>
      <c r="BQ21" s="227"/>
    </row>
    <row r="22" spans="1:69" ht="36.75" customHeight="1" thickBot="1" x14ac:dyDescent="0.25">
      <c r="B22" s="19"/>
      <c r="C22" s="253"/>
      <c r="D22" s="256"/>
      <c r="E22" s="236"/>
      <c r="F22" s="233"/>
      <c r="G22" s="231"/>
      <c r="H22" s="231"/>
      <c r="I22" s="231"/>
      <c r="J22" s="233"/>
      <c r="K22" s="231"/>
      <c r="L22" s="231"/>
      <c r="M22" s="231"/>
      <c r="N22" s="228"/>
      <c r="O22" s="236"/>
      <c r="P22" s="233"/>
      <c r="Q22" s="231"/>
      <c r="R22" s="231"/>
      <c r="S22" s="231"/>
      <c r="T22" s="233"/>
      <c r="U22" s="231"/>
      <c r="V22" s="231"/>
      <c r="W22" s="231"/>
      <c r="X22" s="228"/>
      <c r="Y22" s="236"/>
      <c r="Z22" s="233"/>
      <c r="AA22" s="231"/>
      <c r="AB22" s="231"/>
      <c r="AC22" s="231"/>
      <c r="AD22" s="233"/>
      <c r="AE22" s="231"/>
      <c r="AF22" s="231"/>
      <c r="AG22" s="231"/>
      <c r="AH22" s="228"/>
      <c r="AI22" s="236"/>
      <c r="AJ22" s="233"/>
      <c r="AK22" s="231"/>
      <c r="AL22" s="231"/>
      <c r="AM22" s="231"/>
      <c r="AN22" s="231"/>
      <c r="AO22" s="231"/>
      <c r="AP22" s="231"/>
      <c r="AQ22" s="233"/>
      <c r="AR22" s="231"/>
      <c r="AS22" s="231"/>
      <c r="AT22" s="231"/>
      <c r="AU22" s="228"/>
      <c r="AV22" s="236"/>
      <c r="AW22" s="233"/>
      <c r="AX22" s="231"/>
      <c r="AY22" s="231"/>
      <c r="AZ22" s="231"/>
      <c r="BA22" s="231"/>
      <c r="BB22" s="231"/>
      <c r="BC22" s="231"/>
      <c r="BD22" s="233"/>
      <c r="BE22" s="231"/>
      <c r="BF22" s="231"/>
      <c r="BG22" s="231"/>
      <c r="BH22" s="228"/>
      <c r="BI22" s="231"/>
      <c r="BJ22" s="231"/>
      <c r="BK22" s="248"/>
      <c r="BL22" s="248"/>
      <c r="BM22" s="236"/>
      <c r="BN22" s="233"/>
      <c r="BO22" s="228" t="s">
        <v>13</v>
      </c>
      <c r="BP22" s="245"/>
      <c r="BQ22" s="228"/>
    </row>
    <row r="23" spans="1:69" s="148" customFormat="1" ht="33.75" customHeight="1" thickBot="1" x14ac:dyDescent="0.25">
      <c r="A23" s="1"/>
      <c r="B23" s="1"/>
      <c r="C23" s="55" t="s">
        <v>37</v>
      </c>
      <c r="D23" s="4"/>
      <c r="E23" s="178"/>
      <c r="F23" s="138"/>
      <c r="G23" s="139"/>
      <c r="H23" s="139"/>
      <c r="I23" s="139"/>
      <c r="J23" s="139"/>
      <c r="K23" s="139"/>
      <c r="L23" s="139"/>
      <c r="M23" s="139"/>
      <c r="N23" s="140"/>
      <c r="O23" s="137"/>
      <c r="P23" s="138"/>
      <c r="Q23" s="139"/>
      <c r="R23" s="139"/>
      <c r="S23" s="139"/>
      <c r="T23" s="139"/>
      <c r="U23" s="139"/>
      <c r="V23" s="139"/>
      <c r="W23" s="139"/>
      <c r="X23" s="140"/>
      <c r="Y23" s="137"/>
      <c r="Z23" s="138"/>
      <c r="AA23" s="139"/>
      <c r="AB23" s="139"/>
      <c r="AC23" s="139"/>
      <c r="AD23" s="139"/>
      <c r="AE23" s="139"/>
      <c r="AF23" s="139"/>
      <c r="AG23" s="139"/>
      <c r="AH23" s="140"/>
      <c r="AI23" s="137"/>
      <c r="AJ23" s="138"/>
      <c r="AK23" s="139"/>
      <c r="AL23" s="139"/>
      <c r="AM23" s="139"/>
      <c r="AN23" s="139"/>
      <c r="AO23" s="139"/>
      <c r="AP23" s="139"/>
      <c r="AQ23" s="139"/>
      <c r="AR23" s="139"/>
      <c r="AS23" s="139"/>
      <c r="AT23" s="139"/>
      <c r="AU23" s="140"/>
      <c r="AV23" s="137"/>
      <c r="AW23" s="138"/>
      <c r="AX23" s="139"/>
      <c r="AY23" s="139"/>
      <c r="AZ23" s="139"/>
      <c r="BA23" s="139"/>
      <c r="BB23" s="139"/>
      <c r="BC23" s="139"/>
      <c r="BD23" s="139"/>
      <c r="BE23" s="139"/>
      <c r="BF23" s="139"/>
      <c r="BG23" s="139"/>
      <c r="BH23" s="140"/>
      <c r="BI23" s="141"/>
      <c r="BJ23" s="142"/>
      <c r="BK23" s="139"/>
      <c r="BL23" s="143"/>
      <c r="BM23" s="144"/>
      <c r="BN23" s="144"/>
      <c r="BO23" s="145"/>
      <c r="BP23" s="146"/>
      <c r="BQ23" s="147"/>
    </row>
    <row r="24" spans="1:69" s="148" customFormat="1" ht="15" customHeight="1" thickBot="1" x14ac:dyDescent="0.25">
      <c r="A24" s="1">
        <v>1</v>
      </c>
      <c r="B24" s="1"/>
      <c r="C24" s="4" t="s">
        <v>39</v>
      </c>
      <c r="D24" s="7">
        <v>1550</v>
      </c>
      <c r="E24" s="179"/>
      <c r="F24" s="150"/>
      <c r="G24" s="150"/>
      <c r="H24" s="150"/>
      <c r="I24" s="151">
        <f>E24+F24-G24+H24</f>
        <v>0</v>
      </c>
      <c r="J24" s="150"/>
      <c r="K24" s="150"/>
      <c r="L24" s="150"/>
      <c r="M24" s="150"/>
      <c r="N24" s="152">
        <f>J24+K24-L24+M24</f>
        <v>0</v>
      </c>
      <c r="O24" s="153">
        <f>I24</f>
        <v>0</v>
      </c>
      <c r="P24" s="150"/>
      <c r="Q24" s="150"/>
      <c r="R24" s="150"/>
      <c r="S24" s="151">
        <f>O24+P24-Q24+R24</f>
        <v>0</v>
      </c>
      <c r="T24" s="154">
        <f>N24</f>
        <v>0</v>
      </c>
      <c r="U24" s="150"/>
      <c r="V24" s="150"/>
      <c r="W24" s="150"/>
      <c r="X24" s="152">
        <f>T24+U24-V24+W24</f>
        <v>0</v>
      </c>
      <c r="Y24" s="153">
        <f>S24</f>
        <v>0</v>
      </c>
      <c r="Z24" s="150"/>
      <c r="AA24" s="150"/>
      <c r="AB24" s="150"/>
      <c r="AC24" s="151">
        <f t="shared" ref="AC24:AC33" si="0">Y24+Z24-AA24+SUM(AB24:AB24)</f>
        <v>0</v>
      </c>
      <c r="AD24" s="154">
        <f t="shared" ref="AD24:AD33" si="1">X24</f>
        <v>0</v>
      </c>
      <c r="AE24" s="150"/>
      <c r="AF24" s="150"/>
      <c r="AG24" s="150"/>
      <c r="AH24" s="152">
        <f>AD24+AE24-AF24+AG24</f>
        <v>0</v>
      </c>
      <c r="AI24" s="153">
        <f>AC24</f>
        <v>0</v>
      </c>
      <c r="AJ24" s="150"/>
      <c r="AK24" s="150"/>
      <c r="AL24" s="150"/>
      <c r="AM24" s="150"/>
      <c r="AN24" s="150"/>
      <c r="AO24" s="150">
        <v>-123432.39000000001</v>
      </c>
      <c r="AP24" s="151">
        <f>AI24+AJ24-AK24+SUM(AL24:AO24)</f>
        <v>-123432.39000000001</v>
      </c>
      <c r="AQ24" s="154">
        <f>AH24</f>
        <v>0</v>
      </c>
      <c r="AR24" s="150"/>
      <c r="AS24" s="150"/>
      <c r="AT24" s="150">
        <v>1663.7900000000009</v>
      </c>
      <c r="AU24" s="152">
        <f>AQ24+AR24-AS24+AT24</f>
        <v>1663.7900000000009</v>
      </c>
      <c r="AV24" s="153">
        <f>AP24</f>
        <v>-123432.39000000001</v>
      </c>
      <c r="AW24" s="150">
        <v>67738.539999999994</v>
      </c>
      <c r="AX24" s="150"/>
      <c r="AY24" s="150"/>
      <c r="AZ24" s="150"/>
      <c r="BA24" s="150"/>
      <c r="BB24" s="150"/>
      <c r="BC24" s="151">
        <f>AV24+AW24-AX24+SUM(AY24:BB24)</f>
        <v>-55693.85000000002</v>
      </c>
      <c r="BD24" s="154">
        <f>AU24</f>
        <v>1663.7900000000009</v>
      </c>
      <c r="BE24" s="150">
        <v>3069.79</v>
      </c>
      <c r="BF24" s="150"/>
      <c r="BG24" s="150"/>
      <c r="BH24" s="152">
        <f>BD24+BE24-BF24+BG24</f>
        <v>4733.5800000000008</v>
      </c>
      <c r="BI24" s="149">
        <v>-123432.33</v>
      </c>
      <c r="BJ24" s="150">
        <v>-755.48</v>
      </c>
      <c r="BK24" s="154">
        <f>BC24-BI24</f>
        <v>67738.479999999981</v>
      </c>
      <c r="BL24" s="155">
        <f>BH24-BJ24</f>
        <v>5489.0600000000013</v>
      </c>
      <c r="BM24" s="156">
        <f>BK24*0.0147</f>
        <v>995.7556559999997</v>
      </c>
      <c r="BN24" s="150">
        <f>BK24*0.0147*4/12</f>
        <v>331.91855199999992</v>
      </c>
      <c r="BO24" s="145">
        <f>SUM(BK24:BN24)</f>
        <v>74555.214207999976</v>
      </c>
      <c r="BP24" s="157">
        <v>-50959.88</v>
      </c>
      <c r="BQ24" s="145">
        <f>BP24-SUM(BC24,BH24)</f>
        <v>0.3900000000212458</v>
      </c>
    </row>
    <row r="25" spans="1:69" s="148" customFormat="1" ht="15" thickBot="1" x14ac:dyDescent="0.25">
      <c r="A25" s="1">
        <v>2</v>
      </c>
      <c r="B25" s="1"/>
      <c r="C25" s="4" t="s">
        <v>244</v>
      </c>
      <c r="D25" s="7">
        <v>1551</v>
      </c>
      <c r="E25" s="181"/>
      <c r="F25" s="162"/>
      <c r="G25" s="162"/>
      <c r="H25" s="162"/>
      <c r="I25" s="151">
        <f t="shared" ref="I25" si="2">E25+F25-G25+H25</f>
        <v>0</v>
      </c>
      <c r="J25" s="150"/>
      <c r="K25" s="150"/>
      <c r="L25" s="150"/>
      <c r="M25" s="150"/>
      <c r="N25" s="152">
        <f t="shared" ref="N25" si="3">J25+K25-L25+M25</f>
        <v>0</v>
      </c>
      <c r="O25" s="153">
        <f t="shared" ref="O25" si="4">I25</f>
        <v>0</v>
      </c>
      <c r="P25" s="150"/>
      <c r="Q25" s="150"/>
      <c r="R25" s="150"/>
      <c r="S25" s="151">
        <f t="shared" ref="S25" si="5">O25+P25-Q25+SUM(R25:R25)</f>
        <v>0</v>
      </c>
      <c r="T25" s="154">
        <f t="shared" ref="T25" si="6">N25</f>
        <v>0</v>
      </c>
      <c r="U25" s="150"/>
      <c r="V25" s="163"/>
      <c r="W25" s="163"/>
      <c r="X25" s="152">
        <f t="shared" ref="X25" si="7">T25+U25-V25+W25</f>
        <v>0</v>
      </c>
      <c r="Y25" s="153">
        <f t="shared" ref="Y25" si="8">S25</f>
        <v>0</v>
      </c>
      <c r="Z25" s="150"/>
      <c r="AA25" s="150"/>
      <c r="AB25" s="150"/>
      <c r="AC25" s="151">
        <f t="shared" ref="AC25" si="9">Y25+Z25-AA25+SUM(AB25:AB25)</f>
        <v>0</v>
      </c>
      <c r="AD25" s="154">
        <f t="shared" ref="AD25" si="10">X25</f>
        <v>0</v>
      </c>
      <c r="AE25" s="150"/>
      <c r="AF25" s="163"/>
      <c r="AG25" s="162"/>
      <c r="AH25" s="152">
        <f t="shared" ref="AH25" si="11">AD25+AE25-AF25+AG25</f>
        <v>0</v>
      </c>
      <c r="AI25" s="153">
        <f t="shared" ref="AI25" si="12">AC25</f>
        <v>0</v>
      </c>
      <c r="AJ25" s="150"/>
      <c r="AK25" s="150"/>
      <c r="AL25" s="150"/>
      <c r="AM25" s="150"/>
      <c r="AN25" s="150"/>
      <c r="AO25" s="150"/>
      <c r="AP25" s="151">
        <f t="shared" ref="AP25" si="13">AI25+AJ25-AK25+SUM(AL25:AO25)</f>
        <v>0</v>
      </c>
      <c r="AQ25" s="154">
        <f t="shared" ref="AQ25" si="14">AH25</f>
        <v>0</v>
      </c>
      <c r="AR25" s="150"/>
      <c r="AS25" s="163"/>
      <c r="AT25" s="162"/>
      <c r="AU25" s="152">
        <f t="shared" ref="AU25" si="15">AQ25+AR25-AS25+AT25</f>
        <v>0</v>
      </c>
      <c r="AV25" s="153">
        <f>AP25</f>
        <v>0</v>
      </c>
      <c r="AW25" s="150">
        <v>36447.160000000003</v>
      </c>
      <c r="AX25" s="150"/>
      <c r="AY25" s="150"/>
      <c r="AZ25" s="150"/>
      <c r="BA25" s="150"/>
      <c r="BB25" s="150"/>
      <c r="BC25" s="151">
        <f>AV25+AW25-AX25+SUM(AY25:BB25)</f>
        <v>36447.160000000003</v>
      </c>
      <c r="BD25" s="154">
        <f>AU25</f>
        <v>0</v>
      </c>
      <c r="BE25" s="150">
        <v>509.07</v>
      </c>
      <c r="BF25" s="163"/>
      <c r="BG25" s="162"/>
      <c r="BH25" s="152">
        <f>BD25+BE25-BF25+BG25</f>
        <v>509.07</v>
      </c>
      <c r="BI25" s="149"/>
      <c r="BJ25" s="150"/>
      <c r="BK25" s="154">
        <f>BC25-BI25</f>
        <v>36447.160000000003</v>
      </c>
      <c r="BL25" s="155">
        <f>BH25-BJ25</f>
        <v>509.07</v>
      </c>
      <c r="BM25" s="156">
        <f t="shared" ref="BM25:BM30" si="16">BK25*0.0147</f>
        <v>535.77325200000007</v>
      </c>
      <c r="BN25" s="150">
        <f t="shared" ref="BN25:BN30" si="17">BK25*0.0147*4/12</f>
        <v>178.59108400000002</v>
      </c>
      <c r="BO25" s="145">
        <f t="shared" ref="BO25" si="18">SUM(BK25:BN25)</f>
        <v>37670.594336000002</v>
      </c>
      <c r="BP25" s="157">
        <v>36956.230000000003</v>
      </c>
      <c r="BQ25" s="145">
        <f>BP25-SUM(BC25,BH25)</f>
        <v>0</v>
      </c>
    </row>
    <row r="26" spans="1:69" s="148" customFormat="1" ht="15" thickBot="1" x14ac:dyDescent="0.25">
      <c r="A26" s="1">
        <v>3</v>
      </c>
      <c r="B26" s="1"/>
      <c r="C26" s="8" t="s">
        <v>1</v>
      </c>
      <c r="D26" s="7">
        <v>1580</v>
      </c>
      <c r="E26" s="179"/>
      <c r="F26" s="150"/>
      <c r="G26" s="150"/>
      <c r="H26" s="150"/>
      <c r="I26" s="151">
        <f t="shared" ref="I26:I32" si="19">E26+F26-G26+H26</f>
        <v>0</v>
      </c>
      <c r="J26" s="150"/>
      <c r="K26" s="150"/>
      <c r="L26" s="150"/>
      <c r="M26" s="150"/>
      <c r="N26" s="152">
        <f t="shared" ref="N26:N32" si="20">J26+K26-L26+M26</f>
        <v>0</v>
      </c>
      <c r="O26" s="153">
        <f t="shared" ref="O26:O32" si="21">I26</f>
        <v>0</v>
      </c>
      <c r="P26" s="150"/>
      <c r="Q26" s="150"/>
      <c r="R26" s="150"/>
      <c r="S26" s="151">
        <f t="shared" ref="S26:S33" si="22">O26+P26-Q26+SUM(R26:R26)</f>
        <v>0</v>
      </c>
      <c r="T26" s="154">
        <f t="shared" ref="T26:T32" si="23">N26</f>
        <v>0</v>
      </c>
      <c r="U26" s="150"/>
      <c r="V26" s="150"/>
      <c r="W26" s="150"/>
      <c r="X26" s="152">
        <f t="shared" ref="X26:X32" si="24">T26+U26-V26+W26</f>
        <v>0</v>
      </c>
      <c r="Y26" s="153">
        <f t="shared" ref="Y26:Y30" si="25">S26</f>
        <v>0</v>
      </c>
      <c r="Z26" s="150"/>
      <c r="AA26" s="150"/>
      <c r="AB26" s="150"/>
      <c r="AC26" s="151">
        <f t="shared" si="0"/>
        <v>0</v>
      </c>
      <c r="AD26" s="154">
        <f t="shared" si="1"/>
        <v>0</v>
      </c>
      <c r="AE26" s="150"/>
      <c r="AF26" s="150"/>
      <c r="AG26" s="150"/>
      <c r="AH26" s="152">
        <f t="shared" ref="AH26:AH32" si="26">AD26+AE26-AF26+AG26</f>
        <v>0</v>
      </c>
      <c r="AI26" s="153">
        <f t="shared" ref="AI26:AI30" si="27">AC26</f>
        <v>0</v>
      </c>
      <c r="AJ26" s="150"/>
      <c r="AK26" s="150"/>
      <c r="AL26" s="150"/>
      <c r="AM26" s="150"/>
      <c r="AN26" s="150"/>
      <c r="AO26" s="150">
        <v>-3164721.7800000003</v>
      </c>
      <c r="AP26" s="151">
        <f t="shared" ref="AP26:AP32" si="28">AI26+AJ26-AK26+SUM(AL26:AO26)</f>
        <v>-3164721.7800000003</v>
      </c>
      <c r="AQ26" s="154">
        <f t="shared" ref="AQ26:AQ30" si="29">AH26</f>
        <v>0</v>
      </c>
      <c r="AR26" s="150"/>
      <c r="AS26" s="150"/>
      <c r="AT26" s="150">
        <v>-29963.11</v>
      </c>
      <c r="AU26" s="152">
        <f t="shared" ref="AU26:AU32" si="30">AQ26+AR26-AS26+AT26</f>
        <v>-29963.11</v>
      </c>
      <c r="AV26" s="153">
        <f t="shared" ref="AV26:AV30" si="31">AP26</f>
        <v>-3164721.7800000003</v>
      </c>
      <c r="AW26" s="150">
        <v>-916481.47</v>
      </c>
      <c r="AX26" s="150"/>
      <c r="AY26" s="150"/>
      <c r="AZ26" s="150"/>
      <c r="BA26" s="150"/>
      <c r="BB26" s="150"/>
      <c r="BC26" s="151">
        <f t="shared" ref="BC26:BC32" si="32">AV26+AW26-AX26+SUM(AY26:BB26)</f>
        <v>-4081203.25</v>
      </c>
      <c r="BD26" s="154">
        <f t="shared" ref="BD26:BD30" si="33">AU26</f>
        <v>-29963.11</v>
      </c>
      <c r="BE26" s="150">
        <v>-40247.65</v>
      </c>
      <c r="BF26" s="150"/>
      <c r="BG26" s="150"/>
      <c r="BH26" s="152">
        <f t="shared" ref="BH26:BH32" si="34">BD26+BE26-BF26+BG26</f>
        <v>-70210.760000000009</v>
      </c>
      <c r="BI26" s="149">
        <v>-3164721.63</v>
      </c>
      <c r="BJ26" s="150">
        <v>-91991.66</v>
      </c>
      <c r="BK26" s="154">
        <f t="shared" ref="BK26:BK35" si="35">BC26-BI26</f>
        <v>-916481.62000000011</v>
      </c>
      <c r="BL26" s="155">
        <f t="shared" ref="BL26:BL35" si="36">BH26-BJ26</f>
        <v>21780.899999999994</v>
      </c>
      <c r="BM26" s="156">
        <f t="shared" si="16"/>
        <v>-13472.279814000001</v>
      </c>
      <c r="BN26" s="150">
        <f t="shared" si="17"/>
        <v>-4490.7599380000001</v>
      </c>
      <c r="BO26" s="145">
        <f t="shared" ref="BO26:BO79" si="37">SUM(BK26:BN26)</f>
        <v>-912663.7597520001</v>
      </c>
      <c r="BP26" s="157">
        <v>-4151413.74</v>
      </c>
      <c r="BQ26" s="145">
        <f t="shared" ref="BQ26:BQ39" si="38">BP26-SUM(BC26,BH26)</f>
        <v>0.26999999955296516</v>
      </c>
    </row>
    <row r="27" spans="1:69" s="148" customFormat="1" ht="15" thickBot="1" x14ac:dyDescent="0.25">
      <c r="A27" s="1">
        <v>4</v>
      </c>
      <c r="B27" s="1"/>
      <c r="C27" s="8" t="s">
        <v>2</v>
      </c>
      <c r="D27" s="7">
        <v>1584</v>
      </c>
      <c r="E27" s="179"/>
      <c r="F27" s="150"/>
      <c r="G27" s="150"/>
      <c r="H27" s="150"/>
      <c r="I27" s="151">
        <f t="shared" si="19"/>
        <v>0</v>
      </c>
      <c r="J27" s="150"/>
      <c r="K27" s="150"/>
      <c r="L27" s="150"/>
      <c r="M27" s="150"/>
      <c r="N27" s="152">
        <f t="shared" si="20"/>
        <v>0</v>
      </c>
      <c r="O27" s="153">
        <f t="shared" si="21"/>
        <v>0</v>
      </c>
      <c r="P27" s="150"/>
      <c r="Q27" s="150"/>
      <c r="R27" s="150"/>
      <c r="S27" s="151">
        <f t="shared" si="22"/>
        <v>0</v>
      </c>
      <c r="T27" s="154">
        <f t="shared" si="23"/>
        <v>0</v>
      </c>
      <c r="U27" s="150"/>
      <c r="V27" s="150"/>
      <c r="W27" s="150"/>
      <c r="X27" s="152">
        <f t="shared" si="24"/>
        <v>0</v>
      </c>
      <c r="Y27" s="153">
        <f t="shared" si="25"/>
        <v>0</v>
      </c>
      <c r="Z27" s="150"/>
      <c r="AA27" s="150"/>
      <c r="AB27" s="150"/>
      <c r="AC27" s="151">
        <f t="shared" si="0"/>
        <v>0</v>
      </c>
      <c r="AD27" s="154">
        <f t="shared" si="1"/>
        <v>0</v>
      </c>
      <c r="AE27" s="150"/>
      <c r="AF27" s="150"/>
      <c r="AG27" s="150"/>
      <c r="AH27" s="152">
        <f t="shared" si="26"/>
        <v>0</v>
      </c>
      <c r="AI27" s="153">
        <f t="shared" si="27"/>
        <v>0</v>
      </c>
      <c r="AJ27" s="150"/>
      <c r="AK27" s="150"/>
      <c r="AL27" s="150"/>
      <c r="AM27" s="150"/>
      <c r="AN27" s="150"/>
      <c r="AO27" s="150">
        <v>876442.76</v>
      </c>
      <c r="AP27" s="151">
        <f t="shared" si="28"/>
        <v>876442.76</v>
      </c>
      <c r="AQ27" s="154">
        <f t="shared" si="29"/>
        <v>0</v>
      </c>
      <c r="AR27" s="150"/>
      <c r="AS27" s="150"/>
      <c r="AT27" s="150">
        <v>10476.729999999996</v>
      </c>
      <c r="AU27" s="152">
        <f t="shared" si="30"/>
        <v>10476.729999999996</v>
      </c>
      <c r="AV27" s="153">
        <f t="shared" si="31"/>
        <v>876442.76</v>
      </c>
      <c r="AW27" s="150">
        <v>606068.4</v>
      </c>
      <c r="AX27" s="150"/>
      <c r="AY27" s="150"/>
      <c r="AZ27" s="150"/>
      <c r="BA27" s="150"/>
      <c r="BB27" s="150"/>
      <c r="BC27" s="151">
        <f t="shared" si="32"/>
        <v>1482511.1600000001</v>
      </c>
      <c r="BD27" s="154">
        <f t="shared" si="33"/>
        <v>10476.729999999996</v>
      </c>
      <c r="BE27" s="150">
        <v>10346.74</v>
      </c>
      <c r="BF27" s="150"/>
      <c r="BG27" s="150"/>
      <c r="BH27" s="152">
        <f t="shared" si="34"/>
        <v>20823.469999999994</v>
      </c>
      <c r="BI27" s="149">
        <v>876442.29</v>
      </c>
      <c r="BJ27" s="150">
        <v>27655.01</v>
      </c>
      <c r="BK27" s="154">
        <f t="shared" si="35"/>
        <v>606068.87000000011</v>
      </c>
      <c r="BL27" s="155">
        <f t="shared" si="36"/>
        <v>-6831.5400000000045</v>
      </c>
      <c r="BM27" s="156">
        <f t="shared" si="16"/>
        <v>8909.2123890000021</v>
      </c>
      <c r="BN27" s="150">
        <f t="shared" si="17"/>
        <v>2969.7374630000008</v>
      </c>
      <c r="BO27" s="145">
        <f t="shared" si="37"/>
        <v>611116.27985200007</v>
      </c>
      <c r="BP27" s="157">
        <v>1503334.65</v>
      </c>
      <c r="BQ27" s="145">
        <f t="shared" si="38"/>
        <v>1.9999999785795808E-2</v>
      </c>
    </row>
    <row r="28" spans="1:69" s="148" customFormat="1" ht="15" thickBot="1" x14ac:dyDescent="0.25">
      <c r="A28" s="1">
        <v>5</v>
      </c>
      <c r="B28" s="1"/>
      <c r="C28" s="8" t="s">
        <v>3</v>
      </c>
      <c r="D28" s="7">
        <v>1586</v>
      </c>
      <c r="E28" s="179"/>
      <c r="F28" s="150"/>
      <c r="G28" s="150"/>
      <c r="H28" s="150"/>
      <c r="I28" s="151">
        <f t="shared" si="19"/>
        <v>0</v>
      </c>
      <c r="J28" s="150"/>
      <c r="K28" s="150"/>
      <c r="L28" s="150"/>
      <c r="M28" s="150"/>
      <c r="N28" s="152">
        <f t="shared" si="20"/>
        <v>0</v>
      </c>
      <c r="O28" s="153">
        <f t="shared" si="21"/>
        <v>0</v>
      </c>
      <c r="P28" s="150"/>
      <c r="Q28" s="150"/>
      <c r="R28" s="150"/>
      <c r="S28" s="151">
        <f t="shared" si="22"/>
        <v>0</v>
      </c>
      <c r="T28" s="154">
        <f t="shared" si="23"/>
        <v>0</v>
      </c>
      <c r="U28" s="150"/>
      <c r="V28" s="150"/>
      <c r="W28" s="150"/>
      <c r="X28" s="152">
        <f t="shared" si="24"/>
        <v>0</v>
      </c>
      <c r="Y28" s="153">
        <f t="shared" si="25"/>
        <v>0</v>
      </c>
      <c r="Z28" s="150"/>
      <c r="AA28" s="150"/>
      <c r="AB28" s="150"/>
      <c r="AC28" s="151">
        <f t="shared" si="0"/>
        <v>0</v>
      </c>
      <c r="AD28" s="154">
        <f t="shared" si="1"/>
        <v>0</v>
      </c>
      <c r="AE28" s="150"/>
      <c r="AF28" s="150"/>
      <c r="AG28" s="150"/>
      <c r="AH28" s="152">
        <f t="shared" si="26"/>
        <v>0</v>
      </c>
      <c r="AI28" s="153">
        <f t="shared" si="27"/>
        <v>0</v>
      </c>
      <c r="AJ28" s="150"/>
      <c r="AK28" s="150"/>
      <c r="AL28" s="150"/>
      <c r="AM28" s="150"/>
      <c r="AN28" s="150"/>
      <c r="AO28" s="150">
        <v>650142.81000000006</v>
      </c>
      <c r="AP28" s="151">
        <f t="shared" si="28"/>
        <v>650142.81000000006</v>
      </c>
      <c r="AQ28" s="154">
        <f t="shared" si="29"/>
        <v>0</v>
      </c>
      <c r="AR28" s="150"/>
      <c r="AS28" s="150"/>
      <c r="AT28" s="150">
        <v>-849.65000000000146</v>
      </c>
      <c r="AU28" s="152">
        <f t="shared" si="30"/>
        <v>-849.65000000000146</v>
      </c>
      <c r="AV28" s="153">
        <f t="shared" si="31"/>
        <v>650142.81000000006</v>
      </c>
      <c r="AW28" s="150">
        <v>394499.5</v>
      </c>
      <c r="AX28" s="150"/>
      <c r="AY28" s="150"/>
      <c r="AZ28" s="150"/>
      <c r="BA28" s="150"/>
      <c r="BB28" s="150"/>
      <c r="BC28" s="151">
        <f t="shared" si="32"/>
        <v>1044642.31</v>
      </c>
      <c r="BD28" s="154">
        <f t="shared" si="33"/>
        <v>-849.65000000000146</v>
      </c>
      <c r="BE28" s="150">
        <v>6818.99</v>
      </c>
      <c r="BF28" s="150"/>
      <c r="BG28" s="150"/>
      <c r="BH28" s="152">
        <f t="shared" si="34"/>
        <v>5969.3399999999983</v>
      </c>
      <c r="BI28" s="149">
        <v>650142.65</v>
      </c>
      <c r="BJ28" s="150">
        <v>11893.15</v>
      </c>
      <c r="BK28" s="154">
        <f t="shared" si="35"/>
        <v>394499.66000000003</v>
      </c>
      <c r="BL28" s="155">
        <f t="shared" si="36"/>
        <v>-5923.8100000000013</v>
      </c>
      <c r="BM28" s="156">
        <f t="shared" si="16"/>
        <v>5799.1450020000002</v>
      </c>
      <c r="BN28" s="150">
        <f t="shared" si="17"/>
        <v>1933.0483340000001</v>
      </c>
      <c r="BO28" s="145">
        <f t="shared" si="37"/>
        <v>396308.043336</v>
      </c>
      <c r="BP28" s="157">
        <v>1050611.18</v>
      </c>
      <c r="BQ28" s="145">
        <f t="shared" si="38"/>
        <v>-0.47000000020489097</v>
      </c>
    </row>
    <row r="29" spans="1:69" s="148" customFormat="1" ht="15" thickBot="1" x14ac:dyDescent="0.25">
      <c r="A29" s="1">
        <v>6</v>
      </c>
      <c r="B29" s="1"/>
      <c r="C29" s="8" t="s">
        <v>75</v>
      </c>
      <c r="D29" s="7">
        <v>1588</v>
      </c>
      <c r="E29" s="179"/>
      <c r="F29" s="150"/>
      <c r="G29" s="150"/>
      <c r="H29" s="150"/>
      <c r="I29" s="151">
        <f t="shared" si="19"/>
        <v>0</v>
      </c>
      <c r="J29" s="150"/>
      <c r="K29" s="150"/>
      <c r="L29" s="150"/>
      <c r="M29" s="150"/>
      <c r="N29" s="152">
        <f t="shared" si="20"/>
        <v>0</v>
      </c>
      <c r="O29" s="153">
        <f t="shared" si="21"/>
        <v>0</v>
      </c>
      <c r="P29" s="150"/>
      <c r="Q29" s="150"/>
      <c r="R29" s="150"/>
      <c r="S29" s="151">
        <f t="shared" si="22"/>
        <v>0</v>
      </c>
      <c r="T29" s="154">
        <f t="shared" si="23"/>
        <v>0</v>
      </c>
      <c r="U29" s="150"/>
      <c r="V29" s="150"/>
      <c r="W29" s="150"/>
      <c r="X29" s="152">
        <f t="shared" si="24"/>
        <v>0</v>
      </c>
      <c r="Y29" s="153">
        <f t="shared" si="25"/>
        <v>0</v>
      </c>
      <c r="Z29" s="150"/>
      <c r="AA29" s="150"/>
      <c r="AB29" s="150"/>
      <c r="AC29" s="151">
        <f t="shared" si="0"/>
        <v>0</v>
      </c>
      <c r="AD29" s="154">
        <f t="shared" si="1"/>
        <v>0</v>
      </c>
      <c r="AE29" s="150"/>
      <c r="AF29" s="150"/>
      <c r="AG29" s="150"/>
      <c r="AH29" s="152">
        <f t="shared" si="26"/>
        <v>0</v>
      </c>
      <c r="AI29" s="153">
        <f t="shared" si="27"/>
        <v>0</v>
      </c>
      <c r="AJ29" s="150"/>
      <c r="AK29" s="150"/>
      <c r="AL29" s="150"/>
      <c r="AM29" s="150"/>
      <c r="AN29" s="150"/>
      <c r="AO29" s="150">
        <v>-4719277.5299999993</v>
      </c>
      <c r="AP29" s="151">
        <f t="shared" si="28"/>
        <v>-4719277.5299999993</v>
      </c>
      <c r="AQ29" s="154">
        <f t="shared" si="29"/>
        <v>0</v>
      </c>
      <c r="AR29" s="150"/>
      <c r="AS29" s="150"/>
      <c r="AT29" s="150">
        <v>-104523.97</v>
      </c>
      <c r="AU29" s="152">
        <f t="shared" si="30"/>
        <v>-104523.97</v>
      </c>
      <c r="AV29" s="153">
        <f t="shared" si="31"/>
        <v>-4719277.5299999993</v>
      </c>
      <c r="AW29" s="150">
        <f>-3215711.61+1665548.28</f>
        <v>-1550163.3299999998</v>
      </c>
      <c r="AX29" s="150"/>
      <c r="AY29" s="150"/>
      <c r="AZ29" s="150"/>
      <c r="BA29" s="150"/>
      <c r="BB29" s="150"/>
      <c r="BC29" s="151">
        <f t="shared" si="32"/>
        <v>-6269440.8599999994</v>
      </c>
      <c r="BD29" s="154">
        <f t="shared" si="33"/>
        <v>-104523.97</v>
      </c>
      <c r="BE29" s="150">
        <v>-100262.72</v>
      </c>
      <c r="BF29" s="150"/>
      <c r="BG29" s="150"/>
      <c r="BH29" s="152">
        <f t="shared" si="34"/>
        <v>-204786.69</v>
      </c>
      <c r="BI29" s="149">
        <f>-5933539.6+1214261.61</f>
        <v>-4719277.9899999993</v>
      </c>
      <c r="BJ29" s="150">
        <v>-197021.81</v>
      </c>
      <c r="BK29" s="154">
        <f t="shared" si="35"/>
        <v>-1550162.87</v>
      </c>
      <c r="BL29" s="155">
        <f t="shared" si="36"/>
        <v>-7764.8800000000047</v>
      </c>
      <c r="BM29" s="156">
        <f t="shared" si="16"/>
        <v>-22787.394189000002</v>
      </c>
      <c r="BN29" s="150">
        <f t="shared" si="17"/>
        <v>-7595.7980630000011</v>
      </c>
      <c r="BO29" s="145">
        <f t="shared" si="37"/>
        <v>-1588310.9422519999</v>
      </c>
      <c r="BP29" s="157">
        <v>-6474228.04</v>
      </c>
      <c r="BQ29" s="145">
        <f t="shared" si="38"/>
        <v>-0.49000000022351742</v>
      </c>
    </row>
    <row r="30" spans="1:69" s="148" customFormat="1" ht="15" thickBot="1" x14ac:dyDescent="0.25">
      <c r="A30" s="1">
        <v>7</v>
      </c>
      <c r="B30" s="1"/>
      <c r="C30" s="8" t="s">
        <v>127</v>
      </c>
      <c r="D30" s="7">
        <v>1589</v>
      </c>
      <c r="E30" s="179"/>
      <c r="F30" s="150"/>
      <c r="G30" s="150"/>
      <c r="H30" s="150"/>
      <c r="I30" s="151">
        <f t="shared" si="19"/>
        <v>0</v>
      </c>
      <c r="J30" s="150"/>
      <c r="K30" s="150"/>
      <c r="L30" s="150"/>
      <c r="M30" s="150"/>
      <c r="N30" s="152">
        <f t="shared" si="20"/>
        <v>0</v>
      </c>
      <c r="O30" s="153">
        <f t="shared" si="21"/>
        <v>0</v>
      </c>
      <c r="P30" s="150"/>
      <c r="Q30" s="150"/>
      <c r="R30" s="150"/>
      <c r="S30" s="151">
        <f t="shared" si="22"/>
        <v>0</v>
      </c>
      <c r="T30" s="154">
        <f t="shared" si="23"/>
        <v>0</v>
      </c>
      <c r="U30" s="150"/>
      <c r="V30" s="150"/>
      <c r="W30" s="150"/>
      <c r="X30" s="152">
        <f t="shared" si="24"/>
        <v>0</v>
      </c>
      <c r="Y30" s="153">
        <f t="shared" si="25"/>
        <v>0</v>
      </c>
      <c r="Z30" s="150"/>
      <c r="AA30" s="150"/>
      <c r="AB30" s="150"/>
      <c r="AC30" s="151">
        <f t="shared" si="0"/>
        <v>0</v>
      </c>
      <c r="AD30" s="154">
        <f t="shared" si="1"/>
        <v>0</v>
      </c>
      <c r="AE30" s="150"/>
      <c r="AF30" s="150"/>
      <c r="AG30" s="150"/>
      <c r="AH30" s="152">
        <f t="shared" si="26"/>
        <v>0</v>
      </c>
      <c r="AI30" s="153">
        <f t="shared" si="27"/>
        <v>0</v>
      </c>
      <c r="AJ30" s="150"/>
      <c r="AK30" s="150"/>
      <c r="AL30" s="150"/>
      <c r="AM30" s="150"/>
      <c r="AN30" s="150"/>
      <c r="AO30" s="150">
        <v>3681340.1799999997</v>
      </c>
      <c r="AP30" s="151">
        <f t="shared" si="28"/>
        <v>3681340.1799999997</v>
      </c>
      <c r="AQ30" s="154">
        <f t="shared" si="29"/>
        <v>0</v>
      </c>
      <c r="AR30" s="150"/>
      <c r="AS30" s="150"/>
      <c r="AT30" s="150">
        <v>42784.259999999995</v>
      </c>
      <c r="AU30" s="152">
        <f t="shared" si="30"/>
        <v>42784.259999999995</v>
      </c>
      <c r="AV30" s="153">
        <f t="shared" si="31"/>
        <v>3681340.1799999997</v>
      </c>
      <c r="AW30" s="150">
        <v>1610240.76</v>
      </c>
      <c r="AX30" s="150"/>
      <c r="AY30" s="150"/>
      <c r="AZ30" s="150"/>
      <c r="BA30" s="150"/>
      <c r="BB30" s="150"/>
      <c r="BC30" s="151">
        <f t="shared" si="32"/>
        <v>5291580.9399999995</v>
      </c>
      <c r="BD30" s="154">
        <f t="shared" si="33"/>
        <v>42784.259999999995</v>
      </c>
      <c r="BE30" s="150">
        <v>12814.17</v>
      </c>
      <c r="BF30" s="150"/>
      <c r="BG30" s="150"/>
      <c r="BH30" s="152">
        <f t="shared" si="34"/>
        <v>55598.429999999993</v>
      </c>
      <c r="BI30" s="149">
        <v>3681340.6</v>
      </c>
      <c r="BJ30" s="150">
        <v>114938.53</v>
      </c>
      <c r="BK30" s="154">
        <f t="shared" si="35"/>
        <v>1610240.3399999994</v>
      </c>
      <c r="BL30" s="155">
        <f t="shared" si="36"/>
        <v>-59340.100000000006</v>
      </c>
      <c r="BM30" s="156">
        <f t="shared" si="16"/>
        <v>23670.532997999991</v>
      </c>
      <c r="BN30" s="150">
        <f t="shared" si="17"/>
        <v>7890.1776659999969</v>
      </c>
      <c r="BO30" s="145">
        <f t="shared" si="37"/>
        <v>1582460.9506639994</v>
      </c>
      <c r="BP30" s="157">
        <v>5347179.5199999996</v>
      </c>
      <c r="BQ30" s="145">
        <f t="shared" si="38"/>
        <v>0.15000000037252903</v>
      </c>
    </row>
    <row r="31" spans="1:69" s="148" customFormat="1" ht="15" thickBot="1" x14ac:dyDescent="0.25">
      <c r="A31" s="1">
        <v>8</v>
      </c>
      <c r="B31" s="1"/>
      <c r="C31" s="9" t="s">
        <v>108</v>
      </c>
      <c r="D31" s="7">
        <v>1595</v>
      </c>
      <c r="E31" s="179"/>
      <c r="F31" s="150"/>
      <c r="G31" s="150"/>
      <c r="H31" s="150"/>
      <c r="I31" s="151">
        <f t="shared" si="19"/>
        <v>0</v>
      </c>
      <c r="J31" s="150"/>
      <c r="K31" s="150"/>
      <c r="L31" s="150"/>
      <c r="M31" s="150"/>
      <c r="N31" s="152">
        <f t="shared" si="20"/>
        <v>0</v>
      </c>
      <c r="O31" s="153">
        <f>I31</f>
        <v>0</v>
      </c>
      <c r="P31" s="150"/>
      <c r="Q31" s="150"/>
      <c r="R31" s="150"/>
      <c r="S31" s="151">
        <f t="shared" si="22"/>
        <v>0</v>
      </c>
      <c r="T31" s="154">
        <f>N31</f>
        <v>0</v>
      </c>
      <c r="U31" s="150"/>
      <c r="V31" s="150"/>
      <c r="W31" s="150"/>
      <c r="X31" s="152">
        <f t="shared" si="24"/>
        <v>0</v>
      </c>
      <c r="Y31" s="153">
        <f>S31</f>
        <v>0</v>
      </c>
      <c r="Z31" s="150"/>
      <c r="AA31" s="150"/>
      <c r="AB31" s="150"/>
      <c r="AC31" s="151">
        <f t="shared" si="0"/>
        <v>0</v>
      </c>
      <c r="AD31" s="154">
        <f t="shared" si="1"/>
        <v>0</v>
      </c>
      <c r="AE31" s="150"/>
      <c r="AF31" s="150"/>
      <c r="AG31" s="150"/>
      <c r="AH31" s="152">
        <f t="shared" si="26"/>
        <v>0</v>
      </c>
      <c r="AI31" s="153">
        <f>AC31</f>
        <v>0</v>
      </c>
      <c r="AJ31" s="150"/>
      <c r="AK31" s="150"/>
      <c r="AL31" s="150"/>
      <c r="AM31" s="150"/>
      <c r="AN31" s="150"/>
      <c r="AO31" s="150"/>
      <c r="AP31" s="151">
        <f t="shared" si="28"/>
        <v>0</v>
      </c>
      <c r="AQ31" s="154">
        <f>AH31</f>
        <v>0</v>
      </c>
      <c r="AR31" s="150"/>
      <c r="AS31" s="150"/>
      <c r="AT31" s="150"/>
      <c r="AU31" s="152">
        <f t="shared" si="30"/>
        <v>0</v>
      </c>
      <c r="AV31" s="153">
        <f>AP31</f>
        <v>0</v>
      </c>
      <c r="AW31" s="150"/>
      <c r="AX31" s="150"/>
      <c r="AY31" s="150"/>
      <c r="AZ31" s="150"/>
      <c r="BA31" s="150"/>
      <c r="BB31" s="150"/>
      <c r="BC31" s="151">
        <f t="shared" si="32"/>
        <v>0</v>
      </c>
      <c r="BD31" s="154">
        <f>AU31</f>
        <v>0</v>
      </c>
      <c r="BE31" s="150"/>
      <c r="BF31" s="150"/>
      <c r="BG31" s="150"/>
      <c r="BH31" s="152">
        <f t="shared" si="34"/>
        <v>0</v>
      </c>
      <c r="BI31" s="149"/>
      <c r="BJ31" s="150"/>
      <c r="BK31" s="154">
        <f t="shared" si="35"/>
        <v>0</v>
      </c>
      <c r="BL31" s="155">
        <f t="shared" si="36"/>
        <v>0</v>
      </c>
      <c r="BM31" s="156"/>
      <c r="BN31" s="150"/>
      <c r="BO31" s="145">
        <f t="shared" si="37"/>
        <v>0</v>
      </c>
      <c r="BP31" s="157"/>
      <c r="BQ31" s="145">
        <f t="shared" si="38"/>
        <v>0</v>
      </c>
    </row>
    <row r="32" spans="1:69" s="148" customFormat="1" ht="15" thickBot="1" x14ac:dyDescent="0.25">
      <c r="A32" s="1">
        <v>9</v>
      </c>
      <c r="B32" s="1"/>
      <c r="C32" s="9" t="s">
        <v>109</v>
      </c>
      <c r="D32" s="7">
        <v>1595</v>
      </c>
      <c r="E32" s="179"/>
      <c r="F32" s="150"/>
      <c r="G32" s="150"/>
      <c r="H32" s="150"/>
      <c r="I32" s="151">
        <f t="shared" si="19"/>
        <v>0</v>
      </c>
      <c r="J32" s="150"/>
      <c r="K32" s="150"/>
      <c r="L32" s="150"/>
      <c r="M32" s="150"/>
      <c r="N32" s="152">
        <f t="shared" si="20"/>
        <v>0</v>
      </c>
      <c r="O32" s="153">
        <f t="shared" si="21"/>
        <v>0</v>
      </c>
      <c r="P32" s="150"/>
      <c r="Q32" s="150"/>
      <c r="R32" s="150"/>
      <c r="S32" s="151">
        <f t="shared" si="22"/>
        <v>0</v>
      </c>
      <c r="T32" s="154">
        <f t="shared" si="23"/>
        <v>0</v>
      </c>
      <c r="U32" s="150"/>
      <c r="V32" s="150"/>
      <c r="W32" s="150"/>
      <c r="X32" s="152">
        <f t="shared" si="24"/>
        <v>0</v>
      </c>
      <c r="Y32" s="153">
        <f>S32</f>
        <v>0</v>
      </c>
      <c r="Z32" s="150"/>
      <c r="AA32" s="150"/>
      <c r="AB32" s="150"/>
      <c r="AC32" s="151">
        <f t="shared" si="0"/>
        <v>0</v>
      </c>
      <c r="AD32" s="154">
        <f t="shared" si="1"/>
        <v>0</v>
      </c>
      <c r="AE32" s="150"/>
      <c r="AF32" s="150"/>
      <c r="AG32" s="150"/>
      <c r="AH32" s="152">
        <f t="shared" si="26"/>
        <v>0</v>
      </c>
      <c r="AI32" s="153">
        <f>AC32</f>
        <v>0</v>
      </c>
      <c r="AJ32" s="150"/>
      <c r="AK32" s="150"/>
      <c r="AL32" s="150"/>
      <c r="AM32" s="150"/>
      <c r="AN32" s="150"/>
      <c r="AO32" s="150"/>
      <c r="AP32" s="151">
        <f t="shared" si="28"/>
        <v>0</v>
      </c>
      <c r="AQ32" s="154">
        <f>AH32</f>
        <v>0</v>
      </c>
      <c r="AR32" s="150"/>
      <c r="AS32" s="150"/>
      <c r="AT32" s="150"/>
      <c r="AU32" s="152">
        <f t="shared" si="30"/>
        <v>0</v>
      </c>
      <c r="AV32" s="153">
        <f>AP32</f>
        <v>0</v>
      </c>
      <c r="AW32" s="150"/>
      <c r="AX32" s="150"/>
      <c r="AY32" s="150"/>
      <c r="AZ32" s="150"/>
      <c r="BA32" s="150"/>
      <c r="BB32" s="150"/>
      <c r="BC32" s="151">
        <f t="shared" si="32"/>
        <v>0</v>
      </c>
      <c r="BD32" s="154">
        <f>AU32</f>
        <v>0</v>
      </c>
      <c r="BE32" s="150"/>
      <c r="BF32" s="150"/>
      <c r="BG32" s="150"/>
      <c r="BH32" s="152">
        <f t="shared" si="34"/>
        <v>0</v>
      </c>
      <c r="BI32" s="149"/>
      <c r="BJ32" s="150"/>
      <c r="BK32" s="154">
        <f t="shared" si="35"/>
        <v>0</v>
      </c>
      <c r="BL32" s="155">
        <f t="shared" si="36"/>
        <v>0</v>
      </c>
      <c r="BM32" s="156"/>
      <c r="BN32" s="150"/>
      <c r="BO32" s="145">
        <f t="shared" si="37"/>
        <v>0</v>
      </c>
      <c r="BP32" s="157"/>
      <c r="BQ32" s="145">
        <f t="shared" si="38"/>
        <v>0</v>
      </c>
    </row>
    <row r="33" spans="1:69" s="148" customFormat="1" ht="15" thickBot="1" x14ac:dyDescent="0.25">
      <c r="A33" s="1">
        <v>10</v>
      </c>
      <c r="B33" s="1"/>
      <c r="C33" s="9" t="s">
        <v>110</v>
      </c>
      <c r="D33" s="7">
        <v>1595</v>
      </c>
      <c r="E33" s="179"/>
      <c r="F33" s="150"/>
      <c r="G33" s="150"/>
      <c r="H33" s="150"/>
      <c r="I33" s="151">
        <f>E33+F33-G33+H33</f>
        <v>0</v>
      </c>
      <c r="J33" s="150"/>
      <c r="K33" s="150"/>
      <c r="L33" s="150"/>
      <c r="M33" s="150"/>
      <c r="N33" s="152">
        <f>J33+K33-L33+M33</f>
        <v>0</v>
      </c>
      <c r="O33" s="153">
        <f>I33</f>
        <v>0</v>
      </c>
      <c r="P33" s="150"/>
      <c r="Q33" s="150"/>
      <c r="R33" s="150"/>
      <c r="S33" s="151">
        <f t="shared" si="22"/>
        <v>0</v>
      </c>
      <c r="T33" s="154">
        <f>N33</f>
        <v>0</v>
      </c>
      <c r="U33" s="150"/>
      <c r="V33" s="150"/>
      <c r="W33" s="150"/>
      <c r="X33" s="152">
        <f>T33+U33-V33+W33</f>
        <v>0</v>
      </c>
      <c r="Y33" s="153">
        <f>S33</f>
        <v>0</v>
      </c>
      <c r="Z33" s="150"/>
      <c r="AA33" s="150"/>
      <c r="AB33" s="150"/>
      <c r="AC33" s="151">
        <f t="shared" si="0"/>
        <v>0</v>
      </c>
      <c r="AD33" s="154">
        <f t="shared" si="1"/>
        <v>0</v>
      </c>
      <c r="AE33" s="150"/>
      <c r="AF33" s="150"/>
      <c r="AG33" s="150"/>
      <c r="AH33" s="152">
        <f>AD33+AE33-AF33+AG33</f>
        <v>0</v>
      </c>
      <c r="AI33" s="153">
        <f>AC33</f>
        <v>0</v>
      </c>
      <c r="AJ33" s="150"/>
      <c r="AK33" s="150"/>
      <c r="AL33" s="150"/>
      <c r="AM33" s="150"/>
      <c r="AN33" s="150"/>
      <c r="AO33" s="150">
        <v>-1776570.1300000001</v>
      </c>
      <c r="AP33" s="151">
        <f>AI33+AJ33-AK33+SUM(AL33:AO33)</f>
        <v>-1776570.1300000001</v>
      </c>
      <c r="AQ33" s="154">
        <f>AH33</f>
        <v>0</v>
      </c>
      <c r="AR33" s="150"/>
      <c r="AS33" s="150"/>
      <c r="AT33" s="150">
        <v>1695251.4300000002</v>
      </c>
      <c r="AU33" s="152">
        <f>AQ33+AR33-AS33+AT33</f>
        <v>1695251.4300000002</v>
      </c>
      <c r="AV33" s="153">
        <f>AP33</f>
        <v>-1776570.1300000001</v>
      </c>
      <c r="AW33" s="150">
        <f>4636.41-194.49</f>
        <v>4441.92</v>
      </c>
      <c r="AX33" s="150"/>
      <c r="AY33" s="150"/>
      <c r="AZ33" s="150"/>
      <c r="BA33" s="150"/>
      <c r="BB33" s="150"/>
      <c r="BC33" s="151">
        <f>AV33+AW33-AX33+SUM(AY33:BB33)</f>
        <v>-1772128.2100000002</v>
      </c>
      <c r="BD33" s="154">
        <f>AU33</f>
        <v>1695251.4300000002</v>
      </c>
      <c r="BE33" s="150">
        <f>-45656.9+5959.72</f>
        <v>-39697.18</v>
      </c>
      <c r="BF33" s="150"/>
      <c r="BG33" s="150"/>
      <c r="BH33" s="152">
        <f>BD33+BE33-BF33+BG33</f>
        <v>1655554.2500000002</v>
      </c>
      <c r="BI33" s="149">
        <f>-11292515.27+9276892.83+1640764.6-1401712.29+4441.92</f>
        <v>-1772128.2099999995</v>
      </c>
      <c r="BJ33" s="150">
        <f>1889663.65-216175.2-17934.2</f>
        <v>1655554.25</v>
      </c>
      <c r="BK33" s="154">
        <f t="shared" si="35"/>
        <v>0</v>
      </c>
      <c r="BL33" s="155">
        <f t="shared" si="36"/>
        <v>0</v>
      </c>
      <c r="BM33" s="156"/>
      <c r="BN33" s="150"/>
      <c r="BO33" s="145">
        <f t="shared" si="37"/>
        <v>0</v>
      </c>
      <c r="BP33" s="157">
        <v>-116573.96</v>
      </c>
      <c r="BQ33" s="145">
        <f t="shared" si="38"/>
        <v>0</v>
      </c>
    </row>
    <row r="34" spans="1:69" s="148" customFormat="1" ht="15" thickBot="1" x14ac:dyDescent="0.25">
      <c r="A34" s="1">
        <v>11</v>
      </c>
      <c r="B34" s="1"/>
      <c r="C34" s="9" t="s">
        <v>227</v>
      </c>
      <c r="D34" s="7">
        <v>1595</v>
      </c>
      <c r="E34" s="179"/>
      <c r="F34" s="150"/>
      <c r="G34" s="150"/>
      <c r="H34" s="150"/>
      <c r="I34" s="151">
        <f>E34+F34-G34+H34</f>
        <v>0</v>
      </c>
      <c r="J34" s="150"/>
      <c r="K34" s="150"/>
      <c r="L34" s="150"/>
      <c r="M34" s="150"/>
      <c r="N34" s="152">
        <f>J34+K34-L34+M34</f>
        <v>0</v>
      </c>
      <c r="O34" s="153">
        <f>I34</f>
        <v>0</v>
      </c>
      <c r="P34" s="150"/>
      <c r="Q34" s="150"/>
      <c r="R34" s="150"/>
      <c r="S34" s="151">
        <f t="shared" ref="S34" si="39">O34+P34-Q34+SUM(R34:R34)</f>
        <v>0</v>
      </c>
      <c r="T34" s="154">
        <f>N34</f>
        <v>0</v>
      </c>
      <c r="U34" s="150"/>
      <c r="V34" s="150"/>
      <c r="W34" s="150"/>
      <c r="X34" s="152">
        <f>T34+U34-V34+W34</f>
        <v>0</v>
      </c>
      <c r="Y34" s="153">
        <f>S34</f>
        <v>0</v>
      </c>
      <c r="Z34" s="150"/>
      <c r="AA34" s="150"/>
      <c r="AB34" s="150"/>
      <c r="AC34" s="151">
        <f t="shared" ref="AC34:AC35" si="40">Y34+Z34-AA34+SUM(AB34:AB34)</f>
        <v>0</v>
      </c>
      <c r="AD34" s="154">
        <f t="shared" ref="AD34:AD35" si="41">X34</f>
        <v>0</v>
      </c>
      <c r="AE34" s="150"/>
      <c r="AF34" s="150"/>
      <c r="AG34" s="150"/>
      <c r="AH34" s="152">
        <f t="shared" ref="AH34:AH35" si="42">AD34+AE34-AF34+AG34</f>
        <v>0</v>
      </c>
      <c r="AI34" s="153">
        <f t="shared" ref="AI34:AI35" si="43">AC34</f>
        <v>0</v>
      </c>
      <c r="AJ34" s="150"/>
      <c r="AK34" s="150"/>
      <c r="AL34" s="150"/>
      <c r="AM34" s="150"/>
      <c r="AN34" s="150"/>
      <c r="AO34" s="150">
        <v>-43770.419999999984</v>
      </c>
      <c r="AP34" s="151">
        <f>AI34+AJ34-AK34+SUM(AL34:AO34)</f>
        <v>-43770.419999999984</v>
      </c>
      <c r="AQ34" s="154">
        <f>AH34</f>
        <v>0</v>
      </c>
      <c r="AR34" s="150"/>
      <c r="AS34" s="150"/>
      <c r="AT34" s="150">
        <v>-64405.03</v>
      </c>
      <c r="AU34" s="152">
        <f>AQ34+AR34-AS34+AT34</f>
        <v>-64405.03</v>
      </c>
      <c r="AV34" s="153">
        <f>AP34</f>
        <v>-43770.419999999984</v>
      </c>
      <c r="AW34" s="150">
        <v>-2160.73</v>
      </c>
      <c r="AX34" s="150"/>
      <c r="AY34" s="150"/>
      <c r="AZ34" s="150"/>
      <c r="BA34" s="150"/>
      <c r="BB34" s="150"/>
      <c r="BC34" s="151">
        <f>AV34+AW34-AX34+SUM(AY34:BB34)</f>
        <v>-45931.149999999987</v>
      </c>
      <c r="BD34" s="154">
        <f>AU34</f>
        <v>-64405.03</v>
      </c>
      <c r="BE34" s="150">
        <f>-2585.9+3408.27</f>
        <v>822.36999999999989</v>
      </c>
      <c r="BF34" s="150"/>
      <c r="BG34" s="150"/>
      <c r="BH34" s="152">
        <f>BD34+BE34-BF34+BG34</f>
        <v>-63582.659999999996</v>
      </c>
      <c r="BI34" s="149">
        <f>-1167600.38+1084837.88+1135691.71-1096699.45-2083.16-1957.08+1879</f>
        <v>-45931.479999999996</v>
      </c>
      <c r="BJ34" s="150">
        <f>-95553.07+30611.85+1136.42+222</f>
        <v>-63582.80000000001</v>
      </c>
      <c r="BK34" s="154">
        <f t="shared" si="35"/>
        <v>0.33000000000902219</v>
      </c>
      <c r="BL34" s="155">
        <f t="shared" si="36"/>
        <v>0.14000000001396984</v>
      </c>
      <c r="BM34" s="156"/>
      <c r="BN34" s="150"/>
      <c r="BO34" s="145">
        <f t="shared" si="37"/>
        <v>0.47000000002299203</v>
      </c>
      <c r="BP34" s="157">
        <v>-109514.03</v>
      </c>
      <c r="BQ34" s="145">
        <f t="shared" si="38"/>
        <v>-0.22000000001571607</v>
      </c>
    </row>
    <row r="35" spans="1:69" s="148" customFormat="1" ht="15" thickBot="1" x14ac:dyDescent="0.25">
      <c r="A35" s="1">
        <v>12</v>
      </c>
      <c r="B35" s="1"/>
      <c r="C35" s="9" t="s">
        <v>274</v>
      </c>
      <c r="D35" s="7">
        <v>1595</v>
      </c>
      <c r="E35" s="179"/>
      <c r="F35" s="150"/>
      <c r="G35" s="150"/>
      <c r="H35" s="150"/>
      <c r="I35" s="151">
        <f>E35+F35-G35+H35</f>
        <v>0</v>
      </c>
      <c r="J35" s="150"/>
      <c r="K35" s="150"/>
      <c r="L35" s="150"/>
      <c r="M35" s="150"/>
      <c r="N35" s="152">
        <f>J35+K35-L35+M35</f>
        <v>0</v>
      </c>
      <c r="O35" s="153">
        <f>I35</f>
        <v>0</v>
      </c>
      <c r="P35" s="150"/>
      <c r="Q35" s="150"/>
      <c r="R35" s="150"/>
      <c r="S35" s="151">
        <f t="shared" ref="S35" si="44">O35+P35-Q35+SUM(R35:R35)</f>
        <v>0</v>
      </c>
      <c r="T35" s="154">
        <f>N35</f>
        <v>0</v>
      </c>
      <c r="U35" s="150"/>
      <c r="V35" s="150"/>
      <c r="W35" s="150"/>
      <c r="X35" s="152">
        <f>T35+U35-V35+W35</f>
        <v>0</v>
      </c>
      <c r="Y35" s="153">
        <f>S35</f>
        <v>0</v>
      </c>
      <c r="Z35" s="150"/>
      <c r="AA35" s="150"/>
      <c r="AB35" s="150"/>
      <c r="AC35" s="151">
        <f t="shared" si="40"/>
        <v>0</v>
      </c>
      <c r="AD35" s="154">
        <f t="shared" si="41"/>
        <v>0</v>
      </c>
      <c r="AE35" s="150"/>
      <c r="AF35" s="150"/>
      <c r="AG35" s="150"/>
      <c r="AH35" s="152">
        <f t="shared" si="42"/>
        <v>0</v>
      </c>
      <c r="AI35" s="153">
        <f t="shared" si="43"/>
        <v>0</v>
      </c>
      <c r="AJ35" s="150"/>
      <c r="AK35" s="150"/>
      <c r="AL35" s="150"/>
      <c r="AM35" s="150"/>
      <c r="AN35" s="150"/>
      <c r="AO35" s="150"/>
      <c r="AP35" s="151">
        <f>AI35+AJ35-AK35+SUM(AL35:AO35)</f>
        <v>0</v>
      </c>
      <c r="AQ35" s="154">
        <f>AH35</f>
        <v>0</v>
      </c>
      <c r="AR35" s="150"/>
      <c r="AS35" s="150"/>
      <c r="AT35" s="150"/>
      <c r="AU35" s="152">
        <f>AQ35+AR35-AS35+AT35</f>
        <v>0</v>
      </c>
      <c r="AV35" s="153">
        <f>AP35</f>
        <v>0</v>
      </c>
      <c r="AW35" s="150"/>
      <c r="AX35" s="150"/>
      <c r="AY35" s="150"/>
      <c r="AZ35" s="150"/>
      <c r="BA35" s="150"/>
      <c r="BB35" s="150"/>
      <c r="BC35" s="151">
        <f>AV35+AW35-AX35+SUM(AY35:BB35)</f>
        <v>0</v>
      </c>
      <c r="BD35" s="154">
        <f>AU35</f>
        <v>0</v>
      </c>
      <c r="BE35" s="150"/>
      <c r="BF35" s="150"/>
      <c r="BG35" s="150"/>
      <c r="BH35" s="152">
        <f>BD35+BE35-BF35+BG35</f>
        <v>0</v>
      </c>
      <c r="BI35" s="149"/>
      <c r="BJ35" s="150"/>
      <c r="BK35" s="154">
        <f t="shared" si="35"/>
        <v>0</v>
      </c>
      <c r="BL35" s="155">
        <f t="shared" si="36"/>
        <v>0</v>
      </c>
      <c r="BM35" s="156"/>
      <c r="BN35" s="150"/>
      <c r="BO35" s="145">
        <f t="shared" si="37"/>
        <v>0</v>
      </c>
      <c r="BP35" s="157"/>
      <c r="BQ35" s="145">
        <f t="shared" si="38"/>
        <v>0</v>
      </c>
    </row>
    <row r="36" spans="1:69" s="148" customFormat="1" ht="15" customHeight="1" x14ac:dyDescent="0.2">
      <c r="A36" s="1"/>
      <c r="B36" s="1"/>
      <c r="C36" s="4"/>
      <c r="D36" s="4"/>
      <c r="E36" s="180"/>
      <c r="F36" s="151"/>
      <c r="G36" s="151"/>
      <c r="H36" s="151"/>
      <c r="I36" s="151"/>
      <c r="J36" s="151"/>
      <c r="K36" s="151"/>
      <c r="L36" s="151"/>
      <c r="M36" s="151"/>
      <c r="N36" s="152"/>
      <c r="O36" s="158"/>
      <c r="P36" s="151"/>
      <c r="Q36" s="151"/>
      <c r="R36" s="151"/>
      <c r="S36" s="151"/>
      <c r="T36" s="151"/>
      <c r="U36" s="151"/>
      <c r="V36" s="151"/>
      <c r="W36" s="151"/>
      <c r="X36" s="152"/>
      <c r="Y36" s="158"/>
      <c r="Z36" s="151"/>
      <c r="AA36" s="151"/>
      <c r="AB36" s="151"/>
      <c r="AC36" s="151"/>
      <c r="AD36" s="151"/>
      <c r="AE36" s="151"/>
      <c r="AF36" s="151"/>
      <c r="AG36" s="151"/>
      <c r="AH36" s="152"/>
      <c r="AI36" s="158"/>
      <c r="AJ36" s="151"/>
      <c r="AK36" s="151"/>
      <c r="AL36" s="151"/>
      <c r="AM36" s="151"/>
      <c r="AN36" s="151"/>
      <c r="AO36" s="151"/>
      <c r="AP36" s="151"/>
      <c r="AQ36" s="151"/>
      <c r="AR36" s="151"/>
      <c r="AS36" s="151"/>
      <c r="AT36" s="151"/>
      <c r="AU36" s="152"/>
      <c r="AV36" s="158"/>
      <c r="AW36" s="151"/>
      <c r="AX36" s="151"/>
      <c r="AY36" s="151"/>
      <c r="AZ36" s="151"/>
      <c r="BA36" s="151"/>
      <c r="BB36" s="151"/>
      <c r="BC36" s="151"/>
      <c r="BD36" s="151"/>
      <c r="BE36" s="151"/>
      <c r="BF36" s="151"/>
      <c r="BG36" s="151"/>
      <c r="BH36" s="152"/>
      <c r="BI36" s="158"/>
      <c r="BJ36" s="151"/>
      <c r="BK36" s="151"/>
      <c r="BL36" s="152"/>
      <c r="BM36" s="144"/>
      <c r="BN36" s="144"/>
      <c r="BO36" s="145"/>
      <c r="BP36" s="146"/>
      <c r="BQ36" s="145"/>
    </row>
    <row r="37" spans="1:69" s="148" customFormat="1" ht="15" x14ac:dyDescent="0.25">
      <c r="A37" s="1"/>
      <c r="B37" s="1"/>
      <c r="C37" s="10" t="s">
        <v>128</v>
      </c>
      <c r="D37" s="10"/>
      <c r="E37" s="180">
        <f t="shared" ref="E37:AJ37" si="45">SUM(E24:E35)</f>
        <v>0</v>
      </c>
      <c r="F37" s="151">
        <f t="shared" si="45"/>
        <v>0</v>
      </c>
      <c r="G37" s="151">
        <f t="shared" si="45"/>
        <v>0</v>
      </c>
      <c r="H37" s="151">
        <f t="shared" si="45"/>
        <v>0</v>
      </c>
      <c r="I37" s="151">
        <f t="shared" si="45"/>
        <v>0</v>
      </c>
      <c r="J37" s="151">
        <f t="shared" si="45"/>
        <v>0</v>
      </c>
      <c r="K37" s="151">
        <f t="shared" si="45"/>
        <v>0</v>
      </c>
      <c r="L37" s="151">
        <f t="shared" si="45"/>
        <v>0</v>
      </c>
      <c r="M37" s="151">
        <f t="shared" si="45"/>
        <v>0</v>
      </c>
      <c r="N37" s="151">
        <f t="shared" si="45"/>
        <v>0</v>
      </c>
      <c r="O37" s="158">
        <f t="shared" si="45"/>
        <v>0</v>
      </c>
      <c r="P37" s="151">
        <f t="shared" si="45"/>
        <v>0</v>
      </c>
      <c r="Q37" s="151">
        <f t="shared" si="45"/>
        <v>0</v>
      </c>
      <c r="R37" s="151">
        <f t="shared" si="45"/>
        <v>0</v>
      </c>
      <c r="S37" s="151">
        <f t="shared" si="45"/>
        <v>0</v>
      </c>
      <c r="T37" s="151">
        <f t="shared" si="45"/>
        <v>0</v>
      </c>
      <c r="U37" s="151">
        <f t="shared" si="45"/>
        <v>0</v>
      </c>
      <c r="V37" s="151">
        <f t="shared" si="45"/>
        <v>0</v>
      </c>
      <c r="W37" s="151">
        <f t="shared" si="45"/>
        <v>0</v>
      </c>
      <c r="X37" s="151">
        <f t="shared" si="45"/>
        <v>0</v>
      </c>
      <c r="Y37" s="158">
        <f t="shared" si="45"/>
        <v>0</v>
      </c>
      <c r="Z37" s="151">
        <f t="shared" si="45"/>
        <v>0</v>
      </c>
      <c r="AA37" s="151">
        <f t="shared" si="45"/>
        <v>0</v>
      </c>
      <c r="AB37" s="151">
        <f t="shared" si="45"/>
        <v>0</v>
      </c>
      <c r="AC37" s="151">
        <f t="shared" si="45"/>
        <v>0</v>
      </c>
      <c r="AD37" s="151">
        <f t="shared" si="45"/>
        <v>0</v>
      </c>
      <c r="AE37" s="151">
        <f t="shared" si="45"/>
        <v>0</v>
      </c>
      <c r="AF37" s="151">
        <f t="shared" si="45"/>
        <v>0</v>
      </c>
      <c r="AG37" s="151">
        <f t="shared" si="45"/>
        <v>0</v>
      </c>
      <c r="AH37" s="151">
        <f t="shared" si="45"/>
        <v>0</v>
      </c>
      <c r="AI37" s="158">
        <f t="shared" si="45"/>
        <v>0</v>
      </c>
      <c r="AJ37" s="151">
        <f t="shared" si="45"/>
        <v>0</v>
      </c>
      <c r="AK37" s="151">
        <f t="shared" ref="AK37:BP37" si="46">SUM(AK24:AK35)</f>
        <v>0</v>
      </c>
      <c r="AL37" s="151">
        <f t="shared" si="46"/>
        <v>0</v>
      </c>
      <c r="AM37" s="151">
        <f t="shared" si="46"/>
        <v>0</v>
      </c>
      <c r="AN37" s="151">
        <f t="shared" si="46"/>
        <v>0</v>
      </c>
      <c r="AO37" s="151">
        <f t="shared" si="46"/>
        <v>-4619846.4999999991</v>
      </c>
      <c r="AP37" s="151">
        <f t="shared" si="46"/>
        <v>-4619846.4999999991</v>
      </c>
      <c r="AQ37" s="151">
        <f t="shared" si="46"/>
        <v>0</v>
      </c>
      <c r="AR37" s="151">
        <f t="shared" si="46"/>
        <v>0</v>
      </c>
      <c r="AS37" s="151">
        <f t="shared" si="46"/>
        <v>0</v>
      </c>
      <c r="AT37" s="151">
        <f t="shared" si="46"/>
        <v>1550434.4500000002</v>
      </c>
      <c r="AU37" s="151">
        <f t="shared" si="46"/>
        <v>1550434.4500000002</v>
      </c>
      <c r="AV37" s="158">
        <f t="shared" si="46"/>
        <v>-4619846.4999999991</v>
      </c>
      <c r="AW37" s="151">
        <f t="shared" si="46"/>
        <v>250630.75000000029</v>
      </c>
      <c r="AX37" s="151">
        <f t="shared" si="46"/>
        <v>0</v>
      </c>
      <c r="AY37" s="151">
        <f t="shared" si="46"/>
        <v>0</v>
      </c>
      <c r="AZ37" s="151">
        <f t="shared" si="46"/>
        <v>0</v>
      </c>
      <c r="BA37" s="151">
        <f t="shared" si="46"/>
        <v>0</v>
      </c>
      <c r="BB37" s="151">
        <f t="shared" si="46"/>
        <v>0</v>
      </c>
      <c r="BC37" s="151">
        <f t="shared" si="46"/>
        <v>-4369215.75</v>
      </c>
      <c r="BD37" s="151">
        <f t="shared" si="46"/>
        <v>1550434.4500000002</v>
      </c>
      <c r="BE37" s="151">
        <f t="shared" si="46"/>
        <v>-145826.42000000001</v>
      </c>
      <c r="BF37" s="151">
        <f t="shared" si="46"/>
        <v>0</v>
      </c>
      <c r="BG37" s="151">
        <f t="shared" si="46"/>
        <v>0</v>
      </c>
      <c r="BH37" s="151">
        <f t="shared" si="46"/>
        <v>1404608.0300000003</v>
      </c>
      <c r="BI37" s="158">
        <f t="shared" si="46"/>
        <v>-4617566.0999999996</v>
      </c>
      <c r="BJ37" s="151">
        <f t="shared" si="46"/>
        <v>1456689.19</v>
      </c>
      <c r="BK37" s="151">
        <f t="shared" si="46"/>
        <v>248350.34999999934</v>
      </c>
      <c r="BL37" s="151">
        <f t="shared" si="46"/>
        <v>-52081.16</v>
      </c>
      <c r="BM37" s="158">
        <f t="shared" si="46"/>
        <v>3650.7452939999894</v>
      </c>
      <c r="BN37" s="151">
        <f t="shared" si="46"/>
        <v>1216.9150979999968</v>
      </c>
      <c r="BO37" s="145">
        <f t="shared" si="46"/>
        <v>201136.85039199964</v>
      </c>
      <c r="BP37" s="158">
        <f t="shared" si="46"/>
        <v>-2964608.0700000008</v>
      </c>
      <c r="BQ37" s="145">
        <f t="shared" si="38"/>
        <v>-0.35000000102445483</v>
      </c>
    </row>
    <row r="38" spans="1:69" s="148" customFormat="1" ht="15" x14ac:dyDescent="0.25">
      <c r="A38" s="1"/>
      <c r="B38" s="1"/>
      <c r="C38" s="10" t="s">
        <v>129</v>
      </c>
      <c r="D38" s="10"/>
      <c r="E38" s="180">
        <f t="shared" ref="E38:BN38" si="47">E37-E39</f>
        <v>0</v>
      </c>
      <c r="F38" s="151">
        <f t="shared" si="47"/>
        <v>0</v>
      </c>
      <c r="G38" s="151">
        <f t="shared" si="47"/>
        <v>0</v>
      </c>
      <c r="H38" s="151">
        <f t="shared" si="47"/>
        <v>0</v>
      </c>
      <c r="I38" s="151">
        <f t="shared" si="47"/>
        <v>0</v>
      </c>
      <c r="J38" s="151">
        <f t="shared" si="47"/>
        <v>0</v>
      </c>
      <c r="K38" s="151">
        <f t="shared" si="47"/>
        <v>0</v>
      </c>
      <c r="L38" s="151">
        <f>L37-L39</f>
        <v>0</v>
      </c>
      <c r="M38" s="151">
        <f>M37-M39</f>
        <v>0</v>
      </c>
      <c r="N38" s="152">
        <f>N37-N39</f>
        <v>0</v>
      </c>
      <c r="O38" s="158">
        <f t="shared" si="47"/>
        <v>0</v>
      </c>
      <c r="P38" s="151">
        <f t="shared" si="47"/>
        <v>0</v>
      </c>
      <c r="Q38" s="151">
        <f t="shared" si="47"/>
        <v>0</v>
      </c>
      <c r="R38" s="151">
        <f t="shared" si="47"/>
        <v>0</v>
      </c>
      <c r="S38" s="151">
        <f t="shared" si="47"/>
        <v>0</v>
      </c>
      <c r="T38" s="151">
        <f t="shared" si="47"/>
        <v>0</v>
      </c>
      <c r="U38" s="151">
        <f t="shared" si="47"/>
        <v>0</v>
      </c>
      <c r="V38" s="151">
        <f t="shared" ref="V38:BL38" si="48">V37-V39</f>
        <v>0</v>
      </c>
      <c r="W38" s="151">
        <f t="shared" si="48"/>
        <v>0</v>
      </c>
      <c r="X38" s="152">
        <f t="shared" si="48"/>
        <v>0</v>
      </c>
      <c r="Y38" s="158">
        <f t="shared" si="48"/>
        <v>0</v>
      </c>
      <c r="Z38" s="151">
        <f t="shared" si="48"/>
        <v>0</v>
      </c>
      <c r="AA38" s="151">
        <f t="shared" si="48"/>
        <v>0</v>
      </c>
      <c r="AB38" s="151">
        <f t="shared" si="48"/>
        <v>0</v>
      </c>
      <c r="AC38" s="151">
        <f t="shared" si="48"/>
        <v>0</v>
      </c>
      <c r="AD38" s="151">
        <f t="shared" si="48"/>
        <v>0</v>
      </c>
      <c r="AE38" s="151">
        <f t="shared" si="48"/>
        <v>0</v>
      </c>
      <c r="AF38" s="151">
        <f t="shared" si="48"/>
        <v>0</v>
      </c>
      <c r="AG38" s="151">
        <f t="shared" si="48"/>
        <v>0</v>
      </c>
      <c r="AH38" s="152">
        <f t="shared" si="48"/>
        <v>0</v>
      </c>
      <c r="AI38" s="158">
        <f t="shared" ref="AI38:AU38" si="49">AI37-AI39</f>
        <v>0</v>
      </c>
      <c r="AJ38" s="151">
        <f t="shared" si="49"/>
        <v>0</v>
      </c>
      <c r="AK38" s="151">
        <f t="shared" si="49"/>
        <v>0</v>
      </c>
      <c r="AL38" s="151">
        <f t="shared" si="49"/>
        <v>0</v>
      </c>
      <c r="AM38" s="151">
        <f t="shared" si="49"/>
        <v>0</v>
      </c>
      <c r="AN38" s="151">
        <f t="shared" si="49"/>
        <v>0</v>
      </c>
      <c r="AO38" s="151">
        <f t="shared" si="49"/>
        <v>-8301186.6799999988</v>
      </c>
      <c r="AP38" s="151">
        <f t="shared" si="49"/>
        <v>-8301186.6799999988</v>
      </c>
      <c r="AQ38" s="151">
        <f t="shared" si="49"/>
        <v>0</v>
      </c>
      <c r="AR38" s="151">
        <f t="shared" si="49"/>
        <v>0</v>
      </c>
      <c r="AS38" s="151">
        <f t="shared" si="49"/>
        <v>0</v>
      </c>
      <c r="AT38" s="151">
        <f t="shared" si="49"/>
        <v>1507650.1900000002</v>
      </c>
      <c r="AU38" s="152">
        <f t="shared" si="49"/>
        <v>1507650.1900000002</v>
      </c>
      <c r="AV38" s="158">
        <f t="shared" ref="AV38:BH38" si="50">AV37-AV39</f>
        <v>-8301186.6799999988</v>
      </c>
      <c r="AW38" s="151">
        <f t="shared" si="50"/>
        <v>-1359610.0099999998</v>
      </c>
      <c r="AX38" s="151">
        <f t="shared" si="50"/>
        <v>0</v>
      </c>
      <c r="AY38" s="151">
        <f t="shared" si="50"/>
        <v>0</v>
      </c>
      <c r="AZ38" s="151">
        <f t="shared" si="50"/>
        <v>0</v>
      </c>
      <c r="BA38" s="151">
        <f t="shared" si="50"/>
        <v>0</v>
      </c>
      <c r="BB38" s="151">
        <f t="shared" si="50"/>
        <v>0</v>
      </c>
      <c r="BC38" s="151">
        <f t="shared" si="50"/>
        <v>-9660796.6899999995</v>
      </c>
      <c r="BD38" s="151">
        <f t="shared" si="50"/>
        <v>1507650.1900000002</v>
      </c>
      <c r="BE38" s="151">
        <f t="shared" si="50"/>
        <v>-158640.59000000003</v>
      </c>
      <c r="BF38" s="151">
        <f t="shared" si="50"/>
        <v>0</v>
      </c>
      <c r="BG38" s="151">
        <f t="shared" si="50"/>
        <v>0</v>
      </c>
      <c r="BH38" s="152">
        <f t="shared" si="50"/>
        <v>1349009.6000000003</v>
      </c>
      <c r="BI38" s="158">
        <f t="shared" si="48"/>
        <v>-8298906.6999999993</v>
      </c>
      <c r="BJ38" s="151">
        <f t="shared" si="48"/>
        <v>1341750.6599999999</v>
      </c>
      <c r="BK38" s="151">
        <f t="shared" si="48"/>
        <v>-1361889.99</v>
      </c>
      <c r="BL38" s="152">
        <f t="shared" si="48"/>
        <v>7258.9400000000023</v>
      </c>
      <c r="BM38" s="151">
        <f t="shared" si="47"/>
        <v>-20019.787704000002</v>
      </c>
      <c r="BN38" s="151">
        <f t="shared" si="47"/>
        <v>-6673.2625680000001</v>
      </c>
      <c r="BO38" s="145">
        <f t="shared" si="37"/>
        <v>-1381324.1002720001</v>
      </c>
      <c r="BP38" s="159">
        <f>BP37-BP39</f>
        <v>-8311787.5899999999</v>
      </c>
      <c r="BQ38" s="145">
        <f t="shared" si="38"/>
        <v>-0.50000000093132257</v>
      </c>
    </row>
    <row r="39" spans="1:69" s="148" customFormat="1" ht="15" x14ac:dyDescent="0.25">
      <c r="A39" s="1"/>
      <c r="B39" s="1"/>
      <c r="C39" s="11" t="str">
        <f>C30</f>
        <v>RSVA - Global Adjustment</v>
      </c>
      <c r="D39" s="12">
        <v>1589</v>
      </c>
      <c r="E39" s="180">
        <f t="shared" ref="E39:AJ39" si="51">E30</f>
        <v>0</v>
      </c>
      <c r="F39" s="151">
        <f t="shared" si="51"/>
        <v>0</v>
      </c>
      <c r="G39" s="151">
        <f t="shared" si="51"/>
        <v>0</v>
      </c>
      <c r="H39" s="151">
        <f t="shared" si="51"/>
        <v>0</v>
      </c>
      <c r="I39" s="151">
        <f t="shared" si="51"/>
        <v>0</v>
      </c>
      <c r="J39" s="151">
        <f t="shared" si="51"/>
        <v>0</v>
      </c>
      <c r="K39" s="151">
        <f t="shared" si="51"/>
        <v>0</v>
      </c>
      <c r="L39" s="151">
        <f t="shared" si="51"/>
        <v>0</v>
      </c>
      <c r="M39" s="151">
        <f t="shared" si="51"/>
        <v>0</v>
      </c>
      <c r="N39" s="152">
        <f t="shared" si="51"/>
        <v>0</v>
      </c>
      <c r="O39" s="158">
        <f t="shared" si="51"/>
        <v>0</v>
      </c>
      <c r="P39" s="151">
        <f t="shared" si="51"/>
        <v>0</v>
      </c>
      <c r="Q39" s="151">
        <f t="shared" si="51"/>
        <v>0</v>
      </c>
      <c r="R39" s="151">
        <f t="shared" si="51"/>
        <v>0</v>
      </c>
      <c r="S39" s="151">
        <f t="shared" si="51"/>
        <v>0</v>
      </c>
      <c r="T39" s="151">
        <f t="shared" si="51"/>
        <v>0</v>
      </c>
      <c r="U39" s="151">
        <f t="shared" si="51"/>
        <v>0</v>
      </c>
      <c r="V39" s="151">
        <f t="shared" si="51"/>
        <v>0</v>
      </c>
      <c r="W39" s="151">
        <f t="shared" si="51"/>
        <v>0</v>
      </c>
      <c r="X39" s="152">
        <f t="shared" si="51"/>
        <v>0</v>
      </c>
      <c r="Y39" s="158">
        <f t="shared" si="51"/>
        <v>0</v>
      </c>
      <c r="Z39" s="151">
        <f t="shared" si="51"/>
        <v>0</v>
      </c>
      <c r="AA39" s="151">
        <f t="shared" si="51"/>
        <v>0</v>
      </c>
      <c r="AB39" s="151">
        <f t="shared" si="51"/>
        <v>0</v>
      </c>
      <c r="AC39" s="151">
        <f t="shared" si="51"/>
        <v>0</v>
      </c>
      <c r="AD39" s="151">
        <f t="shared" si="51"/>
        <v>0</v>
      </c>
      <c r="AE39" s="151">
        <f t="shared" si="51"/>
        <v>0</v>
      </c>
      <c r="AF39" s="151">
        <f t="shared" si="51"/>
        <v>0</v>
      </c>
      <c r="AG39" s="151">
        <f t="shared" si="51"/>
        <v>0</v>
      </c>
      <c r="AH39" s="152">
        <f t="shared" si="51"/>
        <v>0</v>
      </c>
      <c r="AI39" s="158">
        <f t="shared" si="51"/>
        <v>0</v>
      </c>
      <c r="AJ39" s="151">
        <f t="shared" si="51"/>
        <v>0</v>
      </c>
      <c r="AK39" s="151">
        <f t="shared" ref="AK39:BN39" si="52">AK30</f>
        <v>0</v>
      </c>
      <c r="AL39" s="151">
        <f t="shared" si="52"/>
        <v>0</v>
      </c>
      <c r="AM39" s="151">
        <f t="shared" si="52"/>
        <v>0</v>
      </c>
      <c r="AN39" s="151">
        <f t="shared" si="52"/>
        <v>0</v>
      </c>
      <c r="AO39" s="151">
        <f t="shared" si="52"/>
        <v>3681340.1799999997</v>
      </c>
      <c r="AP39" s="151">
        <f t="shared" si="52"/>
        <v>3681340.1799999997</v>
      </c>
      <c r="AQ39" s="151">
        <f t="shared" si="52"/>
        <v>0</v>
      </c>
      <c r="AR39" s="151">
        <f t="shared" si="52"/>
        <v>0</v>
      </c>
      <c r="AS39" s="151">
        <f t="shared" si="52"/>
        <v>0</v>
      </c>
      <c r="AT39" s="151">
        <f t="shared" si="52"/>
        <v>42784.259999999995</v>
      </c>
      <c r="AU39" s="152">
        <f t="shared" si="52"/>
        <v>42784.259999999995</v>
      </c>
      <c r="AV39" s="158">
        <f t="shared" si="52"/>
        <v>3681340.1799999997</v>
      </c>
      <c r="AW39" s="151">
        <f t="shared" si="52"/>
        <v>1610240.76</v>
      </c>
      <c r="AX39" s="151">
        <f t="shared" si="52"/>
        <v>0</v>
      </c>
      <c r="AY39" s="151">
        <f t="shared" si="52"/>
        <v>0</v>
      </c>
      <c r="AZ39" s="151">
        <f t="shared" si="52"/>
        <v>0</v>
      </c>
      <c r="BA39" s="151">
        <f t="shared" si="52"/>
        <v>0</v>
      </c>
      <c r="BB39" s="151">
        <f t="shared" si="52"/>
        <v>0</v>
      </c>
      <c r="BC39" s="151">
        <f t="shared" si="52"/>
        <v>5291580.9399999995</v>
      </c>
      <c r="BD39" s="151">
        <f t="shared" si="52"/>
        <v>42784.259999999995</v>
      </c>
      <c r="BE39" s="151">
        <f t="shared" si="52"/>
        <v>12814.17</v>
      </c>
      <c r="BF39" s="151">
        <f t="shared" si="52"/>
        <v>0</v>
      </c>
      <c r="BG39" s="151">
        <f t="shared" si="52"/>
        <v>0</v>
      </c>
      <c r="BH39" s="152">
        <f t="shared" si="52"/>
        <v>55598.429999999993</v>
      </c>
      <c r="BI39" s="158">
        <f t="shared" si="52"/>
        <v>3681340.6</v>
      </c>
      <c r="BJ39" s="151">
        <f t="shared" si="52"/>
        <v>114938.53</v>
      </c>
      <c r="BK39" s="151">
        <f t="shared" si="52"/>
        <v>1610240.3399999994</v>
      </c>
      <c r="BL39" s="152">
        <f t="shared" si="52"/>
        <v>-59340.100000000006</v>
      </c>
      <c r="BM39" s="151">
        <f t="shared" si="52"/>
        <v>23670.532997999991</v>
      </c>
      <c r="BN39" s="151">
        <f t="shared" si="52"/>
        <v>7890.1776659999969</v>
      </c>
      <c r="BO39" s="145">
        <f t="shared" si="37"/>
        <v>1582460.9506639994</v>
      </c>
      <c r="BP39" s="159">
        <f>BP30</f>
        <v>5347179.5199999996</v>
      </c>
      <c r="BQ39" s="145">
        <f t="shared" si="38"/>
        <v>0.15000000037252903</v>
      </c>
    </row>
    <row r="40" spans="1:69" s="148" customFormat="1" ht="15" x14ac:dyDescent="0.25">
      <c r="A40" s="1"/>
      <c r="B40" s="1"/>
      <c r="C40" s="11"/>
      <c r="D40" s="11"/>
      <c r="E40" s="180"/>
      <c r="F40" s="151"/>
      <c r="G40" s="151"/>
      <c r="H40" s="151"/>
      <c r="I40" s="151"/>
      <c r="J40" s="151"/>
      <c r="K40" s="151"/>
      <c r="L40" s="151"/>
      <c r="M40" s="151"/>
      <c r="N40" s="152"/>
      <c r="O40" s="158"/>
      <c r="P40" s="151"/>
      <c r="Q40" s="151"/>
      <c r="R40" s="151"/>
      <c r="S40" s="151"/>
      <c r="T40" s="151"/>
      <c r="U40" s="151"/>
      <c r="V40" s="151"/>
      <c r="W40" s="151"/>
      <c r="X40" s="152"/>
      <c r="Y40" s="158"/>
      <c r="Z40" s="151"/>
      <c r="AA40" s="151"/>
      <c r="AB40" s="151"/>
      <c r="AC40" s="151"/>
      <c r="AD40" s="151"/>
      <c r="AE40" s="151"/>
      <c r="AF40" s="151"/>
      <c r="AG40" s="151"/>
      <c r="AH40" s="152"/>
      <c r="AI40" s="158"/>
      <c r="AJ40" s="151"/>
      <c r="AK40" s="151"/>
      <c r="AL40" s="151"/>
      <c r="AM40" s="151"/>
      <c r="AN40" s="151"/>
      <c r="AO40" s="151"/>
      <c r="AP40" s="151"/>
      <c r="AQ40" s="151"/>
      <c r="AR40" s="151"/>
      <c r="AS40" s="151"/>
      <c r="AT40" s="151"/>
      <c r="AU40" s="152"/>
      <c r="AV40" s="158"/>
      <c r="AW40" s="151"/>
      <c r="AX40" s="151"/>
      <c r="AY40" s="151"/>
      <c r="AZ40" s="151"/>
      <c r="BA40" s="151"/>
      <c r="BB40" s="151"/>
      <c r="BC40" s="151"/>
      <c r="BD40" s="151"/>
      <c r="BE40" s="151"/>
      <c r="BF40" s="151"/>
      <c r="BG40" s="151"/>
      <c r="BH40" s="152"/>
      <c r="BI40" s="158"/>
      <c r="BJ40" s="151"/>
      <c r="BK40" s="151"/>
      <c r="BL40" s="152"/>
      <c r="BM40" s="144"/>
      <c r="BN40" s="144"/>
      <c r="BO40" s="145"/>
      <c r="BP40" s="146"/>
      <c r="BQ40" s="145"/>
    </row>
    <row r="41" spans="1:69" s="148" customFormat="1" ht="35.450000000000003" customHeight="1" thickBot="1" x14ac:dyDescent="0.3">
      <c r="A41" s="1"/>
      <c r="B41" s="1"/>
      <c r="C41" s="55" t="s">
        <v>38</v>
      </c>
      <c r="D41" s="11"/>
      <c r="E41" s="180"/>
      <c r="F41" s="151"/>
      <c r="G41" s="151"/>
      <c r="H41" s="151"/>
      <c r="I41" s="151"/>
      <c r="J41" s="151"/>
      <c r="K41" s="151"/>
      <c r="L41" s="151"/>
      <c r="M41" s="151"/>
      <c r="N41" s="152"/>
      <c r="O41" s="158"/>
      <c r="P41" s="151"/>
      <c r="Q41" s="151"/>
      <c r="R41" s="151"/>
      <c r="S41" s="151"/>
      <c r="T41" s="151"/>
      <c r="U41" s="151"/>
      <c r="V41" s="151"/>
      <c r="W41" s="151"/>
      <c r="X41" s="152"/>
      <c r="Y41" s="158"/>
      <c r="Z41" s="151"/>
      <c r="AA41" s="151"/>
      <c r="AB41" s="151"/>
      <c r="AC41" s="151"/>
      <c r="AD41" s="151"/>
      <c r="AE41" s="151"/>
      <c r="AF41" s="151"/>
      <c r="AG41" s="151"/>
      <c r="AH41" s="152"/>
      <c r="AI41" s="158"/>
      <c r="AJ41" s="151"/>
      <c r="AK41" s="151"/>
      <c r="AL41" s="151"/>
      <c r="AM41" s="151"/>
      <c r="AN41" s="151"/>
      <c r="AO41" s="151"/>
      <c r="AP41" s="151"/>
      <c r="AQ41" s="151"/>
      <c r="AR41" s="151"/>
      <c r="AS41" s="151"/>
      <c r="AT41" s="151"/>
      <c r="AU41" s="152"/>
      <c r="AV41" s="158"/>
      <c r="AW41" s="151"/>
      <c r="AX41" s="151"/>
      <c r="AY41" s="151"/>
      <c r="AZ41" s="151"/>
      <c r="BA41" s="151"/>
      <c r="BB41" s="151"/>
      <c r="BC41" s="151"/>
      <c r="BD41" s="151"/>
      <c r="BE41" s="151"/>
      <c r="BF41" s="151"/>
      <c r="BG41" s="151"/>
      <c r="BH41" s="152"/>
      <c r="BI41" s="158"/>
      <c r="BJ41" s="151"/>
      <c r="BK41" s="151"/>
      <c r="BL41" s="152"/>
      <c r="BM41" s="144"/>
      <c r="BN41" s="144"/>
      <c r="BO41" s="145"/>
      <c r="BP41" s="146"/>
      <c r="BQ41" s="145"/>
    </row>
    <row r="42" spans="1:69" s="148" customFormat="1" ht="15" thickBot="1" x14ac:dyDescent="0.25">
      <c r="A42" s="1">
        <v>13</v>
      </c>
      <c r="B42" s="1"/>
      <c r="C42" s="4" t="s">
        <v>44</v>
      </c>
      <c r="D42" s="7">
        <v>1508</v>
      </c>
      <c r="E42" s="179"/>
      <c r="F42" s="150"/>
      <c r="G42" s="150"/>
      <c r="H42" s="150">
        <v>299</v>
      </c>
      <c r="I42" s="151">
        <f t="shared" ref="I42:I60" si="53">E42+F42-G42+H42</f>
        <v>299</v>
      </c>
      <c r="J42" s="150"/>
      <c r="K42" s="150">
        <v>0.27</v>
      </c>
      <c r="L42" s="150"/>
      <c r="M42" s="150"/>
      <c r="N42" s="152">
        <f t="shared" ref="N42:N60" si="54">J42+K42-L42+M42</f>
        <v>0.27</v>
      </c>
      <c r="O42" s="153">
        <f t="shared" ref="O42:O55" si="55">I42</f>
        <v>299</v>
      </c>
      <c r="P42" s="150"/>
      <c r="Q42" s="150"/>
      <c r="R42" s="150"/>
      <c r="S42" s="151">
        <f t="shared" ref="S42:S60" si="56">O42+P42-Q42+SUM(R42:R42)</f>
        <v>299</v>
      </c>
      <c r="T42" s="154">
        <f t="shared" ref="T42:T60" si="57">N42</f>
        <v>0.27</v>
      </c>
      <c r="U42" s="150">
        <v>2.4</v>
      </c>
      <c r="V42" s="150"/>
      <c r="W42" s="150"/>
      <c r="X42" s="152">
        <f t="shared" ref="X42:X60" si="58">T42+U42-V42+W42</f>
        <v>2.67</v>
      </c>
      <c r="Y42" s="153">
        <f t="shared" ref="Y42:Y45" si="59">S42</f>
        <v>299</v>
      </c>
      <c r="Z42" s="150">
        <v>10598</v>
      </c>
      <c r="AA42" s="150"/>
      <c r="AB42" s="150"/>
      <c r="AC42" s="151">
        <f t="shared" ref="AC42:AC60" si="60">Y42+Z42-AA42+SUM(AB42:AB42)</f>
        <v>10897</v>
      </c>
      <c r="AD42" s="154">
        <f t="shared" ref="AD42:AD60" si="61">X42</f>
        <v>2.67</v>
      </c>
      <c r="AE42" s="150">
        <v>21.29</v>
      </c>
      <c r="AF42" s="150"/>
      <c r="AG42" s="150"/>
      <c r="AH42" s="152">
        <f t="shared" ref="AH42:AH45" si="62">AD42+AE42-AF42+AG42</f>
        <v>23.96</v>
      </c>
      <c r="AI42" s="153">
        <f t="shared" ref="AI42:AI56" si="63">AC42</f>
        <v>10897</v>
      </c>
      <c r="AJ42" s="150">
        <v>5290</v>
      </c>
      <c r="AK42" s="150"/>
      <c r="AL42" s="150"/>
      <c r="AM42" s="150"/>
      <c r="AN42" s="150"/>
      <c r="AO42" s="150"/>
      <c r="AP42" s="151">
        <f t="shared" ref="AP42:AP43" si="64">AI42+AJ42-AK42+SUM(AL42:AO42)</f>
        <v>16187</v>
      </c>
      <c r="AQ42" s="154">
        <f t="shared" ref="AQ42:AQ43" si="65">AH42</f>
        <v>23.96</v>
      </c>
      <c r="AR42" s="150">
        <v>225.38</v>
      </c>
      <c r="AS42" s="150"/>
      <c r="AT42" s="150"/>
      <c r="AU42" s="152">
        <f t="shared" ref="AU42:AU55" si="66">AQ42+AR42-AS42+AT42</f>
        <v>249.34</v>
      </c>
      <c r="AV42" s="153">
        <f t="shared" ref="AV42:AV56" si="67">AP42</f>
        <v>16187</v>
      </c>
      <c r="AW42" s="150"/>
      <c r="AX42" s="150"/>
      <c r="AY42" s="150"/>
      <c r="AZ42" s="150"/>
      <c r="BA42" s="150"/>
      <c r="BB42" s="150"/>
      <c r="BC42" s="151">
        <f t="shared" ref="BC42:BC43" si="68">AV42+AW42-AX42+SUM(AY42:BB42)</f>
        <v>16187</v>
      </c>
      <c r="BD42" s="154">
        <f t="shared" ref="BD42:BD43" si="69">AU42</f>
        <v>249.34</v>
      </c>
      <c r="BE42" s="150">
        <v>237.95</v>
      </c>
      <c r="BF42" s="150"/>
      <c r="BG42" s="150"/>
      <c r="BH42" s="152">
        <f t="shared" ref="BH42:BH55" si="70">BD42+BE42-BF42+BG42</f>
        <v>487.28999999999996</v>
      </c>
      <c r="BI42" s="149"/>
      <c r="BJ42" s="150"/>
      <c r="BK42" s="154">
        <f t="shared" ref="BK42:BK60" si="71">BC42-BI42</f>
        <v>16187</v>
      </c>
      <c r="BL42" s="155">
        <f t="shared" ref="BL42:BL60" si="72">BH42-BJ42</f>
        <v>487.28999999999996</v>
      </c>
      <c r="BM42" s="156">
        <f>BK42*0.0147</f>
        <v>237.94889999999998</v>
      </c>
      <c r="BN42" s="150">
        <f>BK42*0.0147*4/12</f>
        <v>79.316299999999998</v>
      </c>
      <c r="BO42" s="145">
        <f t="shared" si="37"/>
        <v>16991.555199999999</v>
      </c>
      <c r="BP42" s="157">
        <f>16187+487.3</f>
        <v>16674.3</v>
      </c>
      <c r="BQ42" s="145">
        <f t="shared" ref="BQ42:BQ68" si="73">BP42-SUM(BC42,BH42)</f>
        <v>9.9999999983992893E-3</v>
      </c>
    </row>
    <row r="43" spans="1:69" s="148" customFormat="1" ht="15" thickBot="1" x14ac:dyDescent="0.25">
      <c r="A43" s="1">
        <v>14</v>
      </c>
      <c r="B43" s="1"/>
      <c r="C43" s="4" t="s">
        <v>45</v>
      </c>
      <c r="D43" s="7">
        <v>1508</v>
      </c>
      <c r="E43" s="179"/>
      <c r="F43" s="150"/>
      <c r="G43" s="150"/>
      <c r="H43" s="150">
        <v>4141.3599999999997</v>
      </c>
      <c r="I43" s="151">
        <f>E43+F43-G43+H43</f>
        <v>4141.3599999999997</v>
      </c>
      <c r="J43" s="150"/>
      <c r="K43" s="150">
        <v>7.08</v>
      </c>
      <c r="L43" s="150"/>
      <c r="M43" s="150"/>
      <c r="N43" s="152">
        <f>J43+K43-L43+M43</f>
        <v>7.08</v>
      </c>
      <c r="O43" s="153">
        <f>I43</f>
        <v>4141.3599999999997</v>
      </c>
      <c r="P43" s="150">
        <v>3099.03</v>
      </c>
      <c r="Q43" s="150"/>
      <c r="R43" s="150"/>
      <c r="S43" s="151">
        <f t="shared" si="56"/>
        <v>7240.3899999999994</v>
      </c>
      <c r="T43" s="154">
        <f t="shared" si="57"/>
        <v>7.08</v>
      </c>
      <c r="U43" s="150">
        <v>54</v>
      </c>
      <c r="V43" s="150"/>
      <c r="W43" s="150"/>
      <c r="X43" s="152">
        <f>T43+U43-V43+W43</f>
        <v>61.08</v>
      </c>
      <c r="Y43" s="153">
        <f t="shared" si="59"/>
        <v>7240.3899999999994</v>
      </c>
      <c r="Z43" s="150"/>
      <c r="AA43" s="150">
        <v>4141.3599999999997</v>
      </c>
      <c r="AB43" s="150"/>
      <c r="AC43" s="151">
        <f t="shared" si="60"/>
        <v>3099.0299999999997</v>
      </c>
      <c r="AD43" s="154">
        <f t="shared" si="61"/>
        <v>61.08</v>
      </c>
      <c r="AE43" s="150">
        <f>19.07+AF43</f>
        <v>75.740000000000009</v>
      </c>
      <c r="AF43" s="150">
        <v>56.67</v>
      </c>
      <c r="AG43" s="150"/>
      <c r="AH43" s="152">
        <f t="shared" si="62"/>
        <v>80.149999999999991</v>
      </c>
      <c r="AI43" s="153">
        <f t="shared" si="63"/>
        <v>3099.0299999999997</v>
      </c>
      <c r="AJ43" s="150"/>
      <c r="AK43" s="150"/>
      <c r="AL43" s="150"/>
      <c r="AM43" s="150"/>
      <c r="AN43" s="150"/>
      <c r="AO43" s="150"/>
      <c r="AP43" s="151">
        <f t="shared" si="64"/>
        <v>3099.0299999999997</v>
      </c>
      <c r="AQ43" s="154">
        <f t="shared" si="65"/>
        <v>80.149999999999991</v>
      </c>
      <c r="AR43" s="150">
        <v>45.56</v>
      </c>
      <c r="AS43" s="150"/>
      <c r="AT43" s="150"/>
      <c r="AU43" s="152">
        <f t="shared" si="66"/>
        <v>125.71</v>
      </c>
      <c r="AV43" s="153">
        <f t="shared" si="67"/>
        <v>3099.0299999999997</v>
      </c>
      <c r="AW43" s="150">
        <v>3452.54</v>
      </c>
      <c r="AX43" s="150"/>
      <c r="AY43" s="150"/>
      <c r="AZ43" s="150"/>
      <c r="BA43" s="150"/>
      <c r="BB43" s="150"/>
      <c r="BC43" s="151">
        <f t="shared" si="68"/>
        <v>6551.57</v>
      </c>
      <c r="BD43" s="154">
        <f t="shared" si="69"/>
        <v>125.71</v>
      </c>
      <c r="BE43" s="150">
        <v>63.3</v>
      </c>
      <c r="BF43" s="150"/>
      <c r="BG43" s="150"/>
      <c r="BH43" s="152">
        <f t="shared" si="70"/>
        <v>189.01</v>
      </c>
      <c r="BI43" s="149"/>
      <c r="BJ43" s="150"/>
      <c r="BK43" s="154">
        <f t="shared" si="71"/>
        <v>6551.57</v>
      </c>
      <c r="BL43" s="155">
        <f t="shared" si="72"/>
        <v>189.01</v>
      </c>
      <c r="BM43" s="156">
        <f>BK43*0.0147</f>
        <v>96.308078999999992</v>
      </c>
      <c r="BN43" s="150">
        <f>BK43*0.0147*4/12</f>
        <v>32.102692999999995</v>
      </c>
      <c r="BO43" s="145">
        <f t="shared" si="37"/>
        <v>6868.9907720000001</v>
      </c>
      <c r="BP43" s="157">
        <f>6551.57+189</f>
        <v>6740.57</v>
      </c>
      <c r="BQ43" s="145">
        <f t="shared" si="73"/>
        <v>-1.0000000000218279E-2</v>
      </c>
    </row>
    <row r="44" spans="1:69" s="148" customFormat="1" ht="31.5" thickBot="1" x14ac:dyDescent="0.25">
      <c r="A44" s="1">
        <v>15</v>
      </c>
      <c r="B44" s="1"/>
      <c r="C44" s="31" t="s">
        <v>69</v>
      </c>
      <c r="D44" s="7">
        <v>1508</v>
      </c>
      <c r="E44" s="180"/>
      <c r="F44" s="160"/>
      <c r="G44" s="160"/>
      <c r="H44" s="160"/>
      <c r="I44" s="151"/>
      <c r="J44" s="154"/>
      <c r="K44" s="160"/>
      <c r="L44" s="160"/>
      <c r="M44" s="160"/>
      <c r="N44" s="152"/>
      <c r="O44" s="153"/>
      <c r="P44" s="160"/>
      <c r="Q44" s="160"/>
      <c r="R44" s="160"/>
      <c r="S44" s="151"/>
      <c r="T44" s="154"/>
      <c r="U44" s="160"/>
      <c r="V44" s="160"/>
      <c r="W44" s="160"/>
      <c r="X44" s="152"/>
      <c r="Y44" s="153">
        <f t="shared" si="59"/>
        <v>0</v>
      </c>
      <c r="Z44" s="150"/>
      <c r="AA44" s="150"/>
      <c r="AB44" s="150"/>
      <c r="AC44" s="151">
        <f t="shared" si="60"/>
        <v>0</v>
      </c>
      <c r="AD44" s="154">
        <f t="shared" si="61"/>
        <v>0</v>
      </c>
      <c r="AE44" s="150"/>
      <c r="AF44" s="150"/>
      <c r="AG44" s="150"/>
      <c r="AH44" s="152">
        <f t="shared" si="62"/>
        <v>0</v>
      </c>
      <c r="AI44" s="153">
        <f t="shared" si="63"/>
        <v>0</v>
      </c>
      <c r="AJ44" s="150"/>
      <c r="AK44" s="150"/>
      <c r="AL44" s="150"/>
      <c r="AM44" s="150"/>
      <c r="AN44" s="150"/>
      <c r="AO44" s="150"/>
      <c r="AP44" s="151">
        <f>AI44+AJ44-AK44+SUM(AL44:AO44)</f>
        <v>0</v>
      </c>
      <c r="AQ44" s="154">
        <f>AH44</f>
        <v>0</v>
      </c>
      <c r="AR44" s="150"/>
      <c r="AS44" s="150"/>
      <c r="AT44" s="150"/>
      <c r="AU44" s="152">
        <f t="shared" si="66"/>
        <v>0</v>
      </c>
      <c r="AV44" s="153">
        <f t="shared" si="67"/>
        <v>0</v>
      </c>
      <c r="AW44" s="150"/>
      <c r="AX44" s="150"/>
      <c r="AY44" s="150"/>
      <c r="AZ44" s="150"/>
      <c r="BA44" s="150"/>
      <c r="BB44" s="150"/>
      <c r="BC44" s="151">
        <f>AV44+AW44-AX44+SUM(AY44:BB44)</f>
        <v>0</v>
      </c>
      <c r="BD44" s="154">
        <f>AU44</f>
        <v>0</v>
      </c>
      <c r="BE44" s="150"/>
      <c r="BF44" s="150"/>
      <c r="BG44" s="150"/>
      <c r="BH44" s="152">
        <f t="shared" si="70"/>
        <v>0</v>
      </c>
      <c r="BI44" s="149"/>
      <c r="BJ44" s="150"/>
      <c r="BK44" s="154">
        <f t="shared" si="71"/>
        <v>0</v>
      </c>
      <c r="BL44" s="155">
        <f t="shared" si="72"/>
        <v>0</v>
      </c>
      <c r="BM44" s="156"/>
      <c r="BN44" s="150"/>
      <c r="BO44" s="145">
        <f t="shared" si="37"/>
        <v>0</v>
      </c>
      <c r="BP44" s="157"/>
      <c r="BQ44" s="145">
        <f t="shared" si="73"/>
        <v>0</v>
      </c>
    </row>
    <row r="45" spans="1:69" s="148" customFormat="1" ht="29.25" thickBot="1" x14ac:dyDescent="0.25">
      <c r="A45" s="1">
        <v>16</v>
      </c>
      <c r="B45" s="1"/>
      <c r="C45" s="31" t="s">
        <v>58</v>
      </c>
      <c r="D45" s="7">
        <v>1508</v>
      </c>
      <c r="E45" s="180"/>
      <c r="F45" s="160"/>
      <c r="G45" s="160"/>
      <c r="H45" s="160"/>
      <c r="I45" s="151"/>
      <c r="J45" s="154"/>
      <c r="K45" s="160"/>
      <c r="L45" s="160"/>
      <c r="M45" s="160"/>
      <c r="N45" s="152"/>
      <c r="O45" s="153"/>
      <c r="P45" s="160"/>
      <c r="Q45" s="160"/>
      <c r="R45" s="160"/>
      <c r="S45" s="151"/>
      <c r="T45" s="154"/>
      <c r="U45" s="160"/>
      <c r="V45" s="160"/>
      <c r="W45" s="160"/>
      <c r="X45" s="152"/>
      <c r="Y45" s="153">
        <f t="shared" si="59"/>
        <v>0</v>
      </c>
      <c r="Z45" s="150"/>
      <c r="AA45" s="150"/>
      <c r="AB45" s="150"/>
      <c r="AC45" s="151">
        <f t="shared" si="60"/>
        <v>0</v>
      </c>
      <c r="AD45" s="154">
        <f t="shared" si="61"/>
        <v>0</v>
      </c>
      <c r="AE45" s="150"/>
      <c r="AF45" s="150"/>
      <c r="AG45" s="150"/>
      <c r="AH45" s="152">
        <f t="shared" si="62"/>
        <v>0</v>
      </c>
      <c r="AI45" s="153">
        <f t="shared" si="63"/>
        <v>0</v>
      </c>
      <c r="AJ45" s="150"/>
      <c r="AK45" s="150"/>
      <c r="AL45" s="150"/>
      <c r="AM45" s="150"/>
      <c r="AN45" s="150"/>
      <c r="AO45" s="150"/>
      <c r="AP45" s="151">
        <f>AI45+AJ45-AK45+SUM(AL45:AO45)</f>
        <v>0</v>
      </c>
      <c r="AQ45" s="154">
        <f>AH45</f>
        <v>0</v>
      </c>
      <c r="AR45" s="150"/>
      <c r="AS45" s="150"/>
      <c r="AT45" s="150"/>
      <c r="AU45" s="152">
        <f t="shared" si="66"/>
        <v>0</v>
      </c>
      <c r="AV45" s="153">
        <f t="shared" si="67"/>
        <v>0</v>
      </c>
      <c r="AW45" s="150"/>
      <c r="AX45" s="150"/>
      <c r="AY45" s="150"/>
      <c r="AZ45" s="150"/>
      <c r="BA45" s="150"/>
      <c r="BB45" s="150"/>
      <c r="BC45" s="151">
        <f>AV45+AW45-AX45+SUM(AY45:BB45)</f>
        <v>0</v>
      </c>
      <c r="BD45" s="154">
        <f>AU45</f>
        <v>0</v>
      </c>
      <c r="BE45" s="150"/>
      <c r="BF45" s="150"/>
      <c r="BG45" s="150"/>
      <c r="BH45" s="152">
        <f t="shared" si="70"/>
        <v>0</v>
      </c>
      <c r="BI45" s="149"/>
      <c r="BJ45" s="150"/>
      <c r="BK45" s="154">
        <f t="shared" si="71"/>
        <v>0</v>
      </c>
      <c r="BL45" s="155">
        <f t="shared" si="72"/>
        <v>0</v>
      </c>
      <c r="BM45" s="156"/>
      <c r="BN45" s="150"/>
      <c r="BO45" s="145">
        <f t="shared" si="37"/>
        <v>0</v>
      </c>
      <c r="BP45" s="157"/>
      <c r="BQ45" s="145">
        <f t="shared" si="73"/>
        <v>0</v>
      </c>
    </row>
    <row r="46" spans="1:69" s="148" customFormat="1" ht="17.25" thickBot="1" x14ac:dyDescent="0.25">
      <c r="A46" s="1">
        <v>17</v>
      </c>
      <c r="B46" s="1"/>
      <c r="C46" s="4" t="s">
        <v>68</v>
      </c>
      <c r="D46" s="7">
        <v>1508</v>
      </c>
      <c r="E46" s="179"/>
      <c r="F46" s="150"/>
      <c r="G46" s="150"/>
      <c r="H46" s="150"/>
      <c r="I46" s="151">
        <f t="shared" si="53"/>
        <v>0</v>
      </c>
      <c r="J46" s="150"/>
      <c r="K46" s="150"/>
      <c r="L46" s="150"/>
      <c r="M46" s="150"/>
      <c r="N46" s="152">
        <f t="shared" si="54"/>
        <v>0</v>
      </c>
      <c r="O46" s="153">
        <f t="shared" si="55"/>
        <v>0</v>
      </c>
      <c r="P46" s="150"/>
      <c r="Q46" s="150"/>
      <c r="R46" s="150"/>
      <c r="S46" s="151">
        <f t="shared" si="56"/>
        <v>0</v>
      </c>
      <c r="T46" s="154">
        <f t="shared" si="57"/>
        <v>0</v>
      </c>
      <c r="U46" s="150"/>
      <c r="V46" s="150"/>
      <c r="W46" s="150"/>
      <c r="X46" s="152">
        <f t="shared" si="58"/>
        <v>0</v>
      </c>
      <c r="Y46" s="153">
        <f t="shared" ref="Y46:Y56" si="74">S46</f>
        <v>0</v>
      </c>
      <c r="Z46" s="150"/>
      <c r="AA46" s="150"/>
      <c r="AB46" s="150"/>
      <c r="AC46" s="151">
        <f t="shared" si="60"/>
        <v>0</v>
      </c>
      <c r="AD46" s="154">
        <f t="shared" si="61"/>
        <v>0</v>
      </c>
      <c r="AE46" s="150"/>
      <c r="AF46" s="150"/>
      <c r="AG46" s="150"/>
      <c r="AH46" s="152">
        <f t="shared" ref="AH46:AH55" si="75">AD46+AE46-AF46+AG46</f>
        <v>0</v>
      </c>
      <c r="AI46" s="153">
        <f t="shared" si="63"/>
        <v>0</v>
      </c>
      <c r="AJ46" s="150"/>
      <c r="AK46" s="150"/>
      <c r="AL46" s="150"/>
      <c r="AM46" s="150"/>
      <c r="AN46" s="150"/>
      <c r="AO46" s="150"/>
      <c r="AP46" s="151">
        <f t="shared" ref="AP46:AP55" si="76">AI46+AJ46-AK46+SUM(AL46:AO46)</f>
        <v>0</v>
      </c>
      <c r="AQ46" s="154">
        <f t="shared" ref="AQ46:AQ55" si="77">AH46</f>
        <v>0</v>
      </c>
      <c r="AR46" s="150"/>
      <c r="AS46" s="150"/>
      <c r="AT46" s="150"/>
      <c r="AU46" s="152">
        <f t="shared" si="66"/>
        <v>0</v>
      </c>
      <c r="AV46" s="153">
        <f t="shared" si="67"/>
        <v>0</v>
      </c>
      <c r="AW46" s="150"/>
      <c r="AX46" s="150"/>
      <c r="AY46" s="150"/>
      <c r="AZ46" s="150"/>
      <c r="BA46" s="150"/>
      <c r="BB46" s="150"/>
      <c r="BC46" s="151">
        <f t="shared" ref="BC46:BC55" si="78">AV46+AW46-AX46+SUM(AY46:BB46)</f>
        <v>0</v>
      </c>
      <c r="BD46" s="154">
        <f t="shared" ref="BD46:BD55" si="79">AU46</f>
        <v>0</v>
      </c>
      <c r="BE46" s="150"/>
      <c r="BF46" s="150"/>
      <c r="BG46" s="150"/>
      <c r="BH46" s="152">
        <f t="shared" si="70"/>
        <v>0</v>
      </c>
      <c r="BI46" s="149"/>
      <c r="BJ46" s="150"/>
      <c r="BK46" s="154">
        <f t="shared" si="71"/>
        <v>0</v>
      </c>
      <c r="BL46" s="155">
        <f t="shared" si="72"/>
        <v>0</v>
      </c>
      <c r="BM46" s="156"/>
      <c r="BN46" s="150"/>
      <c r="BO46" s="145">
        <f t="shared" si="37"/>
        <v>0</v>
      </c>
      <c r="BP46" s="157"/>
      <c r="BQ46" s="145">
        <f t="shared" si="73"/>
        <v>0</v>
      </c>
    </row>
    <row r="47" spans="1:69" s="148" customFormat="1" ht="15" thickBot="1" x14ac:dyDescent="0.25">
      <c r="A47" s="1">
        <v>18</v>
      </c>
      <c r="B47" s="1"/>
      <c r="C47" s="4" t="s">
        <v>4</v>
      </c>
      <c r="D47" s="7">
        <v>1518</v>
      </c>
      <c r="E47" s="179"/>
      <c r="F47" s="150"/>
      <c r="G47" s="150"/>
      <c r="H47" s="150">
        <v>463917.08999999985</v>
      </c>
      <c r="I47" s="151">
        <f t="shared" si="53"/>
        <v>463917.08999999985</v>
      </c>
      <c r="J47" s="150"/>
      <c r="K47" s="150"/>
      <c r="L47" s="150"/>
      <c r="M47" s="150"/>
      <c r="N47" s="152">
        <f t="shared" si="54"/>
        <v>0</v>
      </c>
      <c r="O47" s="153">
        <f t="shared" si="55"/>
        <v>463917.08999999985</v>
      </c>
      <c r="P47" s="150">
        <v>45422.14</v>
      </c>
      <c r="Q47" s="150"/>
      <c r="R47" s="150"/>
      <c r="S47" s="151">
        <f t="shared" si="56"/>
        <v>509339.22999999986</v>
      </c>
      <c r="T47" s="154">
        <f t="shared" si="57"/>
        <v>0</v>
      </c>
      <c r="U47" s="150"/>
      <c r="V47" s="150"/>
      <c r="W47" s="150"/>
      <c r="X47" s="152">
        <f t="shared" si="58"/>
        <v>0</v>
      </c>
      <c r="Y47" s="153">
        <f t="shared" si="74"/>
        <v>509339.22999999986</v>
      </c>
      <c r="Z47" s="150">
        <f>-434425.96+360.28+AA47</f>
        <v>29851.409999999974</v>
      </c>
      <c r="AA47" s="150">
        <f>464277.37-360.28</f>
        <v>463917.08999999997</v>
      </c>
      <c r="AB47" s="150"/>
      <c r="AC47" s="151">
        <f t="shared" si="60"/>
        <v>75273.54999999993</v>
      </c>
      <c r="AD47" s="154">
        <f t="shared" si="61"/>
        <v>0</v>
      </c>
      <c r="AE47" s="150"/>
      <c r="AF47" s="150"/>
      <c r="AG47" s="150"/>
      <c r="AH47" s="152">
        <f t="shared" si="75"/>
        <v>0</v>
      </c>
      <c r="AI47" s="153">
        <f t="shared" si="63"/>
        <v>75273.54999999993</v>
      </c>
      <c r="AJ47" s="150">
        <v>33782.519999999997</v>
      </c>
      <c r="AK47" s="150"/>
      <c r="AL47" s="150"/>
      <c r="AM47" s="150"/>
      <c r="AN47" s="150"/>
      <c r="AO47" s="150"/>
      <c r="AP47" s="151">
        <f t="shared" si="76"/>
        <v>109056.06999999992</v>
      </c>
      <c r="AQ47" s="154">
        <f t="shared" si="77"/>
        <v>0</v>
      </c>
      <c r="AR47" s="150"/>
      <c r="AS47" s="150"/>
      <c r="AT47" s="150"/>
      <c r="AU47" s="152">
        <f t="shared" si="66"/>
        <v>0</v>
      </c>
      <c r="AV47" s="153">
        <f t="shared" si="67"/>
        <v>109056.06999999992</v>
      </c>
      <c r="AW47" s="150">
        <v>29697.16</v>
      </c>
      <c r="AX47" s="150"/>
      <c r="AY47" s="150"/>
      <c r="AZ47" s="150"/>
      <c r="BA47" s="150"/>
      <c r="BB47" s="150"/>
      <c r="BC47" s="151">
        <f t="shared" si="78"/>
        <v>138753.22999999992</v>
      </c>
      <c r="BD47" s="154">
        <f t="shared" si="79"/>
        <v>0</v>
      </c>
      <c r="BE47" s="150"/>
      <c r="BF47" s="150"/>
      <c r="BG47" s="150"/>
      <c r="BH47" s="152">
        <f t="shared" si="70"/>
        <v>0</v>
      </c>
      <c r="BI47" s="149"/>
      <c r="BJ47" s="150"/>
      <c r="BK47" s="154">
        <f t="shared" si="71"/>
        <v>138753.22999999992</v>
      </c>
      <c r="BL47" s="155">
        <f t="shared" si="72"/>
        <v>0</v>
      </c>
      <c r="BM47" s="156"/>
      <c r="BN47" s="150"/>
      <c r="BO47" s="145">
        <f t="shared" si="37"/>
        <v>138753.22999999992</v>
      </c>
      <c r="BP47" s="157">
        <v>138753.23000000001</v>
      </c>
      <c r="BQ47" s="145">
        <f t="shared" si="73"/>
        <v>0</v>
      </c>
    </row>
    <row r="48" spans="1:69" s="148" customFormat="1" ht="15" thickBot="1" x14ac:dyDescent="0.25">
      <c r="A48" s="1">
        <v>19</v>
      </c>
      <c r="B48" s="1"/>
      <c r="C48" s="4" t="s">
        <v>9</v>
      </c>
      <c r="D48" s="7">
        <v>1525</v>
      </c>
      <c r="E48" s="181"/>
      <c r="F48" s="162"/>
      <c r="G48" s="162"/>
      <c r="H48" s="162"/>
      <c r="I48" s="151">
        <f t="shared" si="53"/>
        <v>0</v>
      </c>
      <c r="J48" s="162"/>
      <c r="K48" s="162"/>
      <c r="L48" s="162"/>
      <c r="M48" s="162"/>
      <c r="N48" s="152">
        <f t="shared" si="54"/>
        <v>0</v>
      </c>
      <c r="O48" s="153">
        <f t="shared" si="55"/>
        <v>0</v>
      </c>
      <c r="P48" s="150"/>
      <c r="Q48" s="150"/>
      <c r="R48" s="150"/>
      <c r="S48" s="151">
        <f t="shared" si="56"/>
        <v>0</v>
      </c>
      <c r="T48" s="154">
        <f t="shared" si="57"/>
        <v>0</v>
      </c>
      <c r="U48" s="150"/>
      <c r="V48" s="162"/>
      <c r="W48" s="162"/>
      <c r="X48" s="152">
        <f t="shared" si="58"/>
        <v>0</v>
      </c>
      <c r="Y48" s="153">
        <f t="shared" si="74"/>
        <v>0</v>
      </c>
      <c r="Z48" s="150"/>
      <c r="AA48" s="150"/>
      <c r="AB48" s="150"/>
      <c r="AC48" s="151">
        <f t="shared" si="60"/>
        <v>0</v>
      </c>
      <c r="AD48" s="154">
        <f t="shared" si="61"/>
        <v>0</v>
      </c>
      <c r="AE48" s="150"/>
      <c r="AF48" s="162"/>
      <c r="AG48" s="162"/>
      <c r="AH48" s="152">
        <f t="shared" si="75"/>
        <v>0</v>
      </c>
      <c r="AI48" s="153">
        <f t="shared" si="63"/>
        <v>0</v>
      </c>
      <c r="AJ48" s="150"/>
      <c r="AK48" s="150"/>
      <c r="AL48" s="150"/>
      <c r="AM48" s="150"/>
      <c r="AN48" s="150"/>
      <c r="AO48" s="150"/>
      <c r="AP48" s="151">
        <f t="shared" si="76"/>
        <v>0</v>
      </c>
      <c r="AQ48" s="154">
        <f t="shared" si="77"/>
        <v>0</v>
      </c>
      <c r="AR48" s="150"/>
      <c r="AS48" s="162"/>
      <c r="AT48" s="162"/>
      <c r="AU48" s="152">
        <f t="shared" si="66"/>
        <v>0</v>
      </c>
      <c r="AV48" s="153">
        <f t="shared" si="67"/>
        <v>0</v>
      </c>
      <c r="AW48" s="150"/>
      <c r="AX48" s="150"/>
      <c r="AY48" s="150"/>
      <c r="AZ48" s="150"/>
      <c r="BA48" s="150"/>
      <c r="BB48" s="150"/>
      <c r="BC48" s="151">
        <f t="shared" si="78"/>
        <v>0</v>
      </c>
      <c r="BD48" s="154">
        <f t="shared" si="79"/>
        <v>0</v>
      </c>
      <c r="BE48" s="150"/>
      <c r="BF48" s="162"/>
      <c r="BG48" s="162"/>
      <c r="BH48" s="152">
        <f t="shared" si="70"/>
        <v>0</v>
      </c>
      <c r="BI48" s="149"/>
      <c r="BJ48" s="150"/>
      <c r="BK48" s="154">
        <f t="shared" si="71"/>
        <v>0</v>
      </c>
      <c r="BL48" s="155">
        <f t="shared" si="72"/>
        <v>0</v>
      </c>
      <c r="BM48" s="156"/>
      <c r="BN48" s="150"/>
      <c r="BO48" s="145">
        <f t="shared" si="37"/>
        <v>0</v>
      </c>
      <c r="BP48" s="157"/>
      <c r="BQ48" s="145">
        <f t="shared" si="73"/>
        <v>0</v>
      </c>
    </row>
    <row r="49" spans="1:69" s="148" customFormat="1" ht="15" thickBot="1" x14ac:dyDescent="0.25">
      <c r="A49" s="1">
        <v>20</v>
      </c>
      <c r="B49" s="1"/>
      <c r="C49" s="4" t="s">
        <v>41</v>
      </c>
      <c r="D49" s="7">
        <v>1531</v>
      </c>
      <c r="E49" s="182"/>
      <c r="F49" s="162"/>
      <c r="G49" s="162"/>
      <c r="H49" s="162"/>
      <c r="I49" s="151">
        <f t="shared" si="53"/>
        <v>0</v>
      </c>
      <c r="J49" s="162"/>
      <c r="K49" s="162"/>
      <c r="L49" s="162"/>
      <c r="M49" s="162"/>
      <c r="N49" s="152">
        <f t="shared" si="54"/>
        <v>0</v>
      </c>
      <c r="O49" s="153">
        <f t="shared" si="55"/>
        <v>0</v>
      </c>
      <c r="P49" s="150"/>
      <c r="Q49" s="150"/>
      <c r="R49" s="150"/>
      <c r="S49" s="151">
        <f t="shared" si="56"/>
        <v>0</v>
      </c>
      <c r="T49" s="154">
        <f t="shared" si="57"/>
        <v>0</v>
      </c>
      <c r="U49" s="150"/>
      <c r="V49" s="150"/>
      <c r="W49" s="150"/>
      <c r="X49" s="152">
        <f t="shared" si="58"/>
        <v>0</v>
      </c>
      <c r="Y49" s="153">
        <f t="shared" si="74"/>
        <v>0</v>
      </c>
      <c r="Z49" s="150"/>
      <c r="AA49" s="150"/>
      <c r="AB49" s="150"/>
      <c r="AC49" s="151">
        <f t="shared" si="60"/>
        <v>0</v>
      </c>
      <c r="AD49" s="154">
        <f t="shared" si="61"/>
        <v>0</v>
      </c>
      <c r="AE49" s="150"/>
      <c r="AF49" s="150"/>
      <c r="AG49" s="162"/>
      <c r="AH49" s="152">
        <f t="shared" si="75"/>
        <v>0</v>
      </c>
      <c r="AI49" s="153">
        <f t="shared" si="63"/>
        <v>0</v>
      </c>
      <c r="AJ49" s="150"/>
      <c r="AK49" s="150"/>
      <c r="AL49" s="150"/>
      <c r="AM49" s="150"/>
      <c r="AN49" s="150"/>
      <c r="AO49" s="150"/>
      <c r="AP49" s="151">
        <f t="shared" si="76"/>
        <v>0</v>
      </c>
      <c r="AQ49" s="154">
        <f t="shared" si="77"/>
        <v>0</v>
      </c>
      <c r="AR49" s="150"/>
      <c r="AS49" s="150"/>
      <c r="AT49" s="162"/>
      <c r="AU49" s="152">
        <f t="shared" si="66"/>
        <v>0</v>
      </c>
      <c r="AV49" s="153">
        <f t="shared" si="67"/>
        <v>0</v>
      </c>
      <c r="AW49" s="150"/>
      <c r="AX49" s="150"/>
      <c r="AY49" s="150"/>
      <c r="AZ49" s="150"/>
      <c r="BA49" s="150"/>
      <c r="BB49" s="150"/>
      <c r="BC49" s="151">
        <f t="shared" si="78"/>
        <v>0</v>
      </c>
      <c r="BD49" s="154">
        <f t="shared" si="79"/>
        <v>0</v>
      </c>
      <c r="BE49" s="150"/>
      <c r="BF49" s="150"/>
      <c r="BG49" s="162"/>
      <c r="BH49" s="152">
        <f t="shared" si="70"/>
        <v>0</v>
      </c>
      <c r="BI49" s="150"/>
      <c r="BJ49" s="150"/>
      <c r="BK49" s="154">
        <f t="shared" si="71"/>
        <v>0</v>
      </c>
      <c r="BL49" s="155">
        <f t="shared" si="72"/>
        <v>0</v>
      </c>
      <c r="BM49" s="156"/>
      <c r="BN49" s="150"/>
      <c r="BO49" s="145">
        <f t="shared" si="37"/>
        <v>0</v>
      </c>
      <c r="BP49" s="157"/>
      <c r="BQ49" s="145">
        <f t="shared" si="73"/>
        <v>0</v>
      </c>
    </row>
    <row r="50" spans="1:69" s="148" customFormat="1" ht="15" thickBot="1" x14ac:dyDescent="0.25">
      <c r="A50" s="1">
        <v>21</v>
      </c>
      <c r="B50" s="1"/>
      <c r="C50" s="4" t="s">
        <v>42</v>
      </c>
      <c r="D50" s="7">
        <v>1532</v>
      </c>
      <c r="E50" s="182"/>
      <c r="F50" s="162"/>
      <c r="G50" s="162"/>
      <c r="H50" s="162"/>
      <c r="I50" s="151">
        <f t="shared" si="53"/>
        <v>0</v>
      </c>
      <c r="J50" s="162"/>
      <c r="K50" s="162"/>
      <c r="L50" s="162"/>
      <c r="M50" s="162"/>
      <c r="N50" s="152">
        <f t="shared" si="54"/>
        <v>0</v>
      </c>
      <c r="O50" s="153">
        <f t="shared" si="55"/>
        <v>0</v>
      </c>
      <c r="P50" s="150"/>
      <c r="Q50" s="150"/>
      <c r="R50" s="150"/>
      <c r="S50" s="151">
        <f t="shared" si="56"/>
        <v>0</v>
      </c>
      <c r="T50" s="154">
        <f t="shared" si="57"/>
        <v>0</v>
      </c>
      <c r="U50" s="150"/>
      <c r="V50" s="150"/>
      <c r="W50" s="150"/>
      <c r="X50" s="152">
        <f t="shared" si="58"/>
        <v>0</v>
      </c>
      <c r="Y50" s="153">
        <f t="shared" si="74"/>
        <v>0</v>
      </c>
      <c r="Z50" s="150"/>
      <c r="AA50" s="150"/>
      <c r="AB50" s="150"/>
      <c r="AC50" s="151">
        <f t="shared" si="60"/>
        <v>0</v>
      </c>
      <c r="AD50" s="154">
        <f t="shared" si="61"/>
        <v>0</v>
      </c>
      <c r="AE50" s="150"/>
      <c r="AF50" s="150"/>
      <c r="AG50" s="162"/>
      <c r="AH50" s="152">
        <f t="shared" si="75"/>
        <v>0</v>
      </c>
      <c r="AI50" s="153">
        <f t="shared" si="63"/>
        <v>0</v>
      </c>
      <c r="AJ50" s="150"/>
      <c r="AK50" s="150"/>
      <c r="AL50" s="150"/>
      <c r="AM50" s="150"/>
      <c r="AN50" s="150"/>
      <c r="AO50" s="150"/>
      <c r="AP50" s="151">
        <f t="shared" si="76"/>
        <v>0</v>
      </c>
      <c r="AQ50" s="154">
        <f t="shared" si="77"/>
        <v>0</v>
      </c>
      <c r="AR50" s="150"/>
      <c r="AS50" s="150"/>
      <c r="AT50" s="162"/>
      <c r="AU50" s="152">
        <f t="shared" si="66"/>
        <v>0</v>
      </c>
      <c r="AV50" s="153">
        <f t="shared" si="67"/>
        <v>0</v>
      </c>
      <c r="AW50" s="150"/>
      <c r="AX50" s="150"/>
      <c r="AY50" s="150"/>
      <c r="AZ50" s="150"/>
      <c r="BA50" s="150"/>
      <c r="BB50" s="150"/>
      <c r="BC50" s="151">
        <f t="shared" si="78"/>
        <v>0</v>
      </c>
      <c r="BD50" s="154">
        <f t="shared" si="79"/>
        <v>0</v>
      </c>
      <c r="BE50" s="150"/>
      <c r="BF50" s="150"/>
      <c r="BG50" s="162"/>
      <c r="BH50" s="152">
        <f t="shared" si="70"/>
        <v>0</v>
      </c>
      <c r="BI50" s="150"/>
      <c r="BJ50" s="150"/>
      <c r="BK50" s="154">
        <f t="shared" si="71"/>
        <v>0</v>
      </c>
      <c r="BL50" s="155">
        <f t="shared" si="72"/>
        <v>0</v>
      </c>
      <c r="BM50" s="156"/>
      <c r="BN50" s="150"/>
      <c r="BO50" s="145">
        <f t="shared" si="37"/>
        <v>0</v>
      </c>
      <c r="BP50" s="157"/>
      <c r="BQ50" s="145">
        <f t="shared" si="73"/>
        <v>0</v>
      </c>
    </row>
    <row r="51" spans="1:69" s="148" customFormat="1" ht="15" thickBot="1" x14ac:dyDescent="0.25">
      <c r="A51" s="1">
        <v>22</v>
      </c>
      <c r="B51" s="1"/>
      <c r="C51" s="8" t="s">
        <v>25</v>
      </c>
      <c r="D51" s="7">
        <v>1533</v>
      </c>
      <c r="E51" s="182"/>
      <c r="F51" s="162"/>
      <c r="G51" s="162"/>
      <c r="H51" s="162"/>
      <c r="I51" s="151">
        <f t="shared" si="53"/>
        <v>0</v>
      </c>
      <c r="J51" s="162"/>
      <c r="K51" s="162"/>
      <c r="L51" s="162"/>
      <c r="M51" s="162"/>
      <c r="N51" s="152">
        <f t="shared" si="54"/>
        <v>0</v>
      </c>
      <c r="O51" s="153">
        <f t="shared" si="55"/>
        <v>0</v>
      </c>
      <c r="P51" s="150"/>
      <c r="Q51" s="150"/>
      <c r="R51" s="150"/>
      <c r="S51" s="151">
        <f t="shared" si="56"/>
        <v>0</v>
      </c>
      <c r="T51" s="154">
        <f t="shared" si="57"/>
        <v>0</v>
      </c>
      <c r="U51" s="150"/>
      <c r="V51" s="150"/>
      <c r="W51" s="150"/>
      <c r="X51" s="152">
        <f t="shared" si="58"/>
        <v>0</v>
      </c>
      <c r="Y51" s="153">
        <f t="shared" si="74"/>
        <v>0</v>
      </c>
      <c r="Z51" s="150"/>
      <c r="AA51" s="150"/>
      <c r="AB51" s="150"/>
      <c r="AC51" s="151">
        <f t="shared" si="60"/>
        <v>0</v>
      </c>
      <c r="AD51" s="154">
        <f t="shared" si="61"/>
        <v>0</v>
      </c>
      <c r="AE51" s="150"/>
      <c r="AF51" s="150"/>
      <c r="AG51" s="162"/>
      <c r="AH51" s="152">
        <f t="shared" si="75"/>
        <v>0</v>
      </c>
      <c r="AI51" s="153">
        <f t="shared" si="63"/>
        <v>0</v>
      </c>
      <c r="AJ51" s="150"/>
      <c r="AK51" s="150"/>
      <c r="AL51" s="150"/>
      <c r="AM51" s="150"/>
      <c r="AN51" s="150"/>
      <c r="AO51" s="150"/>
      <c r="AP51" s="151">
        <f t="shared" si="76"/>
        <v>0</v>
      </c>
      <c r="AQ51" s="154">
        <f t="shared" si="77"/>
        <v>0</v>
      </c>
      <c r="AR51" s="150"/>
      <c r="AS51" s="150"/>
      <c r="AT51" s="162"/>
      <c r="AU51" s="152">
        <f t="shared" si="66"/>
        <v>0</v>
      </c>
      <c r="AV51" s="153">
        <f t="shared" si="67"/>
        <v>0</v>
      </c>
      <c r="AW51" s="150"/>
      <c r="AX51" s="150"/>
      <c r="AY51" s="150"/>
      <c r="AZ51" s="150"/>
      <c r="BA51" s="150"/>
      <c r="BB51" s="150"/>
      <c r="BC51" s="151">
        <f t="shared" si="78"/>
        <v>0</v>
      </c>
      <c r="BD51" s="154">
        <f t="shared" si="79"/>
        <v>0</v>
      </c>
      <c r="BE51" s="150"/>
      <c r="BF51" s="150"/>
      <c r="BG51" s="162"/>
      <c r="BH51" s="152">
        <f t="shared" si="70"/>
        <v>0</v>
      </c>
      <c r="BI51" s="150"/>
      <c r="BJ51" s="150"/>
      <c r="BK51" s="154">
        <f t="shared" si="71"/>
        <v>0</v>
      </c>
      <c r="BL51" s="155">
        <f t="shared" si="72"/>
        <v>0</v>
      </c>
      <c r="BM51" s="156"/>
      <c r="BN51" s="150"/>
      <c r="BO51" s="145">
        <f t="shared" si="37"/>
        <v>0</v>
      </c>
      <c r="BP51" s="157"/>
      <c r="BQ51" s="145">
        <f t="shared" si="73"/>
        <v>0</v>
      </c>
    </row>
    <row r="52" spans="1:69" s="148" customFormat="1" ht="15" thickBot="1" x14ac:dyDescent="0.25">
      <c r="A52" s="1">
        <v>23</v>
      </c>
      <c r="B52" s="1"/>
      <c r="C52" s="4" t="s">
        <v>17</v>
      </c>
      <c r="D52" s="7">
        <v>1534</v>
      </c>
      <c r="E52" s="182"/>
      <c r="F52" s="162"/>
      <c r="G52" s="162"/>
      <c r="H52" s="162"/>
      <c r="I52" s="151">
        <f t="shared" si="53"/>
        <v>0</v>
      </c>
      <c r="J52" s="162"/>
      <c r="K52" s="162"/>
      <c r="L52" s="162"/>
      <c r="M52" s="162"/>
      <c r="N52" s="152">
        <f t="shared" si="54"/>
        <v>0</v>
      </c>
      <c r="O52" s="153">
        <f t="shared" si="55"/>
        <v>0</v>
      </c>
      <c r="P52" s="150"/>
      <c r="Q52" s="150"/>
      <c r="R52" s="150"/>
      <c r="S52" s="151">
        <f t="shared" si="56"/>
        <v>0</v>
      </c>
      <c r="T52" s="154">
        <f t="shared" si="57"/>
        <v>0</v>
      </c>
      <c r="U52" s="150"/>
      <c r="V52" s="150"/>
      <c r="W52" s="150"/>
      <c r="X52" s="152">
        <f t="shared" si="58"/>
        <v>0</v>
      </c>
      <c r="Y52" s="153">
        <f t="shared" si="74"/>
        <v>0</v>
      </c>
      <c r="Z52" s="150"/>
      <c r="AA52" s="150"/>
      <c r="AB52" s="150"/>
      <c r="AC52" s="151">
        <f t="shared" si="60"/>
        <v>0</v>
      </c>
      <c r="AD52" s="154">
        <f t="shared" si="61"/>
        <v>0</v>
      </c>
      <c r="AE52" s="150"/>
      <c r="AF52" s="150"/>
      <c r="AG52" s="162"/>
      <c r="AH52" s="152">
        <f t="shared" si="75"/>
        <v>0</v>
      </c>
      <c r="AI52" s="153">
        <f t="shared" si="63"/>
        <v>0</v>
      </c>
      <c r="AJ52" s="150"/>
      <c r="AK52" s="150"/>
      <c r="AL52" s="150"/>
      <c r="AM52" s="150"/>
      <c r="AN52" s="150"/>
      <c r="AO52" s="150"/>
      <c r="AP52" s="151">
        <f t="shared" si="76"/>
        <v>0</v>
      </c>
      <c r="AQ52" s="154">
        <f t="shared" si="77"/>
        <v>0</v>
      </c>
      <c r="AR52" s="150"/>
      <c r="AS52" s="150"/>
      <c r="AT52" s="162"/>
      <c r="AU52" s="152">
        <f t="shared" si="66"/>
        <v>0</v>
      </c>
      <c r="AV52" s="153">
        <f t="shared" si="67"/>
        <v>0</v>
      </c>
      <c r="AW52" s="150"/>
      <c r="AX52" s="150"/>
      <c r="AY52" s="150"/>
      <c r="AZ52" s="150"/>
      <c r="BA52" s="150"/>
      <c r="BB52" s="150"/>
      <c r="BC52" s="151">
        <f t="shared" si="78"/>
        <v>0</v>
      </c>
      <c r="BD52" s="154">
        <f t="shared" si="79"/>
        <v>0</v>
      </c>
      <c r="BE52" s="150"/>
      <c r="BF52" s="150"/>
      <c r="BG52" s="162"/>
      <c r="BH52" s="152">
        <f t="shared" si="70"/>
        <v>0</v>
      </c>
      <c r="BI52" s="150"/>
      <c r="BJ52" s="150"/>
      <c r="BK52" s="154">
        <f t="shared" si="71"/>
        <v>0</v>
      </c>
      <c r="BL52" s="155">
        <f t="shared" si="72"/>
        <v>0</v>
      </c>
      <c r="BM52" s="156"/>
      <c r="BN52" s="150"/>
      <c r="BO52" s="145">
        <f t="shared" si="37"/>
        <v>0</v>
      </c>
      <c r="BP52" s="157"/>
      <c r="BQ52" s="145">
        <f t="shared" si="73"/>
        <v>0</v>
      </c>
    </row>
    <row r="53" spans="1:69" s="148" customFormat="1" ht="15" thickBot="1" x14ac:dyDescent="0.25">
      <c r="A53" s="1">
        <v>24</v>
      </c>
      <c r="B53" s="1"/>
      <c r="C53" s="4" t="s">
        <v>18</v>
      </c>
      <c r="D53" s="7">
        <v>1535</v>
      </c>
      <c r="E53" s="182"/>
      <c r="F53" s="162"/>
      <c r="G53" s="162"/>
      <c r="H53" s="162"/>
      <c r="I53" s="151">
        <f t="shared" si="53"/>
        <v>0</v>
      </c>
      <c r="J53" s="162"/>
      <c r="K53" s="162"/>
      <c r="L53" s="162"/>
      <c r="M53" s="162"/>
      <c r="N53" s="152">
        <f t="shared" si="54"/>
        <v>0</v>
      </c>
      <c r="O53" s="153">
        <f t="shared" si="55"/>
        <v>0</v>
      </c>
      <c r="P53" s="150">
        <v>12398.62</v>
      </c>
      <c r="Q53" s="150"/>
      <c r="R53" s="150"/>
      <c r="S53" s="151">
        <f t="shared" si="56"/>
        <v>12398.62</v>
      </c>
      <c r="T53" s="154">
        <f t="shared" si="57"/>
        <v>0</v>
      </c>
      <c r="U53" s="150"/>
      <c r="V53" s="150"/>
      <c r="W53" s="150"/>
      <c r="X53" s="152">
        <f t="shared" si="58"/>
        <v>0</v>
      </c>
      <c r="Y53" s="153">
        <f t="shared" si="74"/>
        <v>12398.62</v>
      </c>
      <c r="Z53" s="150">
        <v>6322.34</v>
      </c>
      <c r="AA53" s="150"/>
      <c r="AB53" s="150"/>
      <c r="AC53" s="151">
        <f t="shared" si="60"/>
        <v>18720.96</v>
      </c>
      <c r="AD53" s="154">
        <f t="shared" si="61"/>
        <v>0</v>
      </c>
      <c r="AE53" s="150"/>
      <c r="AF53" s="150"/>
      <c r="AG53" s="162"/>
      <c r="AH53" s="152">
        <f t="shared" si="75"/>
        <v>0</v>
      </c>
      <c r="AI53" s="153">
        <f t="shared" si="63"/>
        <v>18720.96</v>
      </c>
      <c r="AJ53" s="150"/>
      <c r="AK53" s="150"/>
      <c r="AL53" s="150"/>
      <c r="AM53" s="150"/>
      <c r="AN53" s="150"/>
      <c r="AO53" s="150"/>
      <c r="AP53" s="151">
        <f t="shared" si="76"/>
        <v>18720.96</v>
      </c>
      <c r="AQ53" s="154">
        <f t="shared" si="77"/>
        <v>0</v>
      </c>
      <c r="AR53" s="150"/>
      <c r="AS53" s="150"/>
      <c r="AT53" s="162"/>
      <c r="AU53" s="152">
        <f t="shared" si="66"/>
        <v>0</v>
      </c>
      <c r="AV53" s="153">
        <f t="shared" si="67"/>
        <v>18720.96</v>
      </c>
      <c r="AW53" s="150"/>
      <c r="AX53" s="150"/>
      <c r="AY53" s="150"/>
      <c r="AZ53" s="150"/>
      <c r="BA53" s="150"/>
      <c r="BB53" s="150"/>
      <c r="BC53" s="151">
        <f t="shared" si="78"/>
        <v>18720.96</v>
      </c>
      <c r="BD53" s="154">
        <f t="shared" si="79"/>
        <v>0</v>
      </c>
      <c r="BE53" s="150"/>
      <c r="BF53" s="150"/>
      <c r="BG53" s="162"/>
      <c r="BH53" s="152">
        <f t="shared" si="70"/>
        <v>0</v>
      </c>
      <c r="BI53" s="150"/>
      <c r="BJ53" s="150"/>
      <c r="BK53" s="154">
        <f t="shared" si="71"/>
        <v>18720.96</v>
      </c>
      <c r="BL53" s="155">
        <f t="shared" si="72"/>
        <v>0</v>
      </c>
      <c r="BM53" s="156">
        <f>BK53*0.0147</f>
        <v>275.19811199999998</v>
      </c>
      <c r="BN53" s="150">
        <f>BK53*0.0147*4/12</f>
        <v>91.732703999999998</v>
      </c>
      <c r="BO53" s="145">
        <f t="shared" si="37"/>
        <v>19087.890815999996</v>
      </c>
      <c r="BP53" s="157">
        <v>18720.96</v>
      </c>
      <c r="BQ53" s="145">
        <f t="shared" si="73"/>
        <v>0</v>
      </c>
    </row>
    <row r="54" spans="1:69" s="148" customFormat="1" ht="15" thickBot="1" x14ac:dyDescent="0.25">
      <c r="A54" s="1">
        <v>25</v>
      </c>
      <c r="B54" s="1"/>
      <c r="C54" s="4" t="s">
        <v>23</v>
      </c>
      <c r="D54" s="7">
        <v>1536</v>
      </c>
      <c r="E54" s="182"/>
      <c r="F54" s="162"/>
      <c r="G54" s="162"/>
      <c r="H54" s="162"/>
      <c r="I54" s="151">
        <f t="shared" si="53"/>
        <v>0</v>
      </c>
      <c r="J54" s="162"/>
      <c r="K54" s="162"/>
      <c r="L54" s="162"/>
      <c r="M54" s="162"/>
      <c r="N54" s="152">
        <f t="shared" si="54"/>
        <v>0</v>
      </c>
      <c r="O54" s="153">
        <f t="shared" si="55"/>
        <v>0</v>
      </c>
      <c r="P54" s="150"/>
      <c r="Q54" s="150"/>
      <c r="R54" s="150"/>
      <c r="S54" s="151">
        <f t="shared" si="56"/>
        <v>0</v>
      </c>
      <c r="T54" s="154">
        <f t="shared" si="57"/>
        <v>0</v>
      </c>
      <c r="U54" s="150"/>
      <c r="V54" s="150"/>
      <c r="W54" s="150"/>
      <c r="X54" s="152">
        <f t="shared" si="58"/>
        <v>0</v>
      </c>
      <c r="Y54" s="153">
        <f t="shared" si="74"/>
        <v>0</v>
      </c>
      <c r="Z54" s="150"/>
      <c r="AA54" s="150"/>
      <c r="AB54" s="150"/>
      <c r="AC54" s="151">
        <f t="shared" si="60"/>
        <v>0</v>
      </c>
      <c r="AD54" s="154">
        <f t="shared" si="61"/>
        <v>0</v>
      </c>
      <c r="AE54" s="150"/>
      <c r="AF54" s="150"/>
      <c r="AG54" s="162"/>
      <c r="AH54" s="152">
        <f t="shared" si="75"/>
        <v>0</v>
      </c>
      <c r="AI54" s="153">
        <f t="shared" si="63"/>
        <v>0</v>
      </c>
      <c r="AJ54" s="150"/>
      <c r="AK54" s="150"/>
      <c r="AL54" s="150"/>
      <c r="AM54" s="150"/>
      <c r="AN54" s="150"/>
      <c r="AO54" s="150"/>
      <c r="AP54" s="151">
        <f t="shared" si="76"/>
        <v>0</v>
      </c>
      <c r="AQ54" s="154">
        <f t="shared" si="77"/>
        <v>0</v>
      </c>
      <c r="AR54" s="150"/>
      <c r="AS54" s="150"/>
      <c r="AT54" s="162"/>
      <c r="AU54" s="152">
        <f t="shared" si="66"/>
        <v>0</v>
      </c>
      <c r="AV54" s="153">
        <f t="shared" si="67"/>
        <v>0</v>
      </c>
      <c r="AW54" s="150"/>
      <c r="AX54" s="150"/>
      <c r="AY54" s="150"/>
      <c r="AZ54" s="150"/>
      <c r="BA54" s="150"/>
      <c r="BB54" s="150"/>
      <c r="BC54" s="151">
        <f t="shared" si="78"/>
        <v>0</v>
      </c>
      <c r="BD54" s="154">
        <f t="shared" si="79"/>
        <v>0</v>
      </c>
      <c r="BE54" s="150"/>
      <c r="BF54" s="150"/>
      <c r="BG54" s="162"/>
      <c r="BH54" s="152">
        <f t="shared" si="70"/>
        <v>0</v>
      </c>
      <c r="BI54" s="150"/>
      <c r="BJ54" s="150"/>
      <c r="BK54" s="154">
        <f t="shared" si="71"/>
        <v>0</v>
      </c>
      <c r="BL54" s="155">
        <f t="shared" si="72"/>
        <v>0</v>
      </c>
      <c r="BM54" s="156"/>
      <c r="BN54" s="150"/>
      <c r="BO54" s="145">
        <f t="shared" si="37"/>
        <v>0</v>
      </c>
      <c r="BP54" s="157"/>
      <c r="BQ54" s="145">
        <f t="shared" si="73"/>
        <v>0</v>
      </c>
    </row>
    <row r="55" spans="1:69" s="148" customFormat="1" ht="15" thickBot="1" x14ac:dyDescent="0.25">
      <c r="A55" s="1">
        <v>26</v>
      </c>
      <c r="B55" s="1"/>
      <c r="C55" s="4" t="s">
        <v>5</v>
      </c>
      <c r="D55" s="7">
        <v>1548</v>
      </c>
      <c r="E55" s="181"/>
      <c r="F55" s="162"/>
      <c r="G55" s="162"/>
      <c r="H55" s="162">
        <v>343178.04000000004</v>
      </c>
      <c r="I55" s="151">
        <f t="shared" si="53"/>
        <v>343178.04000000004</v>
      </c>
      <c r="J55" s="150"/>
      <c r="K55" s="150"/>
      <c r="L55" s="150"/>
      <c r="M55" s="150"/>
      <c r="N55" s="152">
        <f t="shared" si="54"/>
        <v>0</v>
      </c>
      <c r="O55" s="153">
        <f t="shared" si="55"/>
        <v>343178.04000000004</v>
      </c>
      <c r="P55" s="150">
        <v>56863.92</v>
      </c>
      <c r="Q55" s="150"/>
      <c r="R55" s="150"/>
      <c r="S55" s="151">
        <f t="shared" si="56"/>
        <v>400041.96</v>
      </c>
      <c r="T55" s="154">
        <f t="shared" si="57"/>
        <v>0</v>
      </c>
      <c r="U55" s="150"/>
      <c r="V55" s="163"/>
      <c r="W55" s="163"/>
      <c r="X55" s="152">
        <f t="shared" si="58"/>
        <v>0</v>
      </c>
      <c r="Y55" s="153">
        <f t="shared" si="74"/>
        <v>400041.96</v>
      </c>
      <c r="Z55" s="150">
        <f>-274718.86-27298.1+AA55</f>
        <v>41161.080000000016</v>
      </c>
      <c r="AA55" s="150">
        <f>315879.94+27298.1</f>
        <v>343178.04</v>
      </c>
      <c r="AB55" s="150"/>
      <c r="AC55" s="151">
        <f t="shared" si="60"/>
        <v>98025.000000000058</v>
      </c>
      <c r="AD55" s="154">
        <f t="shared" si="61"/>
        <v>0</v>
      </c>
      <c r="AE55" s="150"/>
      <c r="AF55" s="163"/>
      <c r="AG55" s="162"/>
      <c r="AH55" s="152">
        <f t="shared" si="75"/>
        <v>0</v>
      </c>
      <c r="AI55" s="153">
        <f t="shared" si="63"/>
        <v>98025.000000000058</v>
      </c>
      <c r="AJ55" s="150">
        <v>40352.5</v>
      </c>
      <c r="AK55" s="150"/>
      <c r="AL55" s="150"/>
      <c r="AM55" s="150"/>
      <c r="AN55" s="150"/>
      <c r="AO55" s="150"/>
      <c r="AP55" s="151">
        <f t="shared" si="76"/>
        <v>138377.50000000006</v>
      </c>
      <c r="AQ55" s="154">
        <f t="shared" si="77"/>
        <v>0</v>
      </c>
      <c r="AR55" s="150"/>
      <c r="AS55" s="163"/>
      <c r="AT55" s="162"/>
      <c r="AU55" s="152">
        <f t="shared" si="66"/>
        <v>0</v>
      </c>
      <c r="AV55" s="153">
        <f t="shared" si="67"/>
        <v>138377.50000000006</v>
      </c>
      <c r="AW55" s="150">
        <v>40589.85</v>
      </c>
      <c r="AX55" s="150"/>
      <c r="AY55" s="150"/>
      <c r="AZ55" s="150"/>
      <c r="BA55" s="150"/>
      <c r="BB55" s="150"/>
      <c r="BC55" s="151">
        <f t="shared" si="78"/>
        <v>178967.35000000006</v>
      </c>
      <c r="BD55" s="154">
        <f t="shared" si="79"/>
        <v>0</v>
      </c>
      <c r="BE55" s="150"/>
      <c r="BF55" s="163"/>
      <c r="BG55" s="162"/>
      <c r="BH55" s="152">
        <f t="shared" si="70"/>
        <v>0</v>
      </c>
      <c r="BI55" s="149"/>
      <c r="BJ55" s="150"/>
      <c r="BK55" s="154">
        <f t="shared" si="71"/>
        <v>178967.35000000006</v>
      </c>
      <c r="BL55" s="155">
        <f t="shared" si="72"/>
        <v>0</v>
      </c>
      <c r="BM55" s="156"/>
      <c r="BN55" s="150"/>
      <c r="BO55" s="145">
        <f t="shared" si="37"/>
        <v>178967.35000000006</v>
      </c>
      <c r="BP55" s="157">
        <v>178967.35</v>
      </c>
      <c r="BQ55" s="145">
        <f t="shared" si="73"/>
        <v>0</v>
      </c>
    </row>
    <row r="56" spans="1:69" s="148" customFormat="1" ht="15" thickBot="1" x14ac:dyDescent="0.25">
      <c r="A56" s="1">
        <v>27</v>
      </c>
      <c r="B56" s="1"/>
      <c r="C56" s="4" t="s">
        <v>43</v>
      </c>
      <c r="D56" s="7">
        <v>1567</v>
      </c>
      <c r="E56" s="183"/>
      <c r="F56" s="165"/>
      <c r="G56" s="165"/>
      <c r="H56" s="165"/>
      <c r="I56" s="151"/>
      <c r="J56" s="154"/>
      <c r="K56" s="165"/>
      <c r="L56" s="165"/>
      <c r="M56" s="165"/>
      <c r="N56" s="152">
        <f t="shared" si="54"/>
        <v>0</v>
      </c>
      <c r="O56" s="149"/>
      <c r="P56" s="150"/>
      <c r="Q56" s="150"/>
      <c r="R56" s="150"/>
      <c r="S56" s="151">
        <f t="shared" si="56"/>
        <v>0</v>
      </c>
      <c r="T56" s="154">
        <f t="shared" si="57"/>
        <v>0</v>
      </c>
      <c r="U56" s="150"/>
      <c r="V56" s="150"/>
      <c r="W56" s="150"/>
      <c r="X56" s="152">
        <f>T56+U56-V56+W56</f>
        <v>0</v>
      </c>
      <c r="Y56" s="153">
        <f t="shared" si="74"/>
        <v>0</v>
      </c>
      <c r="Z56" s="150"/>
      <c r="AA56" s="150"/>
      <c r="AB56" s="150"/>
      <c r="AC56" s="151">
        <f t="shared" si="60"/>
        <v>0</v>
      </c>
      <c r="AD56" s="154">
        <f t="shared" si="61"/>
        <v>0</v>
      </c>
      <c r="AE56" s="150"/>
      <c r="AF56" s="150"/>
      <c r="AG56" s="150"/>
      <c r="AH56" s="152">
        <f>AD56+AE56-AF56+AG56</f>
        <v>0</v>
      </c>
      <c r="AI56" s="153">
        <f t="shared" si="63"/>
        <v>0</v>
      </c>
      <c r="AJ56" s="150"/>
      <c r="AK56" s="150"/>
      <c r="AL56" s="150"/>
      <c r="AM56" s="150"/>
      <c r="AN56" s="150"/>
      <c r="AO56" s="150"/>
      <c r="AP56" s="151">
        <f>AI56+AJ56-AK56+SUM(AL56:AO56)</f>
        <v>0</v>
      </c>
      <c r="AQ56" s="154">
        <f>AH56</f>
        <v>0</v>
      </c>
      <c r="AR56" s="150"/>
      <c r="AS56" s="150"/>
      <c r="AT56" s="150"/>
      <c r="AU56" s="152">
        <f>AQ56+AR56-AS56+AT56</f>
        <v>0</v>
      </c>
      <c r="AV56" s="153">
        <f t="shared" si="67"/>
        <v>0</v>
      </c>
      <c r="AW56" s="150"/>
      <c r="AX56" s="150"/>
      <c r="AY56" s="150"/>
      <c r="AZ56" s="150"/>
      <c r="BA56" s="150"/>
      <c r="BB56" s="150"/>
      <c r="BC56" s="151">
        <f>AV56+AW56-AX56+SUM(AY56:BB56)</f>
        <v>0</v>
      </c>
      <c r="BD56" s="154">
        <f>AU56</f>
        <v>0</v>
      </c>
      <c r="BE56" s="150"/>
      <c r="BF56" s="150"/>
      <c r="BG56" s="150"/>
      <c r="BH56" s="152">
        <f>BD56+BE56-BF56+BG56</f>
        <v>0</v>
      </c>
      <c r="BI56" s="149"/>
      <c r="BJ56" s="150"/>
      <c r="BK56" s="154">
        <f t="shared" si="71"/>
        <v>0</v>
      </c>
      <c r="BL56" s="155">
        <f t="shared" si="72"/>
        <v>0</v>
      </c>
      <c r="BM56" s="156"/>
      <c r="BN56" s="150"/>
      <c r="BO56" s="145">
        <f t="shared" si="37"/>
        <v>0</v>
      </c>
      <c r="BP56" s="157"/>
      <c r="BQ56" s="145">
        <f t="shared" si="73"/>
        <v>0</v>
      </c>
    </row>
    <row r="57" spans="1:69" s="148" customFormat="1" ht="15" thickBot="1" x14ac:dyDescent="0.25">
      <c r="A57" s="1">
        <v>28</v>
      </c>
      <c r="B57" s="1"/>
      <c r="C57" s="4" t="s">
        <v>10</v>
      </c>
      <c r="D57" s="7">
        <v>1572</v>
      </c>
      <c r="E57" s="179"/>
      <c r="F57" s="150"/>
      <c r="G57" s="150"/>
      <c r="H57" s="150"/>
      <c r="I57" s="151">
        <f t="shared" si="53"/>
        <v>0</v>
      </c>
      <c r="J57" s="162"/>
      <c r="K57" s="150"/>
      <c r="L57" s="150"/>
      <c r="M57" s="150"/>
      <c r="N57" s="152">
        <f t="shared" si="54"/>
        <v>0</v>
      </c>
      <c r="O57" s="153">
        <f>I57</f>
        <v>0</v>
      </c>
      <c r="P57" s="150"/>
      <c r="Q57" s="150"/>
      <c r="R57" s="150"/>
      <c r="S57" s="151">
        <f t="shared" si="56"/>
        <v>0</v>
      </c>
      <c r="T57" s="154">
        <f t="shared" si="57"/>
        <v>0</v>
      </c>
      <c r="U57" s="150"/>
      <c r="V57" s="150"/>
      <c r="W57" s="150"/>
      <c r="X57" s="152">
        <f t="shared" si="58"/>
        <v>0</v>
      </c>
      <c r="Y57" s="153">
        <f>S57</f>
        <v>0</v>
      </c>
      <c r="Z57" s="150"/>
      <c r="AA57" s="150"/>
      <c r="AB57" s="150"/>
      <c r="AC57" s="151">
        <f t="shared" si="60"/>
        <v>0</v>
      </c>
      <c r="AD57" s="154">
        <f t="shared" si="61"/>
        <v>0</v>
      </c>
      <c r="AE57" s="150"/>
      <c r="AF57" s="150"/>
      <c r="AG57" s="150"/>
      <c r="AH57" s="152">
        <f>AD57+AE57-AF57+AG57</f>
        <v>0</v>
      </c>
      <c r="AI57" s="153">
        <f>AC57</f>
        <v>0</v>
      </c>
      <c r="AJ57" s="150"/>
      <c r="AK57" s="150"/>
      <c r="AL57" s="150"/>
      <c r="AM57" s="150"/>
      <c r="AN57" s="150"/>
      <c r="AO57" s="150"/>
      <c r="AP57" s="151">
        <f t="shared" ref="AP57:AP60" si="80">AI57+AJ57-AK57+SUM(AL57:AO57)</f>
        <v>0</v>
      </c>
      <c r="AQ57" s="154">
        <f t="shared" ref="AQ57:AQ60" si="81">AH57</f>
        <v>0</v>
      </c>
      <c r="AR57" s="150"/>
      <c r="AS57" s="150"/>
      <c r="AT57" s="150"/>
      <c r="AU57" s="152">
        <f>AQ57+AR57-AS57+AT57</f>
        <v>0</v>
      </c>
      <c r="AV57" s="153">
        <f>AP57</f>
        <v>0</v>
      </c>
      <c r="AW57" s="150"/>
      <c r="AX57" s="150"/>
      <c r="AY57" s="150"/>
      <c r="AZ57" s="150"/>
      <c r="BA57" s="150"/>
      <c r="BB57" s="150"/>
      <c r="BC57" s="151">
        <f t="shared" ref="BC57:BC60" si="82">AV57+AW57-AX57+SUM(AY57:BB57)</f>
        <v>0</v>
      </c>
      <c r="BD57" s="154">
        <f t="shared" ref="BD57:BD60" si="83">AU57</f>
        <v>0</v>
      </c>
      <c r="BE57" s="150"/>
      <c r="BF57" s="150"/>
      <c r="BG57" s="150"/>
      <c r="BH57" s="152">
        <f>BD57+BE57-BF57+BG57</f>
        <v>0</v>
      </c>
      <c r="BI57" s="149"/>
      <c r="BJ57" s="150"/>
      <c r="BK57" s="154">
        <f t="shared" si="71"/>
        <v>0</v>
      </c>
      <c r="BL57" s="155">
        <f t="shared" si="72"/>
        <v>0</v>
      </c>
      <c r="BM57" s="156"/>
      <c r="BN57" s="150"/>
      <c r="BO57" s="145">
        <f t="shared" si="37"/>
        <v>0</v>
      </c>
      <c r="BP57" s="157"/>
      <c r="BQ57" s="145">
        <f t="shared" si="73"/>
        <v>0</v>
      </c>
    </row>
    <row r="58" spans="1:69" s="148" customFormat="1" ht="15" thickBot="1" x14ac:dyDescent="0.25">
      <c r="A58" s="1">
        <v>29</v>
      </c>
      <c r="B58" s="1"/>
      <c r="C58" s="4" t="s">
        <v>6</v>
      </c>
      <c r="D58" s="7">
        <v>1574</v>
      </c>
      <c r="E58" s="179"/>
      <c r="F58" s="150"/>
      <c r="G58" s="150"/>
      <c r="H58" s="150"/>
      <c r="I58" s="151">
        <f t="shared" si="53"/>
        <v>0</v>
      </c>
      <c r="J58" s="162"/>
      <c r="K58" s="150"/>
      <c r="L58" s="150"/>
      <c r="M58" s="150"/>
      <c r="N58" s="152">
        <f t="shared" si="54"/>
        <v>0</v>
      </c>
      <c r="O58" s="153">
        <f>I58</f>
        <v>0</v>
      </c>
      <c r="P58" s="150"/>
      <c r="Q58" s="150"/>
      <c r="R58" s="150"/>
      <c r="S58" s="151">
        <f t="shared" si="56"/>
        <v>0</v>
      </c>
      <c r="T58" s="154">
        <f t="shared" si="57"/>
        <v>0</v>
      </c>
      <c r="U58" s="150"/>
      <c r="V58" s="150"/>
      <c r="W58" s="150"/>
      <c r="X58" s="152">
        <f t="shared" si="58"/>
        <v>0</v>
      </c>
      <c r="Y58" s="153">
        <f>S58</f>
        <v>0</v>
      </c>
      <c r="Z58" s="150"/>
      <c r="AA58" s="150"/>
      <c r="AB58" s="150"/>
      <c r="AC58" s="151">
        <f t="shared" si="60"/>
        <v>0</v>
      </c>
      <c r="AD58" s="154">
        <f t="shared" si="61"/>
        <v>0</v>
      </c>
      <c r="AE58" s="150"/>
      <c r="AF58" s="150"/>
      <c r="AG58" s="150"/>
      <c r="AH58" s="152">
        <f>AD58+AE58-AF58+AG58</f>
        <v>0</v>
      </c>
      <c r="AI58" s="153">
        <f>AC58</f>
        <v>0</v>
      </c>
      <c r="AJ58" s="150"/>
      <c r="AK58" s="150"/>
      <c r="AL58" s="150"/>
      <c r="AM58" s="150"/>
      <c r="AN58" s="150"/>
      <c r="AO58" s="150"/>
      <c r="AP58" s="151">
        <f t="shared" si="80"/>
        <v>0</v>
      </c>
      <c r="AQ58" s="154">
        <f t="shared" si="81"/>
        <v>0</v>
      </c>
      <c r="AR58" s="150"/>
      <c r="AS58" s="150"/>
      <c r="AT58" s="150"/>
      <c r="AU58" s="152">
        <f>AQ58+AR58-AS58+AT58</f>
        <v>0</v>
      </c>
      <c r="AV58" s="153">
        <f>AP58</f>
        <v>0</v>
      </c>
      <c r="AW58" s="150"/>
      <c r="AX58" s="150"/>
      <c r="AY58" s="150"/>
      <c r="AZ58" s="150"/>
      <c r="BA58" s="150"/>
      <c r="BB58" s="150"/>
      <c r="BC58" s="151">
        <f t="shared" si="82"/>
        <v>0</v>
      </c>
      <c r="BD58" s="154">
        <f t="shared" si="83"/>
        <v>0</v>
      </c>
      <c r="BE58" s="150"/>
      <c r="BF58" s="150"/>
      <c r="BG58" s="150"/>
      <c r="BH58" s="152">
        <f>BD58+BE58-BF58+BG58</f>
        <v>0</v>
      </c>
      <c r="BI58" s="149"/>
      <c r="BJ58" s="150"/>
      <c r="BK58" s="154">
        <f t="shared" si="71"/>
        <v>0</v>
      </c>
      <c r="BL58" s="155">
        <f t="shared" si="72"/>
        <v>0</v>
      </c>
      <c r="BM58" s="156"/>
      <c r="BN58" s="150"/>
      <c r="BO58" s="145">
        <f t="shared" si="37"/>
        <v>0</v>
      </c>
      <c r="BP58" s="157"/>
      <c r="BQ58" s="145">
        <f t="shared" si="73"/>
        <v>0</v>
      </c>
    </row>
    <row r="59" spans="1:69" s="148" customFormat="1" ht="15" thickBot="1" x14ac:dyDescent="0.25">
      <c r="A59" s="1">
        <v>30</v>
      </c>
      <c r="B59" s="1"/>
      <c r="C59" s="8" t="s">
        <v>40</v>
      </c>
      <c r="D59" s="7">
        <v>1582</v>
      </c>
      <c r="E59" s="179"/>
      <c r="F59" s="150"/>
      <c r="G59" s="150"/>
      <c r="H59" s="150">
        <v>5904.9400000000023</v>
      </c>
      <c r="I59" s="151">
        <f t="shared" si="53"/>
        <v>5904.9400000000023</v>
      </c>
      <c r="J59" s="162"/>
      <c r="K59" s="150">
        <v>1354.5999999999988</v>
      </c>
      <c r="L59" s="150"/>
      <c r="M59" s="150"/>
      <c r="N59" s="152">
        <f t="shared" si="54"/>
        <v>1354.5999999999988</v>
      </c>
      <c r="O59" s="153">
        <f>I59</f>
        <v>5904.9400000000023</v>
      </c>
      <c r="P59" s="150"/>
      <c r="Q59" s="150"/>
      <c r="R59" s="150"/>
      <c r="S59" s="151">
        <f t="shared" si="56"/>
        <v>5904.9400000000023</v>
      </c>
      <c r="T59" s="154">
        <f t="shared" si="57"/>
        <v>1354.5999999999988</v>
      </c>
      <c r="U59" s="150">
        <v>47.12</v>
      </c>
      <c r="V59" s="150"/>
      <c r="W59" s="150"/>
      <c r="X59" s="152">
        <f t="shared" si="58"/>
        <v>1401.7199999999987</v>
      </c>
      <c r="Y59" s="153">
        <f>S59</f>
        <v>5904.9400000000023</v>
      </c>
      <c r="Z59" s="150"/>
      <c r="AA59" s="150">
        <v>5904.94</v>
      </c>
      <c r="AB59" s="150"/>
      <c r="AC59" s="151">
        <f t="shared" si="60"/>
        <v>2.7284841053187847E-12</v>
      </c>
      <c r="AD59" s="154">
        <f t="shared" si="61"/>
        <v>1401.7199999999987</v>
      </c>
      <c r="AE59" s="150">
        <f>-1401.72+AF59</f>
        <v>23.589999999999918</v>
      </c>
      <c r="AF59" s="150">
        <v>1425.31</v>
      </c>
      <c r="AG59" s="150"/>
      <c r="AH59" s="152">
        <f>AD59+AE59-AF59+AG59</f>
        <v>-1.3642420526593924E-12</v>
      </c>
      <c r="AI59" s="153">
        <f>AC59</f>
        <v>2.7284841053187847E-12</v>
      </c>
      <c r="AJ59" s="150"/>
      <c r="AK59" s="150"/>
      <c r="AL59" s="150"/>
      <c r="AM59" s="150"/>
      <c r="AN59" s="150"/>
      <c r="AO59" s="150"/>
      <c r="AP59" s="151">
        <f t="shared" si="80"/>
        <v>2.7284841053187847E-12</v>
      </c>
      <c r="AQ59" s="154">
        <f t="shared" si="81"/>
        <v>-1.3642420526593924E-12</v>
      </c>
      <c r="AR59" s="150"/>
      <c r="AS59" s="150"/>
      <c r="AT59" s="150"/>
      <c r="AU59" s="152">
        <f>AQ59+AR59-AS59+AT59</f>
        <v>-1.3642420526593924E-12</v>
      </c>
      <c r="AV59" s="153">
        <f>AP59</f>
        <v>2.7284841053187847E-12</v>
      </c>
      <c r="AW59" s="150"/>
      <c r="AX59" s="150"/>
      <c r="AY59" s="150"/>
      <c r="AZ59" s="150"/>
      <c r="BA59" s="150"/>
      <c r="BB59" s="150"/>
      <c r="BC59" s="151">
        <f t="shared" si="82"/>
        <v>2.7284841053187847E-12</v>
      </c>
      <c r="BD59" s="154">
        <f t="shared" si="83"/>
        <v>-1.3642420526593924E-12</v>
      </c>
      <c r="BE59" s="150"/>
      <c r="BF59" s="150"/>
      <c r="BG59" s="150"/>
      <c r="BH59" s="152">
        <f>BD59+BE59-BF59+BG59</f>
        <v>-1.3642420526593924E-12</v>
      </c>
      <c r="BI59" s="149"/>
      <c r="BJ59" s="150"/>
      <c r="BK59" s="154">
        <f t="shared" si="71"/>
        <v>2.7284841053187847E-12</v>
      </c>
      <c r="BL59" s="155">
        <f t="shared" si="72"/>
        <v>-1.3642420526593924E-12</v>
      </c>
      <c r="BM59" s="156"/>
      <c r="BN59" s="150"/>
      <c r="BO59" s="145">
        <f t="shared" si="37"/>
        <v>1.3642420526593924E-12</v>
      </c>
      <c r="BP59" s="157"/>
      <c r="BQ59" s="145">
        <f t="shared" si="73"/>
        <v>-1.3642420526593924E-12</v>
      </c>
    </row>
    <row r="60" spans="1:69" s="148" customFormat="1" ht="15" thickBot="1" x14ac:dyDescent="0.25">
      <c r="A60" s="1">
        <v>31</v>
      </c>
      <c r="B60" s="1"/>
      <c r="C60" s="5" t="s">
        <v>7</v>
      </c>
      <c r="D60" s="13">
        <v>2425</v>
      </c>
      <c r="E60" s="179"/>
      <c r="F60" s="150"/>
      <c r="G60" s="150"/>
      <c r="H60" s="150"/>
      <c r="I60" s="151">
        <f t="shared" si="53"/>
        <v>0</v>
      </c>
      <c r="J60" s="162"/>
      <c r="K60" s="150"/>
      <c r="L60" s="150"/>
      <c r="M60" s="150"/>
      <c r="N60" s="152">
        <f t="shared" si="54"/>
        <v>0</v>
      </c>
      <c r="O60" s="153">
        <f>I60</f>
        <v>0</v>
      </c>
      <c r="P60" s="150"/>
      <c r="Q60" s="150"/>
      <c r="R60" s="150"/>
      <c r="S60" s="151">
        <f t="shared" si="56"/>
        <v>0</v>
      </c>
      <c r="T60" s="154">
        <f t="shared" si="57"/>
        <v>0</v>
      </c>
      <c r="U60" s="150"/>
      <c r="V60" s="150"/>
      <c r="W60" s="150"/>
      <c r="X60" s="152">
        <f t="shared" si="58"/>
        <v>0</v>
      </c>
      <c r="Y60" s="153">
        <f>S60</f>
        <v>0</v>
      </c>
      <c r="Z60" s="150"/>
      <c r="AA60" s="150"/>
      <c r="AB60" s="150"/>
      <c r="AC60" s="151">
        <f t="shared" si="60"/>
        <v>0</v>
      </c>
      <c r="AD60" s="154">
        <f t="shared" si="61"/>
        <v>0</v>
      </c>
      <c r="AE60" s="150"/>
      <c r="AF60" s="150"/>
      <c r="AG60" s="150"/>
      <c r="AH60" s="152">
        <f>AD60+AE60-AF60+AG60</f>
        <v>0</v>
      </c>
      <c r="AI60" s="153">
        <f>AC60</f>
        <v>0</v>
      </c>
      <c r="AJ60" s="150"/>
      <c r="AK60" s="150"/>
      <c r="AL60" s="150"/>
      <c r="AM60" s="150"/>
      <c r="AN60" s="150"/>
      <c r="AO60" s="150"/>
      <c r="AP60" s="151">
        <f t="shared" si="80"/>
        <v>0</v>
      </c>
      <c r="AQ60" s="154">
        <f t="shared" si="81"/>
        <v>0</v>
      </c>
      <c r="AR60" s="150"/>
      <c r="AS60" s="150"/>
      <c r="AT60" s="150"/>
      <c r="AU60" s="152">
        <f>AQ60+AR60-AS60+AT60</f>
        <v>0</v>
      </c>
      <c r="AV60" s="153">
        <f>AP60</f>
        <v>0</v>
      </c>
      <c r="AW60" s="150"/>
      <c r="AX60" s="150"/>
      <c r="AY60" s="150"/>
      <c r="AZ60" s="150"/>
      <c r="BA60" s="150"/>
      <c r="BB60" s="150"/>
      <c r="BC60" s="151">
        <f t="shared" si="82"/>
        <v>0</v>
      </c>
      <c r="BD60" s="154">
        <f t="shared" si="83"/>
        <v>0</v>
      </c>
      <c r="BE60" s="150"/>
      <c r="BF60" s="150"/>
      <c r="BG60" s="150"/>
      <c r="BH60" s="152">
        <f>BD60+BE60-BF60+BG60</f>
        <v>0</v>
      </c>
      <c r="BI60" s="149"/>
      <c r="BJ60" s="150"/>
      <c r="BK60" s="154">
        <f t="shared" si="71"/>
        <v>0</v>
      </c>
      <c r="BL60" s="155">
        <f t="shared" si="72"/>
        <v>0</v>
      </c>
      <c r="BM60" s="156"/>
      <c r="BN60" s="150"/>
      <c r="BO60" s="145">
        <f t="shared" si="37"/>
        <v>0</v>
      </c>
      <c r="BP60" s="157"/>
      <c r="BQ60" s="145">
        <f t="shared" si="73"/>
        <v>0</v>
      </c>
    </row>
    <row r="61" spans="1:69" s="148" customFormat="1" ht="14.25" x14ac:dyDescent="0.2">
      <c r="A61" s="1"/>
      <c r="B61" s="1"/>
      <c r="C61" s="5"/>
      <c r="D61" s="5"/>
      <c r="E61" s="180"/>
      <c r="F61" s="151"/>
      <c r="G61" s="151"/>
      <c r="H61" s="151"/>
      <c r="I61" s="151"/>
      <c r="J61" s="151"/>
      <c r="K61" s="151"/>
      <c r="L61" s="151"/>
      <c r="M61" s="151"/>
      <c r="N61" s="152"/>
      <c r="O61" s="158"/>
      <c r="P61" s="151"/>
      <c r="Q61" s="151"/>
      <c r="R61" s="151"/>
      <c r="S61" s="151"/>
      <c r="T61" s="151"/>
      <c r="U61" s="151"/>
      <c r="V61" s="151"/>
      <c r="W61" s="151"/>
      <c r="X61" s="152"/>
      <c r="Y61" s="158"/>
      <c r="Z61" s="151"/>
      <c r="AA61" s="151"/>
      <c r="AB61" s="151"/>
      <c r="AC61" s="151"/>
      <c r="AD61" s="151"/>
      <c r="AE61" s="151"/>
      <c r="AF61" s="151"/>
      <c r="AG61" s="151"/>
      <c r="AH61" s="152"/>
      <c r="AI61" s="158"/>
      <c r="AJ61" s="151"/>
      <c r="AK61" s="151"/>
      <c r="AL61" s="151"/>
      <c r="AM61" s="151"/>
      <c r="AN61" s="151"/>
      <c r="AO61" s="151"/>
      <c r="AP61" s="151"/>
      <c r="AQ61" s="151"/>
      <c r="AR61" s="151"/>
      <c r="AS61" s="151"/>
      <c r="AT61" s="151"/>
      <c r="AU61" s="152"/>
      <c r="AV61" s="158"/>
      <c r="AW61" s="151"/>
      <c r="AX61" s="151"/>
      <c r="AY61" s="151"/>
      <c r="AZ61" s="151"/>
      <c r="BA61" s="151"/>
      <c r="BB61" s="151"/>
      <c r="BC61" s="151"/>
      <c r="BD61" s="151"/>
      <c r="BE61" s="151"/>
      <c r="BF61" s="151"/>
      <c r="BG61" s="151"/>
      <c r="BH61" s="152"/>
      <c r="BI61" s="158"/>
      <c r="BJ61" s="151"/>
      <c r="BK61" s="151"/>
      <c r="BL61" s="152"/>
      <c r="BM61" s="144"/>
      <c r="BN61" s="144"/>
      <c r="BO61" s="145"/>
      <c r="BP61" s="146"/>
      <c r="BQ61" s="145"/>
    </row>
    <row r="62" spans="1:69" s="148" customFormat="1" ht="15" x14ac:dyDescent="0.25">
      <c r="A62" s="1"/>
      <c r="B62" s="1"/>
      <c r="C62" s="14" t="s">
        <v>19</v>
      </c>
      <c r="D62" s="5"/>
      <c r="E62" s="180">
        <f t="shared" ref="E62:AJ62" si="84">SUM(E42:E60)</f>
        <v>0</v>
      </c>
      <c r="F62" s="151">
        <f t="shared" si="84"/>
        <v>0</v>
      </c>
      <c r="G62" s="151">
        <f t="shared" si="84"/>
        <v>0</v>
      </c>
      <c r="H62" s="151">
        <f t="shared" si="84"/>
        <v>817440.42999999993</v>
      </c>
      <c r="I62" s="151">
        <f t="shared" si="84"/>
        <v>817440.42999999993</v>
      </c>
      <c r="J62" s="151">
        <f t="shared" si="84"/>
        <v>0</v>
      </c>
      <c r="K62" s="151">
        <f t="shared" si="84"/>
        <v>1361.9499999999987</v>
      </c>
      <c r="L62" s="151">
        <f t="shared" si="84"/>
        <v>0</v>
      </c>
      <c r="M62" s="151">
        <f t="shared" si="84"/>
        <v>0</v>
      </c>
      <c r="N62" s="152">
        <f t="shared" si="84"/>
        <v>1361.9499999999987</v>
      </c>
      <c r="O62" s="158">
        <f t="shared" si="84"/>
        <v>817440.42999999993</v>
      </c>
      <c r="P62" s="151">
        <f t="shared" si="84"/>
        <v>117783.70999999999</v>
      </c>
      <c r="Q62" s="151">
        <f t="shared" si="84"/>
        <v>0</v>
      </c>
      <c r="R62" s="151">
        <f t="shared" si="84"/>
        <v>0</v>
      </c>
      <c r="S62" s="151">
        <f t="shared" si="84"/>
        <v>935224.1399999999</v>
      </c>
      <c r="T62" s="151">
        <f t="shared" si="84"/>
        <v>1361.9499999999987</v>
      </c>
      <c r="U62" s="151">
        <f t="shared" si="84"/>
        <v>103.52</v>
      </c>
      <c r="V62" s="151">
        <f t="shared" si="84"/>
        <v>0</v>
      </c>
      <c r="W62" s="151">
        <f t="shared" si="84"/>
        <v>0</v>
      </c>
      <c r="X62" s="152">
        <f t="shared" si="84"/>
        <v>1465.4699999999987</v>
      </c>
      <c r="Y62" s="158">
        <f t="shared" si="84"/>
        <v>935224.1399999999</v>
      </c>
      <c r="Z62" s="151">
        <f t="shared" si="84"/>
        <v>87932.829999999987</v>
      </c>
      <c r="AA62" s="151">
        <f t="shared" si="84"/>
        <v>817141.42999999993</v>
      </c>
      <c r="AB62" s="151">
        <f t="shared" si="84"/>
        <v>0</v>
      </c>
      <c r="AC62" s="151">
        <f t="shared" si="84"/>
        <v>206015.53999999998</v>
      </c>
      <c r="AD62" s="151">
        <f t="shared" si="84"/>
        <v>1465.4699999999987</v>
      </c>
      <c r="AE62" s="151">
        <f t="shared" si="84"/>
        <v>120.61999999999992</v>
      </c>
      <c r="AF62" s="151">
        <f t="shared" si="84"/>
        <v>1481.98</v>
      </c>
      <c r="AG62" s="151">
        <f t="shared" si="84"/>
        <v>0</v>
      </c>
      <c r="AH62" s="152">
        <f t="shared" si="84"/>
        <v>104.10999999999862</v>
      </c>
      <c r="AI62" s="158">
        <f t="shared" si="84"/>
        <v>206015.53999999998</v>
      </c>
      <c r="AJ62" s="151">
        <f t="shared" si="84"/>
        <v>79425.01999999999</v>
      </c>
      <c r="AK62" s="151">
        <f t="shared" ref="AK62:BN62" si="85">SUM(AK42:AK60)</f>
        <v>0</v>
      </c>
      <c r="AL62" s="151">
        <f t="shared" si="85"/>
        <v>0</v>
      </c>
      <c r="AM62" s="151">
        <f t="shared" si="85"/>
        <v>0</v>
      </c>
      <c r="AN62" s="151">
        <f t="shared" si="85"/>
        <v>0</v>
      </c>
      <c r="AO62" s="151">
        <f t="shared" si="85"/>
        <v>0</v>
      </c>
      <c r="AP62" s="151">
        <f t="shared" si="85"/>
        <v>285440.55999999994</v>
      </c>
      <c r="AQ62" s="151">
        <f t="shared" si="85"/>
        <v>104.10999999999862</v>
      </c>
      <c r="AR62" s="151">
        <f t="shared" si="85"/>
        <v>270.94</v>
      </c>
      <c r="AS62" s="151">
        <f t="shared" si="85"/>
        <v>0</v>
      </c>
      <c r="AT62" s="151">
        <f t="shared" si="85"/>
        <v>0</v>
      </c>
      <c r="AU62" s="152">
        <f t="shared" si="85"/>
        <v>375.04999999999865</v>
      </c>
      <c r="AV62" s="158">
        <f t="shared" si="85"/>
        <v>285440.55999999994</v>
      </c>
      <c r="AW62" s="151">
        <f t="shared" si="85"/>
        <v>73739.549999999988</v>
      </c>
      <c r="AX62" s="151">
        <f t="shared" si="85"/>
        <v>0</v>
      </c>
      <c r="AY62" s="151">
        <f t="shared" si="85"/>
        <v>0</v>
      </c>
      <c r="AZ62" s="151">
        <f t="shared" si="85"/>
        <v>0</v>
      </c>
      <c r="BA62" s="151">
        <f t="shared" si="85"/>
        <v>0</v>
      </c>
      <c r="BB62" s="151">
        <f t="shared" si="85"/>
        <v>0</v>
      </c>
      <c r="BC62" s="151">
        <f t="shared" si="85"/>
        <v>359180.11</v>
      </c>
      <c r="BD62" s="151">
        <f t="shared" si="85"/>
        <v>375.04999999999865</v>
      </c>
      <c r="BE62" s="151">
        <f t="shared" si="85"/>
        <v>301.25</v>
      </c>
      <c r="BF62" s="151">
        <f t="shared" si="85"/>
        <v>0</v>
      </c>
      <c r="BG62" s="151">
        <f t="shared" si="85"/>
        <v>0</v>
      </c>
      <c r="BH62" s="152">
        <f t="shared" si="85"/>
        <v>676.29999999999859</v>
      </c>
      <c r="BI62" s="158">
        <f t="shared" si="85"/>
        <v>0</v>
      </c>
      <c r="BJ62" s="151">
        <f t="shared" si="85"/>
        <v>0</v>
      </c>
      <c r="BK62" s="151">
        <f t="shared" si="85"/>
        <v>359180.11</v>
      </c>
      <c r="BL62" s="152">
        <f t="shared" si="85"/>
        <v>676.29999999999859</v>
      </c>
      <c r="BM62" s="151">
        <f t="shared" si="85"/>
        <v>609.45509100000004</v>
      </c>
      <c r="BN62" s="151">
        <f t="shared" si="85"/>
        <v>203.15169700000001</v>
      </c>
      <c r="BO62" s="145">
        <f t="shared" si="37"/>
        <v>360669.01678800001</v>
      </c>
      <c r="BP62" s="159">
        <f>SUM(BP42:BP60)</f>
        <v>359856.41000000003</v>
      </c>
      <c r="BQ62" s="145">
        <f t="shared" si="73"/>
        <v>0</v>
      </c>
    </row>
    <row r="63" spans="1:69" s="148" customFormat="1" ht="15" thickBot="1" x14ac:dyDescent="0.25">
      <c r="A63" s="1"/>
      <c r="B63" s="1"/>
      <c r="C63" s="5"/>
      <c r="D63" s="5"/>
      <c r="E63" s="180"/>
      <c r="F63" s="151"/>
      <c r="G63" s="151"/>
      <c r="H63" s="151"/>
      <c r="I63" s="151"/>
      <c r="J63" s="151"/>
      <c r="K63" s="151"/>
      <c r="L63" s="151"/>
      <c r="M63" s="151"/>
      <c r="N63" s="152"/>
      <c r="O63" s="158"/>
      <c r="P63" s="151"/>
      <c r="Q63" s="151"/>
      <c r="R63" s="151"/>
      <c r="S63" s="151"/>
      <c r="T63" s="151"/>
      <c r="U63" s="151"/>
      <c r="V63" s="151"/>
      <c r="W63" s="151"/>
      <c r="X63" s="152"/>
      <c r="Y63" s="158"/>
      <c r="Z63" s="151"/>
      <c r="AA63" s="151"/>
      <c r="AB63" s="151"/>
      <c r="AC63" s="151"/>
      <c r="AD63" s="151"/>
      <c r="AE63" s="151"/>
      <c r="AF63" s="151"/>
      <c r="AG63" s="151"/>
      <c r="AH63" s="152"/>
      <c r="AI63" s="158"/>
      <c r="AJ63" s="151"/>
      <c r="AK63" s="151"/>
      <c r="AL63" s="151"/>
      <c r="AM63" s="151"/>
      <c r="AN63" s="151"/>
      <c r="AO63" s="151"/>
      <c r="AP63" s="151"/>
      <c r="AQ63" s="151"/>
      <c r="AR63" s="151"/>
      <c r="AS63" s="151"/>
      <c r="AT63" s="151"/>
      <c r="AU63" s="152"/>
      <c r="AV63" s="158"/>
      <c r="AW63" s="151"/>
      <c r="AX63" s="151"/>
      <c r="AY63" s="151"/>
      <c r="AZ63" s="151"/>
      <c r="BA63" s="151"/>
      <c r="BB63" s="151"/>
      <c r="BC63" s="151"/>
      <c r="BD63" s="151"/>
      <c r="BE63" s="151"/>
      <c r="BF63" s="151"/>
      <c r="BG63" s="151"/>
      <c r="BH63" s="152"/>
      <c r="BI63" s="158"/>
      <c r="BJ63" s="151"/>
      <c r="BK63" s="151"/>
      <c r="BL63" s="152"/>
      <c r="BM63" s="144"/>
      <c r="BN63" s="144"/>
      <c r="BO63" s="145"/>
      <c r="BP63" s="146"/>
      <c r="BQ63" s="145"/>
    </row>
    <row r="64" spans="1:69" s="148" customFormat="1" ht="15" thickBot="1" x14ac:dyDescent="0.25">
      <c r="A64" s="1">
        <v>32</v>
      </c>
      <c r="B64" s="1"/>
      <c r="C64" s="5" t="s">
        <v>8</v>
      </c>
      <c r="D64" s="7">
        <v>1562</v>
      </c>
      <c r="E64" s="179"/>
      <c r="F64" s="150"/>
      <c r="G64" s="150"/>
      <c r="H64" s="150">
        <f>-4111523.77+122278.98</f>
        <v>-3989244.79</v>
      </c>
      <c r="I64" s="151">
        <f>E64+F64-G64+H64</f>
        <v>-3989244.79</v>
      </c>
      <c r="J64" s="162"/>
      <c r="K64" s="150">
        <f>-778497.16+16435.58+4024</f>
        <v>-758037.58000000007</v>
      </c>
      <c r="L64" s="150"/>
      <c r="M64" s="150"/>
      <c r="N64" s="152">
        <f>J64+K64-L64+M64</f>
        <v>-758037.58000000007</v>
      </c>
      <c r="O64" s="153">
        <f>I64</f>
        <v>-3989244.79</v>
      </c>
      <c r="P64" s="150"/>
      <c r="Q64" s="150"/>
      <c r="R64" s="150"/>
      <c r="S64" s="151">
        <f>O64+P64-Q64+SUM(R64:R64)</f>
        <v>-3989244.79</v>
      </c>
      <c r="T64" s="154">
        <f>N64</f>
        <v>-758037.58000000007</v>
      </c>
      <c r="U64" s="150">
        <v>-32873.03</v>
      </c>
      <c r="V64" s="150"/>
      <c r="W64" s="150"/>
      <c r="X64" s="152">
        <f>T64+U64-V64+W64</f>
        <v>-790910.6100000001</v>
      </c>
      <c r="Y64" s="153">
        <f>S64</f>
        <v>-3989244.79</v>
      </c>
      <c r="Z64" s="150">
        <f>1674589.77+308297.65</f>
        <v>1982887.42</v>
      </c>
      <c r="AA64" s="150"/>
      <c r="AB64" s="150"/>
      <c r="AC64" s="151">
        <f>Y64+Z64-AA64+SUM(AB64:AB64)</f>
        <v>-2006357.37</v>
      </c>
      <c r="AD64" s="154">
        <f>X64</f>
        <v>-790910.6100000001</v>
      </c>
      <c r="AE64" s="150">
        <f>345641.19+95514.82-4024</f>
        <v>437132.01</v>
      </c>
      <c r="AF64" s="150"/>
      <c r="AG64" s="150"/>
      <c r="AH64" s="152">
        <f>AD64+AE64-AF64+AG64</f>
        <v>-353778.60000000009</v>
      </c>
      <c r="AI64" s="153">
        <f>AC64</f>
        <v>-2006357.37</v>
      </c>
      <c r="AJ64" s="150">
        <f>-74881-198294.63</f>
        <v>-273175.63</v>
      </c>
      <c r="AK64" s="150">
        <f>-2511815+232282</f>
        <v>-2279533</v>
      </c>
      <c r="AL64" s="150"/>
      <c r="AM64" s="150"/>
      <c r="AN64" s="150"/>
      <c r="AO64" s="150"/>
      <c r="AP64" s="151">
        <f>AI64+AJ64-AK64+SUM(AL64:AO64)</f>
        <v>0</v>
      </c>
      <c r="AQ64" s="154">
        <f>AH64</f>
        <v>-353778.60000000009</v>
      </c>
      <c r="AR64" s="150">
        <f>-45997.89-64286.54</f>
        <v>-110284.43</v>
      </c>
      <c r="AS64" s="150">
        <f>-511726.89+47663.86</f>
        <v>-464063.03</v>
      </c>
      <c r="AT64" s="150"/>
      <c r="AU64" s="152">
        <f>AQ64+AR64-AS64+AT64</f>
        <v>-5.8207660913467407E-11</v>
      </c>
      <c r="AV64" s="153">
        <f>AP64</f>
        <v>0</v>
      </c>
      <c r="AW64" s="150"/>
      <c r="AX64" s="150"/>
      <c r="AY64" s="150"/>
      <c r="AZ64" s="150"/>
      <c r="BA64" s="150"/>
      <c r="BB64" s="150"/>
      <c r="BC64" s="151">
        <f>AV64+AW64-AX64+SUM(AY64:BB64)</f>
        <v>0</v>
      </c>
      <c r="BD64" s="154">
        <f>AU64</f>
        <v>-5.8207660913467407E-11</v>
      </c>
      <c r="BE64" s="150"/>
      <c r="BF64" s="150"/>
      <c r="BG64" s="150"/>
      <c r="BH64" s="152">
        <f>BD64+BE64-BF64+BG64</f>
        <v>-5.8207660913467407E-11</v>
      </c>
      <c r="BI64" s="149"/>
      <c r="BJ64" s="150"/>
      <c r="BK64" s="154">
        <f t="shared" ref="BK64:BK66" si="86">BC64-BI64</f>
        <v>0</v>
      </c>
      <c r="BL64" s="155">
        <f t="shared" ref="BL64:BL66" si="87">BH64-BJ64</f>
        <v>-5.8207660913467407E-11</v>
      </c>
      <c r="BM64" s="156"/>
      <c r="BN64" s="150"/>
      <c r="BO64" s="145">
        <f t="shared" si="37"/>
        <v>-5.8207660913467407E-11</v>
      </c>
      <c r="BP64" s="157"/>
      <c r="BQ64" s="145">
        <f t="shared" si="73"/>
        <v>5.8207660913467407E-11</v>
      </c>
    </row>
    <row r="65" spans="1:69" s="148" customFormat="1" ht="29.25" thickBot="1" x14ac:dyDescent="0.25">
      <c r="A65" s="1">
        <v>33</v>
      </c>
      <c r="B65" s="1"/>
      <c r="C65" s="28" t="s">
        <v>48</v>
      </c>
      <c r="D65" s="29">
        <v>1592</v>
      </c>
      <c r="E65" s="179"/>
      <c r="F65" s="150"/>
      <c r="G65" s="150"/>
      <c r="H65" s="150"/>
      <c r="I65" s="151">
        <f>E65+F65-G65+H65</f>
        <v>0</v>
      </c>
      <c r="J65" s="162"/>
      <c r="K65" s="150"/>
      <c r="L65" s="150"/>
      <c r="M65" s="150"/>
      <c r="N65" s="152">
        <f>J65+K65-L65+M65</f>
        <v>0</v>
      </c>
      <c r="O65" s="153">
        <f>I65</f>
        <v>0</v>
      </c>
      <c r="P65" s="150"/>
      <c r="Q65" s="150"/>
      <c r="R65" s="150"/>
      <c r="S65" s="151">
        <f>O65+P65-Q65+SUM(R65:R65)</f>
        <v>0</v>
      </c>
      <c r="T65" s="154">
        <f>N65</f>
        <v>0</v>
      </c>
      <c r="U65" s="150"/>
      <c r="V65" s="150"/>
      <c r="W65" s="150"/>
      <c r="X65" s="152">
        <f>T65+U65-V65+W65</f>
        <v>0</v>
      </c>
      <c r="Y65" s="153">
        <f>S65</f>
        <v>0</v>
      </c>
      <c r="Z65" s="150"/>
      <c r="AA65" s="150"/>
      <c r="AB65" s="150"/>
      <c r="AC65" s="151">
        <f>Y65+Z65-AA65+SUM(AB65:AB65)</f>
        <v>0</v>
      </c>
      <c r="AD65" s="154">
        <f>X65</f>
        <v>0</v>
      </c>
      <c r="AE65" s="150"/>
      <c r="AF65" s="150"/>
      <c r="AG65" s="150"/>
      <c r="AH65" s="152">
        <f>AD65+AE65-AF65+AG65</f>
        <v>0</v>
      </c>
      <c r="AI65" s="153">
        <f>AC65</f>
        <v>0</v>
      </c>
      <c r="AJ65" s="150"/>
      <c r="AK65" s="150"/>
      <c r="AL65" s="150"/>
      <c r="AM65" s="150"/>
      <c r="AN65" s="150"/>
      <c r="AO65" s="150"/>
      <c r="AP65" s="151">
        <f>AI65+AJ65-AK65+SUM(AL65:AO65)</f>
        <v>0</v>
      </c>
      <c r="AQ65" s="154">
        <f>AH65</f>
        <v>0</v>
      </c>
      <c r="AR65" s="150"/>
      <c r="AS65" s="150"/>
      <c r="AT65" s="150"/>
      <c r="AU65" s="152">
        <f>AQ65+AR65-AS65+AT65</f>
        <v>0</v>
      </c>
      <c r="AV65" s="153">
        <f>AP65</f>
        <v>0</v>
      </c>
      <c r="AW65" s="150"/>
      <c r="AX65" s="150"/>
      <c r="AY65" s="150"/>
      <c r="AZ65" s="150"/>
      <c r="BA65" s="150"/>
      <c r="BB65" s="150"/>
      <c r="BC65" s="151">
        <f>AV65+AW65-AX65+SUM(AY65:BB65)</f>
        <v>0</v>
      </c>
      <c r="BD65" s="154">
        <f>AU65</f>
        <v>0</v>
      </c>
      <c r="BE65" s="150"/>
      <c r="BF65" s="150"/>
      <c r="BG65" s="150"/>
      <c r="BH65" s="152">
        <f>BD65+BE65-BF65+BG65</f>
        <v>0</v>
      </c>
      <c r="BI65" s="149"/>
      <c r="BJ65" s="150"/>
      <c r="BK65" s="154">
        <f t="shared" si="86"/>
        <v>0</v>
      </c>
      <c r="BL65" s="155">
        <f t="shared" si="87"/>
        <v>0</v>
      </c>
      <c r="BM65" s="156"/>
      <c r="BN65" s="150"/>
      <c r="BO65" s="145">
        <f t="shared" si="37"/>
        <v>0</v>
      </c>
      <c r="BP65" s="157"/>
      <c r="BQ65" s="145">
        <f t="shared" si="73"/>
        <v>0</v>
      </c>
    </row>
    <row r="66" spans="1:69" s="148" customFormat="1" ht="29.25" thickBot="1" x14ac:dyDescent="0.25">
      <c r="A66" s="1">
        <v>34</v>
      </c>
      <c r="B66" s="1"/>
      <c r="C66" s="28" t="s">
        <v>47</v>
      </c>
      <c r="D66" s="29">
        <v>1592</v>
      </c>
      <c r="E66" s="179"/>
      <c r="F66" s="150"/>
      <c r="G66" s="150"/>
      <c r="H66" s="150"/>
      <c r="I66" s="151">
        <f>E66+F66-G66+H66</f>
        <v>0</v>
      </c>
      <c r="J66" s="162"/>
      <c r="K66" s="150"/>
      <c r="L66" s="150"/>
      <c r="M66" s="150"/>
      <c r="N66" s="152">
        <f>J66+K66-L66+M66</f>
        <v>0</v>
      </c>
      <c r="O66" s="153">
        <f>I66</f>
        <v>0</v>
      </c>
      <c r="P66" s="150">
        <f>-69243.18/2</f>
        <v>-34621.589999999997</v>
      </c>
      <c r="Q66" s="150"/>
      <c r="R66" s="150"/>
      <c r="S66" s="151">
        <f>O66+P66-Q66+SUM(R66:R66)</f>
        <v>-34621.589999999997</v>
      </c>
      <c r="T66" s="154">
        <f>N66</f>
        <v>0</v>
      </c>
      <c r="U66" s="150"/>
      <c r="V66" s="150"/>
      <c r="W66" s="150"/>
      <c r="X66" s="152">
        <f>T66+U66-V66+W66</f>
        <v>0</v>
      </c>
      <c r="Y66" s="153">
        <f>S66</f>
        <v>-34621.589999999997</v>
      </c>
      <c r="Z66" s="150">
        <f>-54431.92/2</f>
        <v>-27215.96</v>
      </c>
      <c r="AA66" s="150"/>
      <c r="AB66" s="150"/>
      <c r="AC66" s="151">
        <f>Y66+Z66-AA66+SUM(AB66:AB66)</f>
        <v>-61837.549999999996</v>
      </c>
      <c r="AD66" s="154">
        <f>X66</f>
        <v>0</v>
      </c>
      <c r="AE66" s="150"/>
      <c r="AF66" s="150"/>
      <c r="AG66" s="150"/>
      <c r="AH66" s="152">
        <f>AD66+AE66-AF66+AG66</f>
        <v>0</v>
      </c>
      <c r="AI66" s="153">
        <f>AC66</f>
        <v>-61837.549999999996</v>
      </c>
      <c r="AJ66" s="150"/>
      <c r="AK66" s="150"/>
      <c r="AL66" s="150"/>
      <c r="AM66" s="150"/>
      <c r="AN66" s="150"/>
      <c r="AO66" s="150"/>
      <c r="AP66" s="151">
        <f>AI66+AJ66-AK66+SUM(AL66:AO66)</f>
        <v>-61837.549999999996</v>
      </c>
      <c r="AQ66" s="154">
        <f>AH66</f>
        <v>0</v>
      </c>
      <c r="AR66" s="150"/>
      <c r="AS66" s="150"/>
      <c r="AT66" s="150"/>
      <c r="AU66" s="152">
        <f>AQ66+AR66-AS66+AT66</f>
        <v>0</v>
      </c>
      <c r="AV66" s="153">
        <f>AP66</f>
        <v>-61837.549999999996</v>
      </c>
      <c r="AW66" s="150"/>
      <c r="AX66" s="150"/>
      <c r="AY66" s="150"/>
      <c r="AZ66" s="150"/>
      <c r="BA66" s="150"/>
      <c r="BB66" s="150"/>
      <c r="BC66" s="151">
        <f>AV66+AW66-AX66+SUM(AY66:BB66)</f>
        <v>-61837.549999999996</v>
      </c>
      <c r="BD66" s="154">
        <f>AU66</f>
        <v>0</v>
      </c>
      <c r="BE66" s="150"/>
      <c r="BF66" s="150"/>
      <c r="BG66" s="150"/>
      <c r="BH66" s="152">
        <f>BD66+BE66-BF66+BG66</f>
        <v>0</v>
      </c>
      <c r="BI66" s="149"/>
      <c r="BJ66" s="150"/>
      <c r="BK66" s="154">
        <f t="shared" si="86"/>
        <v>-61837.549999999996</v>
      </c>
      <c r="BL66" s="155">
        <f t="shared" si="87"/>
        <v>0</v>
      </c>
      <c r="BM66" s="156">
        <f>BK66*0.0147</f>
        <v>-909.01198499999987</v>
      </c>
      <c r="BN66" s="150">
        <f>BK66*0.0147*4/12</f>
        <v>-303.00399499999997</v>
      </c>
      <c r="BO66" s="145">
        <f t="shared" si="37"/>
        <v>-63049.565979999992</v>
      </c>
      <c r="BP66" s="157"/>
      <c r="BQ66" s="145">
        <f t="shared" si="73"/>
        <v>61837.549999999996</v>
      </c>
    </row>
    <row r="67" spans="1:69" s="148" customFormat="1" ht="14.25" x14ac:dyDescent="0.2">
      <c r="A67" s="1"/>
      <c r="B67" s="1"/>
      <c r="C67" s="5"/>
      <c r="D67" s="5"/>
      <c r="E67" s="180"/>
      <c r="F67" s="151"/>
      <c r="G67" s="151"/>
      <c r="H67" s="151"/>
      <c r="I67" s="151"/>
      <c r="J67" s="151"/>
      <c r="K67" s="151"/>
      <c r="L67" s="151"/>
      <c r="M67" s="151"/>
      <c r="N67" s="152"/>
      <c r="O67" s="158"/>
      <c r="P67" s="151"/>
      <c r="Q67" s="151"/>
      <c r="R67" s="151"/>
      <c r="S67" s="151"/>
      <c r="T67" s="151"/>
      <c r="U67" s="151"/>
      <c r="V67" s="151"/>
      <c r="W67" s="151"/>
      <c r="X67" s="152"/>
      <c r="Y67" s="158"/>
      <c r="Z67" s="151"/>
      <c r="AA67" s="151"/>
      <c r="AB67" s="151"/>
      <c r="AC67" s="151"/>
      <c r="AD67" s="151"/>
      <c r="AE67" s="151"/>
      <c r="AF67" s="151"/>
      <c r="AG67" s="151"/>
      <c r="AH67" s="152"/>
      <c r="AI67" s="158"/>
      <c r="AJ67" s="151"/>
      <c r="AK67" s="151"/>
      <c r="AL67" s="151"/>
      <c r="AM67" s="151"/>
      <c r="AN67" s="151"/>
      <c r="AO67" s="151"/>
      <c r="AP67" s="151"/>
      <c r="AQ67" s="151"/>
      <c r="AR67" s="151"/>
      <c r="AS67" s="151"/>
      <c r="AT67" s="151"/>
      <c r="AU67" s="152"/>
      <c r="AV67" s="158"/>
      <c r="AW67" s="151"/>
      <c r="AX67" s="151"/>
      <c r="AY67" s="151"/>
      <c r="AZ67" s="151"/>
      <c r="BA67" s="151"/>
      <c r="BB67" s="151"/>
      <c r="BC67" s="151"/>
      <c r="BD67" s="151"/>
      <c r="BE67" s="151"/>
      <c r="BF67" s="151"/>
      <c r="BG67" s="151"/>
      <c r="BH67" s="152"/>
      <c r="BI67" s="158"/>
      <c r="BJ67" s="151"/>
      <c r="BK67" s="151"/>
      <c r="BL67" s="152"/>
      <c r="BM67" s="144"/>
      <c r="BN67" s="144"/>
      <c r="BO67" s="145"/>
      <c r="BP67" s="146"/>
      <c r="BQ67" s="145"/>
    </row>
    <row r="68" spans="1:69" s="148" customFormat="1" ht="15" x14ac:dyDescent="0.25">
      <c r="A68" s="1"/>
      <c r="B68" s="1"/>
      <c r="C68" s="14" t="s">
        <v>36</v>
      </c>
      <c r="D68" s="5"/>
      <c r="E68" s="180">
        <f t="shared" ref="E68:AJ68" si="88">+E62+E37+E64+E65+E66</f>
        <v>0</v>
      </c>
      <c r="F68" s="151">
        <f t="shared" si="88"/>
        <v>0</v>
      </c>
      <c r="G68" s="151">
        <f t="shared" si="88"/>
        <v>0</v>
      </c>
      <c r="H68" s="151">
        <f t="shared" si="88"/>
        <v>-3171804.3600000003</v>
      </c>
      <c r="I68" s="151">
        <f t="shared" si="88"/>
        <v>-3171804.3600000003</v>
      </c>
      <c r="J68" s="151">
        <f t="shared" si="88"/>
        <v>0</v>
      </c>
      <c r="K68" s="151">
        <f t="shared" si="88"/>
        <v>-756675.63000000012</v>
      </c>
      <c r="L68" s="151">
        <f t="shared" si="88"/>
        <v>0</v>
      </c>
      <c r="M68" s="151">
        <f t="shared" si="88"/>
        <v>0</v>
      </c>
      <c r="N68" s="152">
        <f t="shared" si="88"/>
        <v>-756675.63000000012</v>
      </c>
      <c r="O68" s="158">
        <f t="shared" si="88"/>
        <v>-3171804.3600000003</v>
      </c>
      <c r="P68" s="151">
        <f t="shared" si="88"/>
        <v>83162.12</v>
      </c>
      <c r="Q68" s="151">
        <f t="shared" si="88"/>
        <v>0</v>
      </c>
      <c r="R68" s="151">
        <f t="shared" si="88"/>
        <v>0</v>
      </c>
      <c r="S68" s="151">
        <f t="shared" si="88"/>
        <v>-3088642.24</v>
      </c>
      <c r="T68" s="151">
        <f t="shared" si="88"/>
        <v>-756675.63000000012</v>
      </c>
      <c r="U68" s="151">
        <f t="shared" si="88"/>
        <v>-32769.51</v>
      </c>
      <c r="V68" s="151">
        <f t="shared" si="88"/>
        <v>0</v>
      </c>
      <c r="W68" s="151">
        <f t="shared" si="88"/>
        <v>0</v>
      </c>
      <c r="X68" s="152">
        <f t="shared" si="88"/>
        <v>-789445.14000000013</v>
      </c>
      <c r="Y68" s="158">
        <f t="shared" si="88"/>
        <v>-3088642.24</v>
      </c>
      <c r="Z68" s="151">
        <f t="shared" si="88"/>
        <v>2043604.29</v>
      </c>
      <c r="AA68" s="151">
        <f t="shared" si="88"/>
        <v>817141.42999999993</v>
      </c>
      <c r="AB68" s="151">
        <f t="shared" si="88"/>
        <v>0</v>
      </c>
      <c r="AC68" s="151">
        <f t="shared" si="88"/>
        <v>-1862179.3800000001</v>
      </c>
      <c r="AD68" s="151">
        <f t="shared" si="88"/>
        <v>-789445.14000000013</v>
      </c>
      <c r="AE68" s="151">
        <f t="shared" si="88"/>
        <v>437252.63</v>
      </c>
      <c r="AF68" s="151">
        <f t="shared" si="88"/>
        <v>1481.98</v>
      </c>
      <c r="AG68" s="151">
        <f t="shared" si="88"/>
        <v>0</v>
      </c>
      <c r="AH68" s="152">
        <f t="shared" si="88"/>
        <v>-353674.49000000011</v>
      </c>
      <c r="AI68" s="158">
        <f t="shared" si="88"/>
        <v>-1862179.3800000001</v>
      </c>
      <c r="AJ68" s="151">
        <f t="shared" si="88"/>
        <v>-193750.61000000002</v>
      </c>
      <c r="AK68" s="151">
        <f t="shared" ref="AK68:BP68" si="89">+AK62+AK37+AK64+AK65+AK66</f>
        <v>-2279533</v>
      </c>
      <c r="AL68" s="151">
        <f t="shared" si="89"/>
        <v>0</v>
      </c>
      <c r="AM68" s="151">
        <f t="shared" si="89"/>
        <v>0</v>
      </c>
      <c r="AN68" s="151">
        <f t="shared" si="89"/>
        <v>0</v>
      </c>
      <c r="AO68" s="151">
        <f t="shared" si="89"/>
        <v>-4619846.4999999991</v>
      </c>
      <c r="AP68" s="151">
        <f t="shared" si="89"/>
        <v>-4396243.4899999993</v>
      </c>
      <c r="AQ68" s="151">
        <f t="shared" si="89"/>
        <v>-353674.49000000011</v>
      </c>
      <c r="AR68" s="151">
        <f t="shared" si="89"/>
        <v>-110013.48999999999</v>
      </c>
      <c r="AS68" s="151">
        <f t="shared" si="89"/>
        <v>-464063.03</v>
      </c>
      <c r="AT68" s="151">
        <f t="shared" si="89"/>
        <v>1550434.4500000002</v>
      </c>
      <c r="AU68" s="152">
        <f t="shared" si="89"/>
        <v>1550809.5000000002</v>
      </c>
      <c r="AV68" s="158">
        <f t="shared" si="89"/>
        <v>-4396243.4899999993</v>
      </c>
      <c r="AW68" s="151">
        <f t="shared" si="89"/>
        <v>324370.30000000028</v>
      </c>
      <c r="AX68" s="151">
        <f t="shared" si="89"/>
        <v>0</v>
      </c>
      <c r="AY68" s="151">
        <f t="shared" si="89"/>
        <v>0</v>
      </c>
      <c r="AZ68" s="151">
        <f t="shared" si="89"/>
        <v>0</v>
      </c>
      <c r="BA68" s="151">
        <f t="shared" si="89"/>
        <v>0</v>
      </c>
      <c r="BB68" s="151">
        <f t="shared" si="89"/>
        <v>0</v>
      </c>
      <c r="BC68" s="151">
        <f t="shared" si="89"/>
        <v>-4071873.19</v>
      </c>
      <c r="BD68" s="151">
        <f t="shared" si="89"/>
        <v>1550809.5000000002</v>
      </c>
      <c r="BE68" s="151">
        <f t="shared" si="89"/>
        <v>-145525.17000000001</v>
      </c>
      <c r="BF68" s="151">
        <f t="shared" si="89"/>
        <v>0</v>
      </c>
      <c r="BG68" s="151">
        <f t="shared" si="89"/>
        <v>0</v>
      </c>
      <c r="BH68" s="152">
        <f t="shared" si="89"/>
        <v>1405284.3300000003</v>
      </c>
      <c r="BI68" s="158">
        <f t="shared" si="89"/>
        <v>-4617566.0999999996</v>
      </c>
      <c r="BJ68" s="151">
        <f t="shared" si="89"/>
        <v>1456689.19</v>
      </c>
      <c r="BK68" s="151">
        <f t="shared" si="89"/>
        <v>545692.90999999922</v>
      </c>
      <c r="BL68" s="152">
        <f t="shared" si="89"/>
        <v>-51404.860000000066</v>
      </c>
      <c r="BM68" s="151">
        <f t="shared" si="89"/>
        <v>3351.1883999999891</v>
      </c>
      <c r="BN68" s="151">
        <f t="shared" si="89"/>
        <v>1117.0627999999967</v>
      </c>
      <c r="BO68" s="145">
        <f t="shared" si="89"/>
        <v>498756.30119999958</v>
      </c>
      <c r="BP68" s="146">
        <f t="shared" si="89"/>
        <v>-2604751.6600000006</v>
      </c>
      <c r="BQ68" s="145">
        <f t="shared" si="73"/>
        <v>61837.199999998789</v>
      </c>
    </row>
    <row r="69" spans="1:69" s="148" customFormat="1" ht="14.25" x14ac:dyDescent="0.2">
      <c r="A69" s="1"/>
      <c r="B69" s="1"/>
      <c r="C69" s="15"/>
      <c r="D69" s="15"/>
      <c r="E69" s="180"/>
      <c r="F69" s="151"/>
      <c r="G69" s="151"/>
      <c r="H69" s="151"/>
      <c r="I69" s="151"/>
      <c r="J69" s="151"/>
      <c r="K69" s="151"/>
      <c r="L69" s="151"/>
      <c r="M69" s="151"/>
      <c r="N69" s="152"/>
      <c r="O69" s="158"/>
      <c r="P69" s="151"/>
      <c r="Q69" s="151"/>
      <c r="R69" s="151"/>
      <c r="S69" s="151"/>
      <c r="T69" s="151"/>
      <c r="U69" s="151"/>
      <c r="V69" s="151"/>
      <c r="W69" s="151"/>
      <c r="X69" s="152"/>
      <c r="Y69" s="158"/>
      <c r="Z69" s="151"/>
      <c r="AA69" s="151"/>
      <c r="AB69" s="151"/>
      <c r="AC69" s="151"/>
      <c r="AD69" s="151"/>
      <c r="AE69" s="151"/>
      <c r="AF69" s="151"/>
      <c r="AG69" s="151"/>
      <c r="AH69" s="152"/>
      <c r="AI69" s="158"/>
      <c r="AJ69" s="151"/>
      <c r="AK69" s="151"/>
      <c r="AL69" s="151"/>
      <c r="AM69" s="151"/>
      <c r="AN69" s="151"/>
      <c r="AO69" s="151"/>
      <c r="AP69" s="151"/>
      <c r="AQ69" s="151"/>
      <c r="AR69" s="151"/>
      <c r="AS69" s="151"/>
      <c r="AT69" s="151"/>
      <c r="AU69" s="152"/>
      <c r="AV69" s="158"/>
      <c r="AW69" s="151"/>
      <c r="AX69" s="151"/>
      <c r="AY69" s="151"/>
      <c r="AZ69" s="151"/>
      <c r="BA69" s="151"/>
      <c r="BB69" s="151"/>
      <c r="BC69" s="151"/>
      <c r="BD69" s="151"/>
      <c r="BE69" s="151"/>
      <c r="BF69" s="151"/>
      <c r="BG69" s="151"/>
      <c r="BH69" s="152"/>
      <c r="BI69" s="158"/>
      <c r="BJ69" s="151"/>
      <c r="BK69" s="151"/>
      <c r="BL69" s="152"/>
      <c r="BM69" s="144"/>
      <c r="BN69" s="144"/>
      <c r="BO69" s="145"/>
      <c r="BP69" s="146"/>
      <c r="BQ69" s="145"/>
    </row>
    <row r="70" spans="1:69" s="148" customFormat="1" ht="15" thickBot="1" x14ac:dyDescent="0.25">
      <c r="A70" s="1"/>
      <c r="B70" s="1"/>
      <c r="C70" s="15"/>
      <c r="D70" s="15"/>
      <c r="E70" s="180"/>
      <c r="F70" s="151"/>
      <c r="G70" s="151"/>
      <c r="H70" s="151"/>
      <c r="I70" s="151"/>
      <c r="J70" s="151"/>
      <c r="K70" s="151"/>
      <c r="L70" s="151"/>
      <c r="M70" s="151"/>
      <c r="N70" s="152"/>
      <c r="O70" s="158"/>
      <c r="P70" s="151"/>
      <c r="Q70" s="151"/>
      <c r="R70" s="151"/>
      <c r="S70" s="151"/>
      <c r="T70" s="151"/>
      <c r="U70" s="151"/>
      <c r="V70" s="151"/>
      <c r="W70" s="151"/>
      <c r="X70" s="152"/>
      <c r="Y70" s="158"/>
      <c r="Z70" s="151"/>
      <c r="AA70" s="151"/>
      <c r="AB70" s="151"/>
      <c r="AC70" s="151"/>
      <c r="AD70" s="151"/>
      <c r="AE70" s="151"/>
      <c r="AF70" s="151"/>
      <c r="AG70" s="151"/>
      <c r="AH70" s="152"/>
      <c r="AI70" s="158"/>
      <c r="AJ70" s="151"/>
      <c r="AK70" s="151"/>
      <c r="AL70" s="151"/>
      <c r="AM70" s="151"/>
      <c r="AN70" s="151"/>
      <c r="AO70" s="151"/>
      <c r="AP70" s="151"/>
      <c r="AQ70" s="151"/>
      <c r="AR70" s="151"/>
      <c r="AS70" s="151"/>
      <c r="AT70" s="151"/>
      <c r="AU70" s="152"/>
      <c r="AV70" s="158"/>
      <c r="AW70" s="151"/>
      <c r="AX70" s="151"/>
      <c r="AY70" s="151"/>
      <c r="AZ70" s="151"/>
      <c r="BA70" s="151"/>
      <c r="BB70" s="151"/>
      <c r="BC70" s="151"/>
      <c r="BD70" s="151"/>
      <c r="BE70" s="151"/>
      <c r="BF70" s="151"/>
      <c r="BG70" s="151"/>
      <c r="BH70" s="152"/>
      <c r="BI70" s="158"/>
      <c r="BJ70" s="151"/>
      <c r="BK70" s="151"/>
      <c r="BL70" s="152"/>
      <c r="BM70" s="144"/>
      <c r="BN70" s="144"/>
      <c r="BO70" s="145"/>
      <c r="BP70" s="146"/>
      <c r="BQ70" s="145"/>
    </row>
    <row r="71" spans="1:69" s="148" customFormat="1" ht="15.75" thickBot="1" x14ac:dyDescent="0.3">
      <c r="A71" s="1">
        <v>35</v>
      </c>
      <c r="B71" s="1"/>
      <c r="C71" s="58" t="s">
        <v>98</v>
      </c>
      <c r="D71" s="59">
        <v>1568</v>
      </c>
      <c r="E71" s="184"/>
      <c r="F71" s="166"/>
      <c r="G71" s="166"/>
      <c r="H71" s="166"/>
      <c r="I71" s="166"/>
      <c r="J71" s="166"/>
      <c r="K71" s="166"/>
      <c r="L71" s="166"/>
      <c r="M71" s="166"/>
      <c r="N71" s="167"/>
      <c r="O71" s="168"/>
      <c r="P71" s="169"/>
      <c r="Q71" s="169"/>
      <c r="R71" s="169"/>
      <c r="S71" s="151">
        <f>O71+P71-Q71+SUM(R71:R71)</f>
        <v>0</v>
      </c>
      <c r="T71" s="169"/>
      <c r="U71" s="169"/>
      <c r="V71" s="169"/>
      <c r="W71" s="169"/>
      <c r="X71" s="152">
        <f>T71+U71-V71+W71</f>
        <v>0</v>
      </c>
      <c r="Y71" s="153">
        <f>S71</f>
        <v>0</v>
      </c>
      <c r="Z71" s="169"/>
      <c r="AA71" s="169"/>
      <c r="AB71" s="169"/>
      <c r="AC71" s="151">
        <f>Y71+Z71-AA71+SUM(AB71:AB71)</f>
        <v>0</v>
      </c>
      <c r="AD71" s="151">
        <f>X71</f>
        <v>0</v>
      </c>
      <c r="AE71" s="169"/>
      <c r="AF71" s="169"/>
      <c r="AG71" s="150"/>
      <c r="AH71" s="152">
        <f>AD71+AE71-AF71+AG71</f>
        <v>0</v>
      </c>
      <c r="AI71" s="153">
        <f>AC71</f>
        <v>0</v>
      </c>
      <c r="AJ71" s="169"/>
      <c r="AK71" s="169"/>
      <c r="AL71" s="169"/>
      <c r="AM71" s="169"/>
      <c r="AN71" s="169"/>
      <c r="AO71" s="169"/>
      <c r="AP71" s="151">
        <f>AI71+AJ71-AK71+SUM(AL71:AO71)</f>
        <v>0</v>
      </c>
      <c r="AQ71" s="151">
        <f>AH71</f>
        <v>0</v>
      </c>
      <c r="AR71" s="169"/>
      <c r="AS71" s="169"/>
      <c r="AT71" s="150"/>
      <c r="AU71" s="152">
        <f>AQ71+AR71-AS71+AT71</f>
        <v>0</v>
      </c>
      <c r="AV71" s="153">
        <f>AP71</f>
        <v>0</v>
      </c>
      <c r="AW71" s="169"/>
      <c r="AX71" s="169"/>
      <c r="AY71" s="169"/>
      <c r="AZ71" s="169"/>
      <c r="BA71" s="169"/>
      <c r="BB71" s="169"/>
      <c r="BC71" s="151">
        <f>AV71+AW71-AX71+SUM(AY71:BB71)</f>
        <v>0</v>
      </c>
      <c r="BD71" s="151">
        <f>AU71</f>
        <v>0</v>
      </c>
      <c r="BE71" s="169"/>
      <c r="BF71" s="169"/>
      <c r="BG71" s="150"/>
      <c r="BH71" s="152">
        <f>BD71+BE71-BF71+BG71</f>
        <v>0</v>
      </c>
      <c r="BI71" s="169"/>
      <c r="BJ71" s="169"/>
      <c r="BK71" s="154">
        <f t="shared" ref="BK71" si="90">BC71-BI71</f>
        <v>0</v>
      </c>
      <c r="BL71" s="155">
        <f t="shared" ref="BL71" si="91">BH71-BJ71</f>
        <v>0</v>
      </c>
      <c r="BM71" s="170"/>
      <c r="BN71" s="169"/>
      <c r="BO71" s="145">
        <f t="shared" ref="BO71" si="92">SUM(BK71:BN71)</f>
        <v>0</v>
      </c>
      <c r="BP71" s="171"/>
      <c r="BQ71" s="145">
        <f t="shared" ref="BQ71" si="93">BP71-SUM(BC71,BH71)</f>
        <v>0</v>
      </c>
    </row>
    <row r="72" spans="1:69" s="148" customFormat="1" ht="15" x14ac:dyDescent="0.25">
      <c r="A72" s="1"/>
      <c r="B72" s="1"/>
      <c r="C72" s="58"/>
      <c r="D72" s="59"/>
      <c r="E72" s="180"/>
      <c r="F72" s="151"/>
      <c r="G72" s="151"/>
      <c r="H72" s="151"/>
      <c r="I72" s="151"/>
      <c r="J72" s="151"/>
      <c r="K72" s="151"/>
      <c r="L72" s="151"/>
      <c r="M72" s="151"/>
      <c r="N72" s="151"/>
      <c r="O72" s="158"/>
      <c r="P72" s="151"/>
      <c r="Q72" s="151"/>
      <c r="R72" s="151"/>
      <c r="S72" s="151"/>
      <c r="T72" s="151"/>
      <c r="U72" s="151"/>
      <c r="V72" s="151"/>
      <c r="W72" s="151"/>
      <c r="X72" s="151"/>
      <c r="Y72" s="158"/>
      <c r="Z72" s="151"/>
      <c r="AA72" s="151"/>
      <c r="AB72" s="151"/>
      <c r="AC72" s="151"/>
      <c r="AD72" s="151"/>
      <c r="AE72" s="151"/>
      <c r="AF72" s="151"/>
      <c r="AG72" s="151"/>
      <c r="AH72" s="151"/>
      <c r="AI72" s="158"/>
      <c r="AJ72" s="151"/>
      <c r="AK72" s="151"/>
      <c r="AL72" s="151"/>
      <c r="AM72" s="151"/>
      <c r="AN72" s="151"/>
      <c r="AO72" s="151"/>
      <c r="AP72" s="151"/>
      <c r="AQ72" s="151"/>
      <c r="AR72" s="151"/>
      <c r="AS72" s="151"/>
      <c r="AT72" s="151"/>
      <c r="AU72" s="151"/>
      <c r="AV72" s="158"/>
      <c r="AW72" s="151"/>
      <c r="AX72" s="151"/>
      <c r="AY72" s="151"/>
      <c r="AZ72" s="151"/>
      <c r="BA72" s="151"/>
      <c r="BB72" s="151"/>
      <c r="BC72" s="151"/>
      <c r="BD72" s="151"/>
      <c r="BE72" s="151"/>
      <c r="BF72" s="151"/>
      <c r="BG72" s="151"/>
      <c r="BH72" s="151"/>
      <c r="BI72" s="158"/>
      <c r="BJ72" s="151"/>
      <c r="BK72" s="151"/>
      <c r="BL72" s="152"/>
      <c r="BM72" s="144"/>
      <c r="BN72" s="144"/>
      <c r="BO72" s="145"/>
      <c r="BP72" s="146"/>
      <c r="BQ72" s="145"/>
    </row>
    <row r="73" spans="1:69" s="148" customFormat="1" ht="15" x14ac:dyDescent="0.25">
      <c r="A73" s="1"/>
      <c r="B73" s="1"/>
      <c r="C73" s="58"/>
      <c r="D73" s="59"/>
      <c r="E73" s="180"/>
      <c r="F73" s="151"/>
      <c r="G73" s="151"/>
      <c r="H73" s="151"/>
      <c r="I73" s="151"/>
      <c r="J73" s="151"/>
      <c r="K73" s="151"/>
      <c r="L73" s="151"/>
      <c r="M73" s="151"/>
      <c r="N73" s="151"/>
      <c r="O73" s="158"/>
      <c r="P73" s="151"/>
      <c r="Q73" s="151"/>
      <c r="R73" s="151"/>
      <c r="S73" s="151"/>
      <c r="T73" s="151"/>
      <c r="U73" s="151"/>
      <c r="V73" s="151"/>
      <c r="W73" s="151"/>
      <c r="X73" s="151"/>
      <c r="Y73" s="158"/>
      <c r="Z73" s="151"/>
      <c r="AA73" s="151"/>
      <c r="AB73" s="151"/>
      <c r="AC73" s="151"/>
      <c r="AD73" s="151"/>
      <c r="AE73" s="151"/>
      <c r="AF73" s="151"/>
      <c r="AG73" s="151"/>
      <c r="AH73" s="151"/>
      <c r="AI73" s="158"/>
      <c r="AJ73" s="151"/>
      <c r="AK73" s="151"/>
      <c r="AL73" s="151"/>
      <c r="AM73" s="151"/>
      <c r="AN73" s="151"/>
      <c r="AO73" s="151"/>
      <c r="AP73" s="151"/>
      <c r="AQ73" s="151"/>
      <c r="AR73" s="151"/>
      <c r="AS73" s="151"/>
      <c r="AT73" s="151"/>
      <c r="AU73" s="151"/>
      <c r="AV73" s="158"/>
      <c r="AW73" s="151"/>
      <c r="AX73" s="151"/>
      <c r="AY73" s="151"/>
      <c r="AZ73" s="151"/>
      <c r="BA73" s="151"/>
      <c r="BB73" s="151"/>
      <c r="BC73" s="151"/>
      <c r="BD73" s="151"/>
      <c r="BE73" s="151"/>
      <c r="BF73" s="151"/>
      <c r="BG73" s="151"/>
      <c r="BH73" s="151"/>
      <c r="BI73" s="158"/>
      <c r="BJ73" s="151"/>
      <c r="BK73" s="151"/>
      <c r="BL73" s="152"/>
      <c r="BM73" s="144"/>
      <c r="BN73" s="144"/>
      <c r="BO73" s="145"/>
      <c r="BP73" s="146"/>
      <c r="BQ73" s="145"/>
    </row>
    <row r="74" spans="1:69" s="148" customFormat="1" ht="15" x14ac:dyDescent="0.25">
      <c r="A74" s="1"/>
      <c r="B74" s="1"/>
      <c r="C74" s="16" t="s">
        <v>147</v>
      </c>
      <c r="D74" s="15"/>
      <c r="E74" s="180">
        <f t="shared" ref="E74:AB74" si="94">E68+E71</f>
        <v>0</v>
      </c>
      <c r="F74" s="151">
        <f t="shared" si="94"/>
        <v>0</v>
      </c>
      <c r="G74" s="151">
        <f t="shared" si="94"/>
        <v>0</v>
      </c>
      <c r="H74" s="151">
        <f t="shared" si="94"/>
        <v>-3171804.3600000003</v>
      </c>
      <c r="I74" s="151">
        <f t="shared" si="94"/>
        <v>-3171804.3600000003</v>
      </c>
      <c r="J74" s="151">
        <f t="shared" si="94"/>
        <v>0</v>
      </c>
      <c r="K74" s="151">
        <f t="shared" si="94"/>
        <v>-756675.63000000012</v>
      </c>
      <c r="L74" s="151">
        <f t="shared" si="94"/>
        <v>0</v>
      </c>
      <c r="M74" s="151">
        <f t="shared" si="94"/>
        <v>0</v>
      </c>
      <c r="N74" s="152">
        <f t="shared" si="94"/>
        <v>-756675.63000000012</v>
      </c>
      <c r="O74" s="158">
        <f t="shared" si="94"/>
        <v>-3171804.3600000003</v>
      </c>
      <c r="P74" s="151">
        <f t="shared" si="94"/>
        <v>83162.12</v>
      </c>
      <c r="Q74" s="151">
        <f t="shared" si="94"/>
        <v>0</v>
      </c>
      <c r="R74" s="151">
        <f t="shared" si="94"/>
        <v>0</v>
      </c>
      <c r="S74" s="151">
        <f t="shared" si="94"/>
        <v>-3088642.24</v>
      </c>
      <c r="T74" s="151">
        <f t="shared" si="94"/>
        <v>-756675.63000000012</v>
      </c>
      <c r="U74" s="151">
        <f t="shared" si="94"/>
        <v>-32769.51</v>
      </c>
      <c r="V74" s="151">
        <f t="shared" si="94"/>
        <v>0</v>
      </c>
      <c r="W74" s="151">
        <f t="shared" si="94"/>
        <v>0</v>
      </c>
      <c r="X74" s="152">
        <f t="shared" si="94"/>
        <v>-789445.14000000013</v>
      </c>
      <c r="Y74" s="158">
        <f t="shared" si="94"/>
        <v>-3088642.24</v>
      </c>
      <c r="Z74" s="151">
        <f t="shared" si="94"/>
        <v>2043604.29</v>
      </c>
      <c r="AA74" s="151">
        <f t="shared" si="94"/>
        <v>817141.42999999993</v>
      </c>
      <c r="AB74" s="151">
        <f t="shared" si="94"/>
        <v>0</v>
      </c>
      <c r="AC74" s="151">
        <f t="shared" ref="AC74:BP74" si="95">AC68+AC71</f>
        <v>-1862179.3800000001</v>
      </c>
      <c r="AD74" s="151">
        <f t="shared" si="95"/>
        <v>-789445.14000000013</v>
      </c>
      <c r="AE74" s="151">
        <f t="shared" si="95"/>
        <v>437252.63</v>
      </c>
      <c r="AF74" s="151">
        <f t="shared" si="95"/>
        <v>1481.98</v>
      </c>
      <c r="AG74" s="151">
        <f t="shared" si="95"/>
        <v>0</v>
      </c>
      <c r="AH74" s="152">
        <f t="shared" si="95"/>
        <v>-353674.49000000011</v>
      </c>
      <c r="AI74" s="158">
        <f t="shared" si="95"/>
        <v>-1862179.3800000001</v>
      </c>
      <c r="AJ74" s="151">
        <f t="shared" si="95"/>
        <v>-193750.61000000002</v>
      </c>
      <c r="AK74" s="151">
        <f t="shared" si="95"/>
        <v>-2279533</v>
      </c>
      <c r="AL74" s="151">
        <f t="shared" si="95"/>
        <v>0</v>
      </c>
      <c r="AM74" s="151">
        <f t="shared" si="95"/>
        <v>0</v>
      </c>
      <c r="AN74" s="151">
        <f t="shared" si="95"/>
        <v>0</v>
      </c>
      <c r="AO74" s="151">
        <f t="shared" si="95"/>
        <v>-4619846.4999999991</v>
      </c>
      <c r="AP74" s="151">
        <f t="shared" si="95"/>
        <v>-4396243.4899999993</v>
      </c>
      <c r="AQ74" s="151">
        <f t="shared" si="95"/>
        <v>-353674.49000000011</v>
      </c>
      <c r="AR74" s="151">
        <f t="shared" si="95"/>
        <v>-110013.48999999999</v>
      </c>
      <c r="AS74" s="151">
        <f t="shared" si="95"/>
        <v>-464063.03</v>
      </c>
      <c r="AT74" s="151">
        <f t="shared" si="95"/>
        <v>1550434.4500000002</v>
      </c>
      <c r="AU74" s="152">
        <f t="shared" si="95"/>
        <v>1550809.5000000002</v>
      </c>
      <c r="AV74" s="158">
        <f t="shared" ref="AV74:BH74" si="96">AV68+AV71</f>
        <v>-4396243.4899999993</v>
      </c>
      <c r="AW74" s="151">
        <f t="shared" si="96"/>
        <v>324370.30000000028</v>
      </c>
      <c r="AX74" s="151">
        <f t="shared" si="96"/>
        <v>0</v>
      </c>
      <c r="AY74" s="151">
        <f t="shared" si="96"/>
        <v>0</v>
      </c>
      <c r="AZ74" s="151">
        <f t="shared" si="96"/>
        <v>0</v>
      </c>
      <c r="BA74" s="151">
        <f t="shared" si="96"/>
        <v>0</v>
      </c>
      <c r="BB74" s="151">
        <f t="shared" si="96"/>
        <v>0</v>
      </c>
      <c r="BC74" s="151">
        <f t="shared" si="96"/>
        <v>-4071873.19</v>
      </c>
      <c r="BD74" s="151">
        <f t="shared" si="96"/>
        <v>1550809.5000000002</v>
      </c>
      <c r="BE74" s="151">
        <f t="shared" si="96"/>
        <v>-145525.17000000001</v>
      </c>
      <c r="BF74" s="151">
        <f t="shared" si="96"/>
        <v>0</v>
      </c>
      <c r="BG74" s="151">
        <f t="shared" si="96"/>
        <v>0</v>
      </c>
      <c r="BH74" s="152">
        <f t="shared" si="96"/>
        <v>1405284.3300000003</v>
      </c>
      <c r="BI74" s="158">
        <f t="shared" si="95"/>
        <v>-4617566.0999999996</v>
      </c>
      <c r="BJ74" s="151">
        <f t="shared" si="95"/>
        <v>1456689.19</v>
      </c>
      <c r="BK74" s="151">
        <f t="shared" si="95"/>
        <v>545692.90999999922</v>
      </c>
      <c r="BL74" s="152">
        <f t="shared" si="95"/>
        <v>-51404.860000000066</v>
      </c>
      <c r="BM74" s="158">
        <f t="shared" si="95"/>
        <v>3351.1883999999891</v>
      </c>
      <c r="BN74" s="151">
        <f t="shared" si="95"/>
        <v>1117.0627999999967</v>
      </c>
      <c r="BO74" s="152">
        <f t="shared" si="95"/>
        <v>498756.30119999958</v>
      </c>
      <c r="BP74" s="152">
        <f t="shared" si="95"/>
        <v>-2604751.6600000006</v>
      </c>
      <c r="BQ74" s="145">
        <f t="shared" ref="BQ74" si="97">BP74-SUM(BC74,BH74)</f>
        <v>61837.199999998789</v>
      </c>
    </row>
    <row r="75" spans="1:69" s="148" customFormat="1" ht="15" thickBot="1" x14ac:dyDescent="0.25">
      <c r="A75" s="1"/>
      <c r="B75" s="1"/>
      <c r="C75" s="15"/>
      <c r="D75" s="15"/>
      <c r="E75" s="180"/>
      <c r="F75" s="151"/>
      <c r="G75" s="151"/>
      <c r="H75" s="151"/>
      <c r="I75" s="151"/>
      <c r="J75" s="151"/>
      <c r="K75" s="151"/>
      <c r="L75" s="151"/>
      <c r="M75" s="151"/>
      <c r="N75" s="152"/>
      <c r="O75" s="158"/>
      <c r="P75" s="151"/>
      <c r="Q75" s="151"/>
      <c r="R75" s="151"/>
      <c r="S75" s="151"/>
      <c r="T75" s="151"/>
      <c r="U75" s="151"/>
      <c r="V75" s="151"/>
      <c r="W75" s="151"/>
      <c r="X75" s="152"/>
      <c r="Y75" s="158"/>
      <c r="Z75" s="151"/>
      <c r="AA75" s="151"/>
      <c r="AB75" s="151"/>
      <c r="AC75" s="151"/>
      <c r="AD75" s="151"/>
      <c r="AE75" s="151"/>
      <c r="AF75" s="151"/>
      <c r="AG75" s="151"/>
      <c r="AH75" s="152"/>
      <c r="AI75" s="158"/>
      <c r="AJ75" s="151"/>
      <c r="AK75" s="151"/>
      <c r="AL75" s="151"/>
      <c r="AM75" s="151"/>
      <c r="AN75" s="151"/>
      <c r="AO75" s="151"/>
      <c r="AP75" s="151"/>
      <c r="AQ75" s="151"/>
      <c r="AR75" s="151"/>
      <c r="AS75" s="151"/>
      <c r="AT75" s="151"/>
      <c r="AU75" s="152"/>
      <c r="AV75" s="158"/>
      <c r="AW75" s="151"/>
      <c r="AX75" s="151"/>
      <c r="AY75" s="151"/>
      <c r="AZ75" s="151"/>
      <c r="BA75" s="151"/>
      <c r="BB75" s="151"/>
      <c r="BC75" s="151"/>
      <c r="BD75" s="151"/>
      <c r="BE75" s="151"/>
      <c r="BF75" s="151"/>
      <c r="BG75" s="151"/>
      <c r="BH75" s="152"/>
      <c r="BI75" s="158"/>
      <c r="BJ75" s="151"/>
      <c r="BK75" s="151"/>
      <c r="BL75" s="152"/>
      <c r="BM75" s="144"/>
      <c r="BN75" s="144"/>
      <c r="BO75" s="145"/>
      <c r="BP75" s="146"/>
      <c r="BQ75" s="145"/>
    </row>
    <row r="76" spans="1:69" s="148" customFormat="1" ht="17.25" thickBot="1" x14ac:dyDescent="0.25">
      <c r="A76" s="1">
        <v>36</v>
      </c>
      <c r="B76" s="1"/>
      <c r="C76" s="4" t="s">
        <v>143</v>
      </c>
      <c r="D76" s="7">
        <v>1555</v>
      </c>
      <c r="E76" s="181"/>
      <c r="F76" s="162"/>
      <c r="G76" s="162"/>
      <c r="H76" s="162">
        <v>1548012.54</v>
      </c>
      <c r="I76" s="151">
        <f>E76+F76-G76+H76</f>
        <v>1548012.54</v>
      </c>
      <c r="J76" s="162"/>
      <c r="K76" s="150">
        <v>-13763.2</v>
      </c>
      <c r="L76" s="150"/>
      <c r="M76" s="150"/>
      <c r="N76" s="152">
        <f>J76+K76-L76+M76</f>
        <v>-13763.2</v>
      </c>
      <c r="O76" s="153">
        <f>I76</f>
        <v>1548012.54</v>
      </c>
      <c r="P76" s="150">
        <f>-446.82-41-753.42-1350274.62+126273.79+8839.48+5457.82+8738.58-5729.87-25827.58-5417.5-66571.03+4175009.94</f>
        <v>2869257.7699999996</v>
      </c>
      <c r="Q76" s="150">
        <v>4175009.94</v>
      </c>
      <c r="R76" s="150"/>
      <c r="S76" s="151">
        <f>O76+P76-Q76+SUM(R76:R76)</f>
        <v>242260.36999999965</v>
      </c>
      <c r="T76" s="154">
        <f>N76</f>
        <v>-13763.2</v>
      </c>
      <c r="U76" s="150">
        <f>20405.3-3282.5</f>
        <v>17122.8</v>
      </c>
      <c r="V76" s="163"/>
      <c r="W76" s="163"/>
      <c r="X76" s="152">
        <f>T76+U76-V76+W76</f>
        <v>3359.5999999999985</v>
      </c>
      <c r="Y76" s="153">
        <f>S76</f>
        <v>242260.36999999965</v>
      </c>
      <c r="Z76" s="150">
        <f>548147.13+63059.38+175790+20992.32+2250-46002.11</f>
        <v>764236.72</v>
      </c>
      <c r="AA76" s="150"/>
      <c r="AB76" s="150"/>
      <c r="AC76" s="151">
        <f>Y76+Z76-AA76+SUM(AB76:AB76)</f>
        <v>1006497.0899999996</v>
      </c>
      <c r="AD76" s="154">
        <f>X76</f>
        <v>3359.5999999999985</v>
      </c>
      <c r="AE76" s="150">
        <v>-28414.2</v>
      </c>
      <c r="AF76" s="163"/>
      <c r="AG76" s="163"/>
      <c r="AH76" s="152">
        <f>AD76+AE76-AF76+AG76</f>
        <v>-25054.600000000002</v>
      </c>
      <c r="AI76" s="153">
        <f>AC76</f>
        <v>1006497.0899999996</v>
      </c>
      <c r="AJ76" s="150">
        <f>-6798.4+488017.72+254048.73+2310+11611.46+46887.23-96626.06</f>
        <v>699450.67999999993</v>
      </c>
      <c r="AK76" s="150"/>
      <c r="AL76" s="150"/>
      <c r="AM76" s="150"/>
      <c r="AN76" s="150"/>
      <c r="AO76" s="150"/>
      <c r="AP76" s="151">
        <f>AI76+AJ76-AK76+SUM(AL76:AO76)</f>
        <v>1705947.7699999996</v>
      </c>
      <c r="AQ76" s="154">
        <f>AH76</f>
        <v>-25054.600000000002</v>
      </c>
      <c r="AR76" s="150">
        <v>-29654.39</v>
      </c>
      <c r="AS76" s="163"/>
      <c r="AT76" s="163"/>
      <c r="AU76" s="152">
        <f>AQ76+AR76-AS76+AT76</f>
        <v>-54708.990000000005</v>
      </c>
      <c r="AV76" s="153">
        <f>AP76</f>
        <v>1705947.7699999996</v>
      </c>
      <c r="AW76" s="150">
        <f>27137.83+2945+18700.68-124788.06</f>
        <v>-76004.549999999988</v>
      </c>
      <c r="AX76" s="150"/>
      <c r="AY76" s="150"/>
      <c r="AZ76" s="150"/>
      <c r="BA76" s="150"/>
      <c r="BB76" s="150"/>
      <c r="BC76" s="151">
        <f>AV76+AW76-AX76+SUM(AY76:BB76)</f>
        <v>1629943.2199999995</v>
      </c>
      <c r="BD76" s="154">
        <f>AU76</f>
        <v>-54708.990000000005</v>
      </c>
      <c r="BE76" s="150">
        <v>-73336.210000000006</v>
      </c>
      <c r="BF76" s="163"/>
      <c r="BG76" s="163"/>
      <c r="BH76" s="152">
        <f>BD76+BE76-BF76+BG76</f>
        <v>-128045.20000000001</v>
      </c>
      <c r="BI76" s="149">
        <f>-6798.4+1161983.25+443381.9+8839.48+5255+197359.28+90818.81+2250-273146.1</f>
        <v>1629943.2200000002</v>
      </c>
      <c r="BJ76" s="150">
        <f>-133684.22+2819.51+2819.51</f>
        <v>-128045.20000000001</v>
      </c>
      <c r="BK76" s="154">
        <f t="shared" ref="BK76:BK79" si="98">BC76-BI76</f>
        <v>0</v>
      </c>
      <c r="BL76" s="155">
        <f t="shared" ref="BL76:BL79" si="99">BH76-BJ76</f>
        <v>0</v>
      </c>
      <c r="BM76" s="156"/>
      <c r="BN76" s="150"/>
      <c r="BO76" s="145">
        <f t="shared" si="37"/>
        <v>0</v>
      </c>
      <c r="BP76" s="157">
        <v>1501898.02</v>
      </c>
      <c r="BQ76" s="145">
        <f t="shared" ref="BQ76:BQ79" si="100">BP76-SUM(BC76,BH76)</f>
        <v>0</v>
      </c>
    </row>
    <row r="77" spans="1:69" s="148" customFormat="1" ht="17.25" thickBot="1" x14ac:dyDescent="0.25">
      <c r="A77" s="1">
        <v>37</v>
      </c>
      <c r="B77" s="1"/>
      <c r="C77" s="4" t="s">
        <v>144</v>
      </c>
      <c r="D77" s="7">
        <v>1555</v>
      </c>
      <c r="E77" s="181"/>
      <c r="F77" s="162"/>
      <c r="G77" s="162"/>
      <c r="H77" s="162">
        <v>-835528.71</v>
      </c>
      <c r="I77" s="151">
        <f>E77+F77-G77+H77</f>
        <v>-835528.71</v>
      </c>
      <c r="J77" s="162"/>
      <c r="K77" s="150"/>
      <c r="L77" s="150"/>
      <c r="M77" s="150"/>
      <c r="N77" s="152">
        <f>J77+K77-L77+M77</f>
        <v>0</v>
      </c>
      <c r="O77" s="153">
        <f>I77</f>
        <v>-835528.71</v>
      </c>
      <c r="P77" s="150">
        <f>-856283.79+145963.42+72961.07+22877.82+2315.49+1749.99</f>
        <v>-610416.00000000012</v>
      </c>
      <c r="Q77" s="150"/>
      <c r="R77" s="150"/>
      <c r="S77" s="151">
        <f>O77+P77-Q77+SUM(R77:R77)</f>
        <v>-1445944.71</v>
      </c>
      <c r="T77" s="154">
        <f>N77</f>
        <v>0</v>
      </c>
      <c r="U77" s="150"/>
      <c r="V77" s="163"/>
      <c r="W77" s="163"/>
      <c r="X77" s="152">
        <f>T77+U77-V77+W77</f>
        <v>0</v>
      </c>
      <c r="Y77" s="153">
        <f>S77</f>
        <v>-1445944.71</v>
      </c>
      <c r="Z77" s="150">
        <v>-604165</v>
      </c>
      <c r="AA77" s="150"/>
      <c r="AB77" s="150"/>
      <c r="AC77" s="151">
        <f>Y77+Z77-AA77+SUM(AB77:AB77)</f>
        <v>-2050109.71</v>
      </c>
      <c r="AD77" s="154">
        <f>X77</f>
        <v>0</v>
      </c>
      <c r="AE77" s="150"/>
      <c r="AF77" s="163"/>
      <c r="AG77" s="163"/>
      <c r="AH77" s="152">
        <f>AD77+AE77-AF77+AG77</f>
        <v>0</v>
      </c>
      <c r="AI77" s="153">
        <f>AC77</f>
        <v>-2050109.71</v>
      </c>
      <c r="AJ77" s="150">
        <v>-251530</v>
      </c>
      <c r="AK77" s="150"/>
      <c r="AL77" s="150"/>
      <c r="AM77" s="150"/>
      <c r="AN77" s="150"/>
      <c r="AO77" s="150"/>
      <c r="AP77" s="151">
        <f>AI77+AJ77-AK77+SUM(AL77:AO77)</f>
        <v>-2301639.71</v>
      </c>
      <c r="AQ77" s="154">
        <f>AH77</f>
        <v>0</v>
      </c>
      <c r="AR77" s="150"/>
      <c r="AS77" s="163"/>
      <c r="AT77" s="163"/>
      <c r="AU77" s="152">
        <f>AQ77+AR77-AS77+AT77</f>
        <v>0</v>
      </c>
      <c r="AV77" s="153">
        <f>AP77</f>
        <v>-2301639.71</v>
      </c>
      <c r="AW77" s="150"/>
      <c r="AX77" s="150"/>
      <c r="AY77" s="150"/>
      <c r="AZ77" s="150"/>
      <c r="BA77" s="150"/>
      <c r="BB77" s="150"/>
      <c r="BC77" s="151">
        <f>AV77+AW77-AX77+SUM(AY77:BB77)</f>
        <v>-2301639.71</v>
      </c>
      <c r="BD77" s="154">
        <f>AU77</f>
        <v>0</v>
      </c>
      <c r="BE77" s="150"/>
      <c r="BF77" s="163"/>
      <c r="BG77" s="163"/>
      <c r="BH77" s="152">
        <f>BD77+BE77-BF77+BG77</f>
        <v>0</v>
      </c>
      <c r="BI77" s="149">
        <v>-2301639.71</v>
      </c>
      <c r="BJ77" s="150"/>
      <c r="BK77" s="154">
        <f t="shared" si="98"/>
        <v>0</v>
      </c>
      <c r="BL77" s="155">
        <f t="shared" si="99"/>
        <v>0</v>
      </c>
      <c r="BM77" s="156"/>
      <c r="BN77" s="150"/>
      <c r="BO77" s="145">
        <f t="shared" si="37"/>
        <v>0</v>
      </c>
      <c r="BP77" s="157">
        <v>-2301639.71</v>
      </c>
      <c r="BQ77" s="145">
        <f t="shared" si="100"/>
        <v>0</v>
      </c>
    </row>
    <row r="78" spans="1:69" s="148" customFormat="1" ht="17.25" thickBot="1" x14ac:dyDescent="0.25">
      <c r="A78" s="1">
        <v>38</v>
      </c>
      <c r="B78" s="1"/>
      <c r="C78" s="4" t="s">
        <v>145</v>
      </c>
      <c r="D78" s="7">
        <v>1555</v>
      </c>
      <c r="E78" s="181"/>
      <c r="F78" s="162"/>
      <c r="G78" s="162"/>
      <c r="H78" s="162">
        <v>230761.59</v>
      </c>
      <c r="I78" s="151">
        <f>E78+F78-G78+H78</f>
        <v>230761.59</v>
      </c>
      <c r="J78" s="162"/>
      <c r="K78" s="150"/>
      <c r="L78" s="150"/>
      <c r="M78" s="150"/>
      <c r="N78" s="152">
        <f>J78+K78-L78+M78</f>
        <v>0</v>
      </c>
      <c r="O78" s="153">
        <f>I78</f>
        <v>230761.59</v>
      </c>
      <c r="P78" s="150">
        <v>1285385.8799999999</v>
      </c>
      <c r="Q78" s="150"/>
      <c r="R78" s="150"/>
      <c r="S78" s="151">
        <f>O78+P78-Q78+SUM(R78:R78)</f>
        <v>1516147.47</v>
      </c>
      <c r="T78" s="154">
        <f>N78</f>
        <v>0</v>
      </c>
      <c r="U78" s="150"/>
      <c r="V78" s="150"/>
      <c r="W78" s="150"/>
      <c r="X78" s="152">
        <f>T78+U78-V78+W78</f>
        <v>0</v>
      </c>
      <c r="Y78" s="153">
        <f>S78</f>
        <v>1516147.47</v>
      </c>
      <c r="Z78" s="150">
        <v>63258.59</v>
      </c>
      <c r="AA78" s="150"/>
      <c r="AB78" s="150"/>
      <c r="AC78" s="151">
        <f>Y78+Z78-AA78+SUM(AB78:AB78)</f>
        <v>1579406.06</v>
      </c>
      <c r="AD78" s="154">
        <f>X78</f>
        <v>0</v>
      </c>
      <c r="AE78" s="150"/>
      <c r="AF78" s="150"/>
      <c r="AG78" s="150"/>
      <c r="AH78" s="152">
        <f>AD78+AE78-AF78+AG78</f>
        <v>0</v>
      </c>
      <c r="AI78" s="153">
        <f>AC78</f>
        <v>1579406.06</v>
      </c>
      <c r="AJ78" s="150">
        <v>37901.69</v>
      </c>
      <c r="AK78" s="150"/>
      <c r="AL78" s="150"/>
      <c r="AM78" s="150"/>
      <c r="AN78" s="150"/>
      <c r="AO78" s="150"/>
      <c r="AP78" s="151">
        <f>AI78+AJ78-AK78+SUM(AL78:AO78)</f>
        <v>1617307.75</v>
      </c>
      <c r="AQ78" s="154">
        <f>AH78</f>
        <v>0</v>
      </c>
      <c r="AR78" s="150"/>
      <c r="AS78" s="150"/>
      <c r="AT78" s="150"/>
      <c r="AU78" s="152">
        <f>AQ78+AR78-AS78+AT78</f>
        <v>0</v>
      </c>
      <c r="AV78" s="153">
        <f>AP78</f>
        <v>1617307.75</v>
      </c>
      <c r="AW78" s="150">
        <v>-265942</v>
      </c>
      <c r="AX78" s="150"/>
      <c r="AY78" s="150"/>
      <c r="AZ78" s="150"/>
      <c r="BA78" s="150"/>
      <c r="BB78" s="150">
        <v>-56210.749796529773</v>
      </c>
      <c r="BC78" s="151">
        <f>AV78+AW78-AX78+SUM(AY78:BB78)</f>
        <v>1295155.0002034702</v>
      </c>
      <c r="BD78" s="154">
        <f>AU78</f>
        <v>0</v>
      </c>
      <c r="BE78" s="150"/>
      <c r="BF78" s="150"/>
      <c r="BG78" s="150"/>
      <c r="BH78" s="152">
        <f>BD78+BE78-BF78+BG78</f>
        <v>0</v>
      </c>
      <c r="BI78" s="149"/>
      <c r="BJ78" s="150"/>
      <c r="BK78" s="154">
        <f t="shared" si="98"/>
        <v>1295155.0002034702</v>
      </c>
      <c r="BL78" s="155">
        <f t="shared" si="99"/>
        <v>0</v>
      </c>
      <c r="BM78" s="156"/>
      <c r="BN78" s="150"/>
      <c r="BO78" s="145">
        <f t="shared" si="37"/>
        <v>1295155.0002034702</v>
      </c>
      <c r="BP78" s="157">
        <v>1351365.75</v>
      </c>
      <c r="BQ78" s="145">
        <f t="shared" si="100"/>
        <v>56210.749796529766</v>
      </c>
    </row>
    <row r="79" spans="1:69" s="148" customFormat="1" ht="17.25" thickBot="1" x14ac:dyDescent="0.25">
      <c r="A79" s="1">
        <v>39</v>
      </c>
      <c r="B79" s="1"/>
      <c r="C79" s="4" t="s">
        <v>146</v>
      </c>
      <c r="D79" s="7">
        <v>1556</v>
      </c>
      <c r="E79" s="181"/>
      <c r="F79" s="162"/>
      <c r="G79" s="162"/>
      <c r="H79" s="162">
        <v>170536.34</v>
      </c>
      <c r="I79" s="151">
        <f>E79+F79-G79+H79</f>
        <v>170536.34</v>
      </c>
      <c r="J79" s="162"/>
      <c r="K79" s="162">
        <v>569.95000000000005</v>
      </c>
      <c r="L79" s="162"/>
      <c r="M79" s="162"/>
      <c r="N79" s="152">
        <f>J79+K79-L79+M79</f>
        <v>569.95000000000005</v>
      </c>
      <c r="O79" s="172">
        <f>I79</f>
        <v>170536.34</v>
      </c>
      <c r="P79" s="162">
        <f>69643.25+47858.97-21750.15+35409.16-8207.75+5729.87</f>
        <v>128683.35</v>
      </c>
      <c r="Q79" s="162"/>
      <c r="R79" s="162"/>
      <c r="S79" s="151">
        <f>O79+P79-Q79+SUM(R79:R79)</f>
        <v>299219.69</v>
      </c>
      <c r="T79" s="173">
        <f>N79</f>
        <v>569.95000000000005</v>
      </c>
      <c r="U79" s="162">
        <v>1881.32</v>
      </c>
      <c r="V79" s="162"/>
      <c r="W79" s="162"/>
      <c r="X79" s="152">
        <f>T79+U79-V79+W79</f>
        <v>2451.27</v>
      </c>
      <c r="Y79" s="172">
        <f>S79</f>
        <v>299219.69</v>
      </c>
      <c r="Z79" s="162">
        <f>119820.41+139297.64+27198.8+8526.83-2730.63+46002.11</f>
        <v>338115.16000000003</v>
      </c>
      <c r="AA79" s="162"/>
      <c r="AB79" s="162"/>
      <c r="AC79" s="151">
        <f>Y79+Z79-AA79+SUM(AB79:AB79)</f>
        <v>637334.85000000009</v>
      </c>
      <c r="AD79" s="173">
        <f>X79</f>
        <v>2451.27</v>
      </c>
      <c r="AE79" s="162">
        <v>4301.6099999999997</v>
      </c>
      <c r="AF79" s="162"/>
      <c r="AG79" s="162"/>
      <c r="AH79" s="152">
        <f>AD79+AE79-AF79+AG79</f>
        <v>6752.8799999999992</v>
      </c>
      <c r="AI79" s="172">
        <f>AC79</f>
        <v>637334.85000000009</v>
      </c>
      <c r="AJ79" s="162">
        <f>140296.45+152195.05+17769.01+1717.42+96626.06</f>
        <v>408603.99</v>
      </c>
      <c r="AK79" s="162"/>
      <c r="AL79" s="162"/>
      <c r="AM79" s="162"/>
      <c r="AN79" s="162"/>
      <c r="AO79" s="162"/>
      <c r="AP79" s="151">
        <f>AI79+AJ79-AK79+SUM(AL79:AO79)</f>
        <v>1045938.8400000001</v>
      </c>
      <c r="AQ79" s="173">
        <f>AH79</f>
        <v>6752.8799999999992</v>
      </c>
      <c r="AR79" s="162">
        <v>8730.5</v>
      </c>
      <c r="AS79" s="162"/>
      <c r="AT79" s="162"/>
      <c r="AU79" s="152">
        <f>AQ79+AR79-AS79+AT79</f>
        <v>15483.38</v>
      </c>
      <c r="AV79" s="172">
        <f>AP79</f>
        <v>1045938.8400000001</v>
      </c>
      <c r="AW79" s="162">
        <f>153838.39+160803.58-512.19+124788.06</f>
        <v>438917.83999999997</v>
      </c>
      <c r="AX79" s="162"/>
      <c r="AY79" s="162"/>
      <c r="AZ79" s="162"/>
      <c r="BA79" s="162"/>
      <c r="BB79" s="162"/>
      <c r="BC79" s="151">
        <f>AV79+AW79-AX79+SUM(AY79:BB79)</f>
        <v>1484856.6800000002</v>
      </c>
      <c r="BD79" s="173">
        <f>AU79</f>
        <v>15483.38</v>
      </c>
      <c r="BE79" s="162">
        <v>43349.74</v>
      </c>
      <c r="BF79" s="162"/>
      <c r="BG79" s="162"/>
      <c r="BH79" s="152">
        <f>BD79+BE79-BF79+BG79</f>
        <v>58833.119999999995</v>
      </c>
      <c r="BI79" s="161">
        <f>610982.29+586067.97+44967.81+48889.74+273146.1-16768.91-13067.07-12307.51-11297.26-14305.91</f>
        <v>1496307.2500000002</v>
      </c>
      <c r="BJ79" s="162">
        <f>63597.2-2320-2444</f>
        <v>58833.2</v>
      </c>
      <c r="BK79" s="154">
        <f t="shared" si="98"/>
        <v>-11450.570000000065</v>
      </c>
      <c r="BL79" s="155">
        <f t="shared" si="99"/>
        <v>-8.000000000174623E-2</v>
      </c>
      <c r="BM79" s="174"/>
      <c r="BN79" s="162"/>
      <c r="BO79" s="145">
        <f t="shared" si="37"/>
        <v>-11450.650000000067</v>
      </c>
      <c r="BP79" s="175">
        <v>1543689.8</v>
      </c>
      <c r="BQ79" s="145">
        <f t="shared" si="100"/>
        <v>0</v>
      </c>
    </row>
    <row r="80" spans="1:69" s="148" customFormat="1" ht="15" thickBot="1" x14ac:dyDescent="0.25">
      <c r="A80" s="1"/>
      <c r="B80" s="1"/>
      <c r="C80" s="4"/>
      <c r="D80" s="7"/>
      <c r="E80" s="180"/>
      <c r="F80" s="151"/>
      <c r="G80" s="151"/>
      <c r="H80" s="151"/>
      <c r="I80" s="151"/>
      <c r="J80" s="151"/>
      <c r="K80" s="151"/>
      <c r="L80" s="151"/>
      <c r="M80" s="151"/>
      <c r="N80" s="151"/>
      <c r="O80" s="158"/>
      <c r="P80" s="151"/>
      <c r="Q80" s="151"/>
      <c r="R80" s="151"/>
      <c r="S80" s="151"/>
      <c r="T80" s="151"/>
      <c r="U80" s="151"/>
      <c r="V80" s="151"/>
      <c r="W80" s="151"/>
      <c r="X80" s="151"/>
      <c r="Y80" s="158"/>
      <c r="Z80" s="151"/>
      <c r="AA80" s="151"/>
      <c r="AB80" s="151"/>
      <c r="AC80" s="151"/>
      <c r="AD80" s="151"/>
      <c r="AE80" s="151"/>
      <c r="AF80" s="151"/>
      <c r="AG80" s="151"/>
      <c r="AH80" s="151"/>
      <c r="AI80" s="158"/>
      <c r="AJ80" s="151"/>
      <c r="AK80" s="151"/>
      <c r="AL80" s="151"/>
      <c r="AM80" s="151"/>
      <c r="AN80" s="151"/>
      <c r="AO80" s="151"/>
      <c r="AP80" s="151"/>
      <c r="AQ80" s="151"/>
      <c r="AR80" s="151"/>
      <c r="AS80" s="151"/>
      <c r="AT80" s="151"/>
      <c r="AU80" s="151"/>
      <c r="AV80" s="158"/>
      <c r="AW80" s="151"/>
      <c r="AX80" s="151"/>
      <c r="AY80" s="151"/>
      <c r="AZ80" s="151"/>
      <c r="BA80" s="151"/>
      <c r="BB80" s="151"/>
      <c r="BC80" s="151"/>
      <c r="BD80" s="151"/>
      <c r="BE80" s="151"/>
      <c r="BF80" s="151"/>
      <c r="BG80" s="151"/>
      <c r="BH80" s="151"/>
      <c r="BI80" s="158"/>
      <c r="BJ80" s="151"/>
      <c r="BK80" s="151"/>
      <c r="BL80" s="151"/>
      <c r="BM80" s="158"/>
      <c r="BN80" s="151"/>
      <c r="BO80" s="151"/>
      <c r="BP80" s="158"/>
      <c r="BQ80" s="159"/>
    </row>
    <row r="81" spans="1:69" s="148" customFormat="1" ht="17.25" thickBot="1" x14ac:dyDescent="0.25">
      <c r="A81" s="1">
        <v>40</v>
      </c>
      <c r="B81" s="1"/>
      <c r="C81" s="28" t="s">
        <v>228</v>
      </c>
      <c r="D81" s="29">
        <v>1575</v>
      </c>
      <c r="E81" s="185"/>
      <c r="F81" s="160"/>
      <c r="G81" s="160"/>
      <c r="H81" s="160"/>
      <c r="I81" s="151"/>
      <c r="J81" s="164"/>
      <c r="K81" s="160"/>
      <c r="L81" s="160"/>
      <c r="M81" s="160"/>
      <c r="N81" s="152"/>
      <c r="O81" s="176"/>
      <c r="P81" s="160"/>
      <c r="Q81" s="160"/>
      <c r="R81" s="160"/>
      <c r="S81" s="151"/>
      <c r="T81" s="164"/>
      <c r="U81" s="160"/>
      <c r="V81" s="160"/>
      <c r="W81" s="160"/>
      <c r="X81" s="152"/>
      <c r="Y81" s="176"/>
      <c r="Z81" s="160"/>
      <c r="AA81" s="160"/>
      <c r="AB81" s="160"/>
      <c r="AC81" s="151"/>
      <c r="AD81" s="164"/>
      <c r="AE81" s="160"/>
      <c r="AF81" s="160"/>
      <c r="AG81" s="160"/>
      <c r="AH81" s="152"/>
      <c r="AI81" s="176"/>
      <c r="AJ81" s="160"/>
      <c r="AK81" s="160"/>
      <c r="AL81" s="160"/>
      <c r="AM81" s="160"/>
      <c r="AN81" s="160"/>
      <c r="AO81" s="163"/>
      <c r="AP81" s="151">
        <f>AI81+AJ81-AK81+SUM(AL81:AO81)</f>
        <v>0</v>
      </c>
      <c r="AQ81" s="164">
        <f>AH81</f>
        <v>0</v>
      </c>
      <c r="AR81" s="160"/>
      <c r="AS81" s="160"/>
      <c r="AT81" s="160"/>
      <c r="AU81" s="152">
        <f>AQ81+AR81-AS81+AT81</f>
        <v>0</v>
      </c>
      <c r="AV81" s="176"/>
      <c r="AW81" s="160"/>
      <c r="AX81" s="160"/>
      <c r="AY81" s="160"/>
      <c r="AZ81" s="160"/>
      <c r="BA81" s="160"/>
      <c r="BB81" s="163"/>
      <c r="BC81" s="151">
        <f>AV81+AW81-AX81+SUM(AY81:BB81)</f>
        <v>0</v>
      </c>
      <c r="BD81" s="164">
        <f>AU81</f>
        <v>0</v>
      </c>
      <c r="BE81" s="160"/>
      <c r="BF81" s="160"/>
      <c r="BG81" s="160"/>
      <c r="BH81" s="152">
        <f>BD81+BE81-BF81+BG81</f>
        <v>0</v>
      </c>
      <c r="BI81" s="160"/>
      <c r="BJ81" s="160"/>
      <c r="BK81" s="154">
        <f t="shared" ref="BK81:BK82" si="101">BC81-BI81</f>
        <v>0</v>
      </c>
      <c r="BL81" s="155">
        <f t="shared" ref="BL81:BL82" si="102">BH81-BJ81</f>
        <v>0</v>
      </c>
      <c r="BM81" s="160"/>
      <c r="BN81" s="160"/>
      <c r="BO81" s="145">
        <f>SUM(BK81:BN81)</f>
        <v>0</v>
      </c>
      <c r="BP81" s="175"/>
      <c r="BQ81" s="145">
        <f t="shared" ref="BQ81:BQ82" si="103">BP81-SUM(BC81,BH81)</f>
        <v>0</v>
      </c>
    </row>
    <row r="82" spans="1:69" s="148" customFormat="1" ht="17.25" thickBot="1" x14ac:dyDescent="0.25">
      <c r="A82" s="1">
        <v>41</v>
      </c>
      <c r="B82" s="1"/>
      <c r="C82" s="28" t="s">
        <v>229</v>
      </c>
      <c r="D82" s="29">
        <v>1576</v>
      </c>
      <c r="E82" s="186"/>
      <c r="F82" s="160"/>
      <c r="G82" s="160"/>
      <c r="H82" s="160"/>
      <c r="I82" s="151"/>
      <c r="J82" s="154"/>
      <c r="K82" s="160"/>
      <c r="L82" s="160"/>
      <c r="M82" s="160"/>
      <c r="N82" s="152"/>
      <c r="O82" s="153"/>
      <c r="P82" s="160"/>
      <c r="Q82" s="160"/>
      <c r="R82" s="160"/>
      <c r="S82" s="151"/>
      <c r="T82" s="154"/>
      <c r="U82" s="160"/>
      <c r="V82" s="160"/>
      <c r="W82" s="160"/>
      <c r="X82" s="152"/>
      <c r="Y82" s="153"/>
      <c r="Z82" s="160"/>
      <c r="AA82" s="160"/>
      <c r="AB82" s="160"/>
      <c r="AC82" s="151"/>
      <c r="AD82" s="154"/>
      <c r="AE82" s="160"/>
      <c r="AF82" s="160"/>
      <c r="AG82" s="160"/>
      <c r="AH82" s="152"/>
      <c r="AI82" s="153"/>
      <c r="AJ82" s="160"/>
      <c r="AK82" s="160"/>
      <c r="AL82" s="160"/>
      <c r="AM82" s="160"/>
      <c r="AN82" s="160"/>
      <c r="AO82" s="150"/>
      <c r="AP82" s="151">
        <f>AI82+AJ82-AK82+SUM(AL82:AO82)</f>
        <v>0</v>
      </c>
      <c r="AQ82" s="154">
        <f>AH82</f>
        <v>0</v>
      </c>
      <c r="AR82" s="160"/>
      <c r="AS82" s="160"/>
      <c r="AT82" s="160"/>
      <c r="AU82" s="152">
        <f>AQ82+AR82-AS82+AT82</f>
        <v>0</v>
      </c>
      <c r="AV82" s="153"/>
      <c r="AW82" s="160"/>
      <c r="AX82" s="160"/>
      <c r="AY82" s="160"/>
      <c r="AZ82" s="160"/>
      <c r="BA82" s="160"/>
      <c r="BB82" s="150">
        <v>-7183832.3493090114</v>
      </c>
      <c r="BC82" s="151">
        <f>AV82+AW82-AX82+SUM(AY82:BB82)</f>
        <v>-7183832.3493090114</v>
      </c>
      <c r="BD82" s="154">
        <f>AU82</f>
        <v>0</v>
      </c>
      <c r="BE82" s="160"/>
      <c r="BF82" s="160"/>
      <c r="BG82" s="160"/>
      <c r="BH82" s="152">
        <f>BD82+BE82-BF82+BG82</f>
        <v>0</v>
      </c>
      <c r="BI82" s="160"/>
      <c r="BJ82" s="160"/>
      <c r="BK82" s="154">
        <f t="shared" si="101"/>
        <v>-7183832.3493090114</v>
      </c>
      <c r="BL82" s="155">
        <f t="shared" si="102"/>
        <v>0</v>
      </c>
      <c r="BM82" s="160"/>
      <c r="BN82" s="160"/>
      <c r="BO82" s="145">
        <f>SUM(BK82:BN82)</f>
        <v>-7183832.3493090114</v>
      </c>
      <c r="BP82" s="175">
        <v>-3054565.73</v>
      </c>
      <c r="BQ82" s="145">
        <f t="shared" si="103"/>
        <v>4129266.6193090114</v>
      </c>
    </row>
    <row r="83" spans="1:69" s="148" customFormat="1" ht="15" thickBot="1" x14ac:dyDescent="0.25">
      <c r="A83" s="1"/>
      <c r="B83" s="1"/>
      <c r="C83" s="4"/>
      <c r="D83" s="7"/>
      <c r="E83" s="187"/>
      <c r="F83" s="188"/>
      <c r="G83" s="188"/>
      <c r="H83" s="188"/>
      <c r="I83" s="188"/>
      <c r="J83" s="188"/>
      <c r="K83" s="188"/>
      <c r="L83" s="188"/>
      <c r="M83" s="188"/>
      <c r="N83" s="188"/>
      <c r="O83" s="187"/>
      <c r="P83" s="188"/>
      <c r="Q83" s="188"/>
      <c r="R83" s="188"/>
      <c r="S83" s="188"/>
      <c r="T83" s="188"/>
      <c r="U83" s="188"/>
      <c r="V83" s="188"/>
      <c r="W83" s="188"/>
      <c r="X83" s="188"/>
      <c r="Y83" s="187"/>
      <c r="Z83" s="188"/>
      <c r="AA83" s="188"/>
      <c r="AB83" s="188"/>
      <c r="AC83" s="188"/>
      <c r="AD83" s="188"/>
      <c r="AE83" s="188"/>
      <c r="AF83" s="188"/>
      <c r="AG83" s="188"/>
      <c r="AH83" s="188"/>
      <c r="AI83" s="187"/>
      <c r="AJ83" s="188"/>
      <c r="AK83" s="188"/>
      <c r="AL83" s="188"/>
      <c r="AM83" s="188"/>
      <c r="AN83" s="188"/>
      <c r="AO83" s="188"/>
      <c r="AP83" s="188"/>
      <c r="AQ83" s="188"/>
      <c r="AR83" s="188"/>
      <c r="AS83" s="188"/>
      <c r="AT83" s="188"/>
      <c r="AU83" s="188"/>
      <c r="AV83" s="187"/>
      <c r="AW83" s="188"/>
      <c r="AX83" s="188"/>
      <c r="AY83" s="188"/>
      <c r="AZ83" s="188"/>
      <c r="BA83" s="188"/>
      <c r="BB83" s="188"/>
      <c r="BC83" s="188"/>
      <c r="BD83" s="188"/>
      <c r="BE83" s="188"/>
      <c r="BF83" s="188"/>
      <c r="BG83" s="188"/>
      <c r="BH83" s="188"/>
      <c r="BI83" s="187"/>
      <c r="BJ83" s="188"/>
      <c r="BK83" s="188"/>
      <c r="BL83" s="188"/>
      <c r="BM83" s="187"/>
      <c r="BN83" s="188"/>
      <c r="BO83" s="189"/>
      <c r="BP83" s="188"/>
      <c r="BQ83" s="190"/>
    </row>
    <row r="86" spans="1:69" ht="30.75" customHeight="1" x14ac:dyDescent="0.2">
      <c r="B86" s="2"/>
      <c r="C86" s="257" t="s">
        <v>51</v>
      </c>
      <c r="D86" s="257"/>
      <c r="E86" s="257"/>
      <c r="F86" s="257"/>
    </row>
    <row r="87" spans="1:69" ht="16.5" x14ac:dyDescent="0.2">
      <c r="B87" s="17">
        <v>1</v>
      </c>
      <c r="C87" s="191" t="s">
        <v>33</v>
      </c>
      <c r="D87" s="192"/>
      <c r="E87" s="193"/>
      <c r="F87" s="193"/>
      <c r="G87" s="193"/>
      <c r="H87" s="193"/>
      <c r="I87" s="193"/>
      <c r="L87" s="121"/>
      <c r="M87" s="121"/>
      <c r="V87" s="121"/>
      <c r="W87" s="121"/>
      <c r="AF87" s="121"/>
      <c r="AG87" s="121"/>
      <c r="AS87" s="121"/>
      <c r="AT87" s="121"/>
      <c r="BF87" s="121"/>
      <c r="BG87" s="121"/>
      <c r="BI87" s="121"/>
      <c r="BJ87" s="121"/>
      <c r="BK87" s="121"/>
      <c r="BL87" s="121"/>
    </row>
    <row r="88" spans="1:69" ht="16.5" x14ac:dyDescent="0.2">
      <c r="B88" s="18" t="s">
        <v>61</v>
      </c>
      <c r="C88" s="191" t="s">
        <v>46</v>
      </c>
      <c r="D88" s="192"/>
      <c r="E88" s="193"/>
      <c r="F88" s="193"/>
      <c r="G88" s="193"/>
      <c r="H88" s="193"/>
      <c r="I88" s="193"/>
      <c r="L88" s="121"/>
      <c r="M88" s="121"/>
      <c r="V88" s="121"/>
      <c r="W88" s="121"/>
      <c r="AF88" s="121"/>
      <c r="AG88" s="121"/>
      <c r="AS88" s="121"/>
      <c r="AT88" s="121"/>
      <c r="BF88" s="121"/>
      <c r="BG88" s="121"/>
      <c r="BI88" s="121"/>
      <c r="BJ88" s="121"/>
      <c r="BK88" s="121"/>
      <c r="BL88" s="121"/>
      <c r="BQ88" s="122"/>
    </row>
    <row r="89" spans="1:69" ht="16.5" x14ac:dyDescent="0.2">
      <c r="B89" s="17">
        <v>2</v>
      </c>
      <c r="C89" s="192" t="s">
        <v>35</v>
      </c>
      <c r="D89" s="192"/>
      <c r="E89" s="193"/>
      <c r="F89" s="193"/>
      <c r="G89" s="193"/>
      <c r="H89" s="193"/>
      <c r="I89" s="193"/>
      <c r="L89" s="121"/>
      <c r="M89" s="121"/>
      <c r="V89" s="121"/>
      <c r="W89" s="121"/>
      <c r="AF89" s="121"/>
      <c r="AG89" s="121"/>
      <c r="AS89" s="121"/>
      <c r="AT89" s="121"/>
      <c r="BF89" s="121"/>
      <c r="BG89" s="121"/>
      <c r="BI89" s="121"/>
      <c r="BJ89" s="121"/>
      <c r="BK89" s="121"/>
      <c r="BL89" s="121"/>
    </row>
    <row r="90" spans="1:69" ht="16.5" x14ac:dyDescent="0.2">
      <c r="B90" s="17">
        <v>3</v>
      </c>
      <c r="C90" s="191" t="s">
        <v>34</v>
      </c>
      <c r="D90" s="192"/>
      <c r="E90" s="193"/>
      <c r="F90" s="193"/>
      <c r="G90" s="193"/>
      <c r="H90" s="193"/>
      <c r="I90" s="193"/>
      <c r="L90" s="121"/>
      <c r="M90" s="121"/>
      <c r="V90" s="121"/>
      <c r="W90" s="121"/>
      <c r="AF90" s="121"/>
      <c r="AG90" s="121"/>
      <c r="AS90" s="121"/>
      <c r="AT90" s="121"/>
      <c r="BF90" s="121"/>
      <c r="BG90" s="121"/>
      <c r="BI90" s="121"/>
      <c r="BJ90" s="121"/>
      <c r="BK90" s="121"/>
      <c r="BL90" s="121"/>
    </row>
    <row r="91" spans="1:69" ht="16.5" x14ac:dyDescent="0.2">
      <c r="B91" s="17">
        <v>4</v>
      </c>
      <c r="C91" s="191" t="s">
        <v>11</v>
      </c>
      <c r="D91" s="192"/>
      <c r="E91" s="193"/>
      <c r="F91" s="193"/>
      <c r="G91" s="193"/>
      <c r="H91" s="193"/>
      <c r="I91" s="193"/>
      <c r="L91" s="121"/>
      <c r="M91" s="121"/>
      <c r="V91" s="121"/>
      <c r="W91" s="121"/>
      <c r="AF91" s="121"/>
      <c r="AG91" s="121"/>
      <c r="AS91" s="121"/>
      <c r="AT91" s="121"/>
      <c r="BF91" s="121"/>
      <c r="BG91" s="121"/>
      <c r="BI91" s="121"/>
      <c r="BJ91" s="121"/>
      <c r="BK91" s="121"/>
      <c r="BL91" s="121"/>
    </row>
    <row r="92" spans="1:69" ht="16.5" x14ac:dyDescent="0.2">
      <c r="B92" s="17">
        <v>5</v>
      </c>
      <c r="C92" s="191" t="s">
        <v>12</v>
      </c>
      <c r="D92" s="192"/>
      <c r="E92" s="193"/>
      <c r="F92" s="193"/>
      <c r="G92" s="193"/>
      <c r="H92" s="193"/>
      <c r="I92" s="193"/>
      <c r="L92" s="121"/>
      <c r="M92" s="121"/>
      <c r="V92" s="121"/>
      <c r="W92" s="121"/>
      <c r="AF92" s="121"/>
      <c r="AG92" s="121"/>
      <c r="AS92" s="121"/>
      <c r="AT92" s="121"/>
      <c r="BF92" s="121"/>
      <c r="BG92" s="121"/>
      <c r="BI92" s="121"/>
      <c r="BJ92" s="121"/>
      <c r="BK92" s="121"/>
      <c r="BL92" s="121"/>
    </row>
    <row r="93" spans="1:69" ht="16.5" customHeight="1" x14ac:dyDescent="0.2">
      <c r="B93" s="17">
        <v>6</v>
      </c>
      <c r="C93" s="249" t="s">
        <v>282</v>
      </c>
      <c r="D93" s="250"/>
      <c r="E93" s="193"/>
      <c r="F93" s="193"/>
      <c r="G93" s="193"/>
      <c r="H93" s="193"/>
      <c r="I93" s="193"/>
      <c r="L93" s="121"/>
      <c r="M93" s="121"/>
      <c r="V93" s="121"/>
      <c r="W93" s="121"/>
      <c r="AF93" s="121"/>
      <c r="AG93" s="121"/>
      <c r="AS93" s="121"/>
      <c r="AT93" s="121"/>
      <c r="BF93" s="121"/>
      <c r="BG93" s="121"/>
      <c r="BI93" s="121"/>
      <c r="BJ93" s="121"/>
      <c r="BK93" s="121"/>
      <c r="BL93" s="121"/>
    </row>
    <row r="94" spans="1:69" ht="19.5" customHeight="1" x14ac:dyDescent="0.2">
      <c r="B94" s="17"/>
      <c r="C94" s="250"/>
      <c r="D94" s="250"/>
      <c r="E94" s="193"/>
      <c r="F94" s="193"/>
      <c r="G94" s="193"/>
      <c r="H94" s="193"/>
      <c r="I94" s="193"/>
      <c r="L94" s="121"/>
      <c r="M94" s="121"/>
      <c r="V94" s="121"/>
      <c r="W94" s="121"/>
      <c r="AF94" s="121"/>
      <c r="AG94" s="121"/>
      <c r="AS94" s="121"/>
      <c r="AT94" s="121"/>
      <c r="BF94" s="121"/>
      <c r="BG94" s="121"/>
      <c r="BI94" s="121"/>
      <c r="BJ94" s="121"/>
      <c r="BK94" s="121"/>
      <c r="BL94" s="121"/>
    </row>
    <row r="95" spans="1:69" ht="3.75" customHeight="1" x14ac:dyDescent="0.2">
      <c r="B95" s="17"/>
      <c r="C95" s="250"/>
      <c r="D95" s="250"/>
      <c r="E95" s="193"/>
      <c r="F95" s="193"/>
      <c r="G95" s="193"/>
      <c r="H95" s="193"/>
      <c r="I95" s="193"/>
      <c r="L95" s="121"/>
      <c r="M95" s="121"/>
      <c r="V95" s="121"/>
      <c r="W95" s="121"/>
      <c r="AF95" s="121"/>
      <c r="AG95" s="121"/>
      <c r="AS95" s="121"/>
      <c r="AT95" s="121"/>
      <c r="BF95" s="121"/>
      <c r="BG95" s="121"/>
      <c r="BI95" s="121"/>
      <c r="BJ95" s="121"/>
      <c r="BK95" s="121"/>
      <c r="BL95" s="121"/>
    </row>
    <row r="96" spans="1:69" ht="16.5" x14ac:dyDescent="0.2">
      <c r="B96" s="17">
        <v>8</v>
      </c>
      <c r="C96" s="191" t="s">
        <v>59</v>
      </c>
      <c r="D96" s="192"/>
      <c r="E96" s="193"/>
      <c r="F96" s="193"/>
      <c r="G96" s="193"/>
      <c r="H96" s="193"/>
      <c r="I96" s="193"/>
    </row>
    <row r="97" spans="2:9" x14ac:dyDescent="0.2">
      <c r="C97" s="191" t="s">
        <v>76</v>
      </c>
      <c r="D97" s="192"/>
      <c r="E97" s="193"/>
      <c r="F97" s="193"/>
      <c r="G97" s="193"/>
      <c r="H97" s="193"/>
      <c r="I97" s="193"/>
    </row>
    <row r="98" spans="2:9" ht="14.25" x14ac:dyDescent="0.2">
      <c r="C98" s="191" t="s">
        <v>60</v>
      </c>
      <c r="D98" s="194"/>
      <c r="E98" s="193"/>
      <c r="F98" s="193"/>
      <c r="G98" s="193"/>
      <c r="H98" s="193"/>
      <c r="I98" s="193"/>
    </row>
    <row r="99" spans="2:9" ht="40.700000000000003" customHeight="1" x14ac:dyDescent="0.2">
      <c r="B99" s="118">
        <v>9</v>
      </c>
      <c r="C99" s="249" t="s">
        <v>155</v>
      </c>
      <c r="D99" s="249"/>
      <c r="E99" s="249"/>
      <c r="F99" s="249"/>
      <c r="G99" s="249"/>
      <c r="H99" s="249"/>
      <c r="I99" s="249"/>
    </row>
    <row r="100" spans="2:9" ht="16.5" x14ac:dyDescent="0.2">
      <c r="B100" s="17">
        <v>10</v>
      </c>
      <c r="C100" s="191" t="s">
        <v>73</v>
      </c>
      <c r="D100" s="192"/>
      <c r="E100" s="193"/>
      <c r="F100" s="193"/>
      <c r="G100" s="193"/>
      <c r="H100" s="193"/>
      <c r="I100" s="193"/>
    </row>
    <row r="101" spans="2:9" x14ac:dyDescent="0.2">
      <c r="C101" s="191" t="s">
        <v>74</v>
      </c>
      <c r="D101" s="192"/>
      <c r="E101" s="193"/>
      <c r="F101" s="193"/>
      <c r="G101" s="193"/>
      <c r="H101" s="193"/>
      <c r="I101" s="193"/>
    </row>
  </sheetData>
  <sheetProtection password="F8BD" sheet="1" objects="1" scenarios="1"/>
  <mergeCells count="77">
    <mergeCell ref="C99:I99"/>
    <mergeCell ref="AV19:BH19"/>
    <mergeCell ref="AV20:AV22"/>
    <mergeCell ref="AW20:AW22"/>
    <mergeCell ref="AX20:AX22"/>
    <mergeCell ref="AY20:AY22"/>
    <mergeCell ref="AZ20:AZ22"/>
    <mergeCell ref="BA20:BA22"/>
    <mergeCell ref="BB20:BB22"/>
    <mergeCell ref="BC20:BC22"/>
    <mergeCell ref="BD20:BD22"/>
    <mergeCell ref="BE20:BE22"/>
    <mergeCell ref="BF20:BF22"/>
    <mergeCell ref="BG20:BG22"/>
    <mergeCell ref="BH20:BH22"/>
    <mergeCell ref="Y19:AH19"/>
    <mergeCell ref="C93:D95"/>
    <mergeCell ref="C20:C22"/>
    <mergeCell ref="D20:D22"/>
    <mergeCell ref="M20:M22"/>
    <mergeCell ref="I20:I22"/>
    <mergeCell ref="L20:L22"/>
    <mergeCell ref="J20:J22"/>
    <mergeCell ref="G20:G22"/>
    <mergeCell ref="H20:H22"/>
    <mergeCell ref="C86:F86"/>
    <mergeCell ref="O19:X19"/>
    <mergeCell ref="AF20:AF22"/>
    <mergeCell ref="AG20:AG22"/>
    <mergeCell ref="W20:W22"/>
    <mergeCell ref="BP20:BP22"/>
    <mergeCell ref="BJ20:BJ22"/>
    <mergeCell ref="BI19:BL19"/>
    <mergeCell ref="BK20:BK22"/>
    <mergeCell ref="BL20:BL22"/>
    <mergeCell ref="BI20:BI22"/>
    <mergeCell ref="AH20:AH22"/>
    <mergeCell ref="U20:U22"/>
    <mergeCell ref="AE20:AE22"/>
    <mergeCell ref="X20:X22"/>
    <mergeCell ref="V20:V22"/>
    <mergeCell ref="O20:O22"/>
    <mergeCell ref="BQ20:BQ22"/>
    <mergeCell ref="BM19:BO19"/>
    <mergeCell ref="BO20:BO22"/>
    <mergeCell ref="BN20:BN22"/>
    <mergeCell ref="BM20:BM22"/>
    <mergeCell ref="E19:N19"/>
    <mergeCell ref="E20:E22"/>
    <mergeCell ref="F20:F22"/>
    <mergeCell ref="AI19:AU19"/>
    <mergeCell ref="AI20:AI22"/>
    <mergeCell ref="AJ20:AJ22"/>
    <mergeCell ref="AK20:AK22"/>
    <mergeCell ref="AL20:AL22"/>
    <mergeCell ref="AM20:AM22"/>
    <mergeCell ref="AN20:AN22"/>
    <mergeCell ref="AO20:AO22"/>
    <mergeCell ref="AP20:AP22"/>
    <mergeCell ref="AQ20:AQ22"/>
    <mergeCell ref="R20:R22"/>
    <mergeCell ref="S20:S22"/>
    <mergeCell ref="T20:T22"/>
    <mergeCell ref="AU20:AU22"/>
    <mergeCell ref="AR20:AR22"/>
    <mergeCell ref="AS20:AS22"/>
    <mergeCell ref="AT20:AT22"/>
    <mergeCell ref="K20:K22"/>
    <mergeCell ref="AD20:AD22"/>
    <mergeCell ref="N20:N22"/>
    <mergeCell ref="P20:P22"/>
    <mergeCell ref="Q20:Q22"/>
    <mergeCell ref="Y20:Y22"/>
    <mergeCell ref="Z20:Z22"/>
    <mergeCell ref="AA20:AA22"/>
    <mergeCell ref="AB20:AB22"/>
    <mergeCell ref="AC20:AC22"/>
  </mergeCells>
  <phoneticPr fontId="13" type="noConversion"/>
  <pageMargins left="0.36" right="0.41" top="0.64" bottom="0.72" header="0.32" footer="0.51181102362204722"/>
  <pageSetup scale="34" orientation="landscape" r:id="rId1"/>
  <headerFooter alignWithMargins="0"/>
  <colBreaks count="3" manualBreakCount="3">
    <brk id="4" max="1048575" man="1"/>
    <brk id="14" max="1048575" man="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6:F67"/>
  <sheetViews>
    <sheetView showGridLines="0" topLeftCell="C27" zoomScale="80" zoomScaleNormal="80" workbookViewId="0">
      <selection activeCell="F24" sqref="F24:J24"/>
    </sheetView>
  </sheetViews>
  <sheetFormatPr defaultColWidth="9.140625" defaultRowHeight="12.75" x14ac:dyDescent="0.2"/>
  <cols>
    <col min="1" max="1" width="6" style="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6" spans="2:5" ht="30" customHeight="1" x14ac:dyDescent="0.2">
      <c r="B16" s="261" t="s">
        <v>126</v>
      </c>
      <c r="C16" s="261"/>
      <c r="D16" s="261"/>
      <c r="E16" s="261"/>
    </row>
    <row r="18" spans="1:6" ht="38.25" customHeight="1" thickBot="1" x14ac:dyDescent="0.25">
      <c r="B18"/>
      <c r="C18"/>
      <c r="D18"/>
    </row>
    <row r="19" spans="1:6" ht="29.25" thickBot="1" x14ac:dyDescent="0.5">
      <c r="C19" s="24"/>
      <c r="D19" s="21"/>
      <c r="E19" s="22"/>
      <c r="F19" s="21"/>
    </row>
    <row r="20" spans="1:6" ht="14.25" customHeight="1" x14ac:dyDescent="0.2">
      <c r="C20" s="258" t="s">
        <v>24</v>
      </c>
      <c r="D20" s="255" t="s">
        <v>0</v>
      </c>
      <c r="E20" s="226" t="s">
        <v>265</v>
      </c>
      <c r="F20" s="254" t="s">
        <v>30</v>
      </c>
    </row>
    <row r="21" spans="1:6" ht="24.75" customHeight="1" x14ac:dyDescent="0.2">
      <c r="C21" s="259"/>
      <c r="D21" s="255"/>
      <c r="E21" s="227"/>
      <c r="F21" s="255"/>
    </row>
    <row r="22" spans="1:6" ht="36.75" customHeight="1" thickBot="1" x14ac:dyDescent="0.25">
      <c r="B22" s="19"/>
      <c r="C22" s="260"/>
      <c r="D22" s="256"/>
      <c r="E22" s="228"/>
      <c r="F22" s="256"/>
    </row>
    <row r="23" spans="1:6" ht="33.75" customHeight="1" x14ac:dyDescent="0.2">
      <c r="C23" s="27" t="s">
        <v>37</v>
      </c>
      <c r="D23" s="20"/>
      <c r="E23" s="23"/>
      <c r="F23" s="6"/>
    </row>
    <row r="24" spans="1:6" ht="30.75" customHeight="1" x14ac:dyDescent="0.2">
      <c r="A24" s="1">
        <v>1</v>
      </c>
      <c r="C24" s="33" t="s">
        <v>39</v>
      </c>
      <c r="D24" s="32">
        <v>1550</v>
      </c>
      <c r="E24" s="25">
        <f>IF(ISERROR(VLOOKUP($A24, '2. 2014 Continuity Schedule'!$A$20:$BQ$85, MATCH('3. Appendix A'!$E$20, '2. 2014 Continuity Schedule'!$A$20:$BQ$20,0),FALSE)), 0, VLOOKUP($A24, '2. 2014 Continuity Schedule'!$A$20:$BQ$85, MATCH('3. Appendix A'!$E$20, '2. 2014 Continuity Schedule'!$A$20:$BQ$20,0),FALSE))</f>
        <v>0.3900000000212458</v>
      </c>
      <c r="F24" s="30"/>
    </row>
    <row r="25" spans="1:6" ht="30.75" hidden="1" customHeight="1" x14ac:dyDescent="0.2">
      <c r="A25" s="1">
        <v>2</v>
      </c>
      <c r="C25" s="33" t="s">
        <v>244</v>
      </c>
      <c r="D25" s="32">
        <v>1551</v>
      </c>
      <c r="E25" s="25">
        <f>IF(ISERROR(VLOOKUP($A25, '2. 2014 Continuity Schedule'!$A$20:$BQ$85, MATCH('3. Appendix A'!$E$20, '2. 2014 Continuity Schedule'!$A$20:$BQ$20,0),FALSE)), 0, VLOOKUP($A25, '2. 2014 Continuity Schedule'!$A$20:$BQ$85, MATCH('3. Appendix A'!$E$20, '2. 2014 Continuity Schedule'!$A$20:$BQ$20,0),FALSE))</f>
        <v>0</v>
      </c>
      <c r="F25" s="30"/>
    </row>
    <row r="26" spans="1:6" ht="30.75" customHeight="1" x14ac:dyDescent="0.2">
      <c r="A26" s="1">
        <v>3</v>
      </c>
      <c r="C26" s="33" t="s">
        <v>1</v>
      </c>
      <c r="D26" s="32">
        <v>1580</v>
      </c>
      <c r="E26" s="25">
        <f>IF(ISERROR(VLOOKUP($A26, '2. 2014 Continuity Schedule'!$A$20:$BQ$85, MATCH('3. Appendix A'!$E$20, '2. 2014 Continuity Schedule'!$A$20:$BQ$20,0),FALSE)), 0, VLOOKUP($A26, '2. 2014 Continuity Schedule'!$A$20:$BQ$85, MATCH('3. Appendix A'!$E$20, '2. 2014 Continuity Schedule'!$A$20:$BQ$20,0),FALSE))</f>
        <v>0.26999999955296516</v>
      </c>
      <c r="F26" s="30"/>
    </row>
    <row r="27" spans="1:6" ht="30.75" customHeight="1" x14ac:dyDescent="0.2">
      <c r="A27" s="1">
        <v>4</v>
      </c>
      <c r="C27" s="33" t="s">
        <v>2</v>
      </c>
      <c r="D27" s="32">
        <v>1584</v>
      </c>
      <c r="E27" s="25">
        <f>IF(ISERROR(VLOOKUP($A27, '2. 2014 Continuity Schedule'!$A$20:$BQ$85, MATCH('3. Appendix A'!$E$20, '2. 2014 Continuity Schedule'!$A$20:$BQ$20,0),FALSE)), 0, VLOOKUP($A27, '2. 2014 Continuity Schedule'!$A$20:$BQ$85, MATCH('3. Appendix A'!$E$20, '2. 2014 Continuity Schedule'!$A$20:$BQ$20,0),FALSE))</f>
        <v>1.9999999785795808E-2</v>
      </c>
      <c r="F27" s="30"/>
    </row>
    <row r="28" spans="1:6" ht="30.75" customHeight="1" x14ac:dyDescent="0.2">
      <c r="A28" s="1">
        <v>5</v>
      </c>
      <c r="C28" s="33" t="s">
        <v>3</v>
      </c>
      <c r="D28" s="32">
        <v>1586</v>
      </c>
      <c r="E28" s="25">
        <f>IF(ISERROR(VLOOKUP($A28, '2. 2014 Continuity Schedule'!$A$20:$BQ$85, MATCH('3. Appendix A'!$E$20, '2. 2014 Continuity Schedule'!$A$20:$BQ$20,0),FALSE)), 0, VLOOKUP($A28, '2. 2014 Continuity Schedule'!$A$20:$BQ$85, MATCH('3. Appendix A'!$E$20, '2. 2014 Continuity Schedule'!$A$20:$BQ$20,0),FALSE))</f>
        <v>-0.47000000020489097</v>
      </c>
      <c r="F28" s="30"/>
    </row>
    <row r="29" spans="1:6" ht="30.75" customHeight="1" x14ac:dyDescent="0.2">
      <c r="A29" s="1">
        <v>6</v>
      </c>
      <c r="C29" s="33" t="s">
        <v>75</v>
      </c>
      <c r="D29" s="32">
        <v>1588</v>
      </c>
      <c r="E29" s="25">
        <f>IF(ISERROR(VLOOKUP($A29, '2. 2014 Continuity Schedule'!$A$20:$BQ$85, MATCH('3. Appendix A'!$E$20, '2. 2014 Continuity Schedule'!$A$20:$BQ$20,0),FALSE)), 0, VLOOKUP($A29, '2. 2014 Continuity Schedule'!$A$20:$BQ$85, MATCH('3. Appendix A'!$E$20, '2. 2014 Continuity Schedule'!$A$20:$BQ$20,0),FALSE))</f>
        <v>-0.49000000022351742</v>
      </c>
      <c r="F29" s="30"/>
    </row>
    <row r="30" spans="1:6" ht="30.75" customHeight="1" x14ac:dyDescent="0.2">
      <c r="A30" s="1">
        <v>7</v>
      </c>
      <c r="C30" s="33" t="s">
        <v>127</v>
      </c>
      <c r="D30" s="32">
        <v>1589</v>
      </c>
      <c r="E30" s="25">
        <f>IF(ISERROR(VLOOKUP($A30, '2. 2014 Continuity Schedule'!$A$20:$BQ$85, MATCH('3. Appendix A'!$E$20, '2. 2014 Continuity Schedule'!$A$20:$BQ$20,0),FALSE)), 0, VLOOKUP($A30, '2. 2014 Continuity Schedule'!$A$20:$BQ$85, MATCH('3. Appendix A'!$E$20, '2. 2014 Continuity Schedule'!$A$20:$BQ$20,0),FALSE))</f>
        <v>0.15000000037252903</v>
      </c>
      <c r="F30" s="30"/>
    </row>
    <row r="31" spans="1:6" ht="30.75" hidden="1" customHeight="1" x14ac:dyDescent="0.2">
      <c r="A31" s="1">
        <v>8</v>
      </c>
      <c r="C31" s="35" t="s">
        <v>108</v>
      </c>
      <c r="D31" s="32">
        <v>1595</v>
      </c>
      <c r="E31" s="25">
        <f>IF(ISERROR(VLOOKUP($A31, '2. 2014 Continuity Schedule'!$A$20:$BQ$85, MATCH('3. Appendix A'!$E$20, '2. 2014 Continuity Schedule'!$A$20:$BQ$20,0),FALSE)), 0, VLOOKUP($A31, '2. 2014 Continuity Schedule'!$A$20:$BQ$85, MATCH('3. Appendix A'!$E$20, '2. 2014 Continuity Schedule'!$A$20:$BQ$20,0),FALSE))</f>
        <v>0</v>
      </c>
      <c r="F31" s="30"/>
    </row>
    <row r="32" spans="1:6" ht="30.75" hidden="1" customHeight="1" x14ac:dyDescent="0.2">
      <c r="A32" s="1">
        <v>9</v>
      </c>
      <c r="C32" s="35" t="s">
        <v>109</v>
      </c>
      <c r="D32" s="32">
        <v>1595</v>
      </c>
      <c r="E32" s="25">
        <f>IF(ISERROR(VLOOKUP($A32, '2. 2014 Continuity Schedule'!$A$20:$BQ$85, MATCH('3. Appendix A'!$E$20, '2. 2014 Continuity Schedule'!$A$20:$BQ$20,0),FALSE)), 0, VLOOKUP($A32, '2. 2014 Continuity Schedule'!$A$20:$BQ$85, MATCH('3. Appendix A'!$E$20, '2. 2014 Continuity Schedule'!$A$20:$BQ$20,0),FALSE))</f>
        <v>0</v>
      </c>
      <c r="F32" s="30"/>
    </row>
    <row r="33" spans="1:6" ht="30.75" hidden="1" customHeight="1" x14ac:dyDescent="0.2">
      <c r="A33" s="1">
        <v>10</v>
      </c>
      <c r="C33" s="35" t="s">
        <v>110</v>
      </c>
      <c r="D33" s="32">
        <v>1595</v>
      </c>
      <c r="E33" s="25">
        <f>IF(ISERROR(VLOOKUP($A33, '2. 2014 Continuity Schedule'!$A$20:$BQ$85, MATCH('3. Appendix A'!$E$20, '2. 2014 Continuity Schedule'!$A$20:$BQ$20,0),FALSE)), 0, VLOOKUP($A33, '2. 2014 Continuity Schedule'!$A$20:$BQ$85, MATCH('3. Appendix A'!$E$20, '2. 2014 Continuity Schedule'!$A$20:$BQ$20,0),FALSE))</f>
        <v>0</v>
      </c>
      <c r="F33" s="30"/>
    </row>
    <row r="34" spans="1:6" ht="30.75" customHeight="1" x14ac:dyDescent="0.2">
      <c r="A34" s="1">
        <v>11</v>
      </c>
      <c r="C34" s="35" t="s">
        <v>227</v>
      </c>
      <c r="D34" s="32">
        <v>1595</v>
      </c>
      <c r="E34" s="25">
        <f>IF(ISERROR(VLOOKUP($A34, '2. 2014 Continuity Schedule'!$A$20:$BQ$85, MATCH('3. Appendix A'!$E$20, '2. 2014 Continuity Schedule'!$A$20:$BQ$20,0),FALSE)), 0, VLOOKUP($A34, '2. 2014 Continuity Schedule'!$A$20:$BQ$85, MATCH('3. Appendix A'!$E$20, '2. 2014 Continuity Schedule'!$A$20:$BQ$20,0),FALSE))</f>
        <v>-0.22000000001571607</v>
      </c>
      <c r="F34" s="30"/>
    </row>
    <row r="35" spans="1:6" ht="30.75" hidden="1" customHeight="1" x14ac:dyDescent="0.2">
      <c r="A35" s="1">
        <v>12</v>
      </c>
      <c r="C35" s="35" t="s">
        <v>274</v>
      </c>
      <c r="D35" s="32">
        <v>1595</v>
      </c>
      <c r="E35" s="25">
        <f>IF(ISERROR(VLOOKUP($A35, '2. 2014 Continuity Schedule'!$A$20:$BQ$85, MATCH('3. Appendix A'!$E$20, '2. 2014 Continuity Schedule'!$A$20:$BQ$20,0),FALSE)), 0, VLOOKUP($A35, '2. 2014 Continuity Schedule'!$A$20:$BQ$85, MATCH('3. Appendix A'!$E$20, '2. 2014 Continuity Schedule'!$A$20:$BQ$20,0),FALSE))</f>
        <v>0</v>
      </c>
      <c r="F35" s="30"/>
    </row>
    <row r="36" spans="1:6" ht="30.75" customHeight="1" x14ac:dyDescent="0.2">
      <c r="C36" s="35"/>
      <c r="D36" s="32"/>
      <c r="E36" s="25"/>
      <c r="F36" s="117"/>
    </row>
    <row r="37" spans="1:6" ht="30.75" customHeight="1" thickBot="1" x14ac:dyDescent="0.25">
      <c r="C37" s="27" t="s">
        <v>38</v>
      </c>
      <c r="D37" s="26"/>
      <c r="E37" s="25"/>
      <c r="F37" s="205"/>
    </row>
    <row r="38" spans="1:6" ht="30.75" customHeight="1" x14ac:dyDescent="0.2">
      <c r="A38" s="1">
        <v>13</v>
      </c>
      <c r="C38" s="33" t="s">
        <v>44</v>
      </c>
      <c r="D38" s="32">
        <v>1508</v>
      </c>
      <c r="E38" s="25">
        <f>IF(ISERROR(VLOOKUP($A38, '2. 2014 Continuity Schedule'!$A$20:$BQ$85, MATCH('3. Appendix A'!$E$20, '2. 2014 Continuity Schedule'!$A$20:$BQ$20,0),FALSE)), 0, VLOOKUP($A38, '2. 2014 Continuity Schedule'!$A$20:$BQ$85, MATCH('3. Appendix A'!$E$20, '2. 2014 Continuity Schedule'!$A$20:$BQ$20,0),FALSE))</f>
        <v>9.9999999983992893E-3</v>
      </c>
      <c r="F38" s="204"/>
    </row>
    <row r="39" spans="1:6" ht="30.75" customHeight="1" x14ac:dyDescent="0.2">
      <c r="A39" s="1">
        <v>14</v>
      </c>
      <c r="C39" s="33" t="s">
        <v>45</v>
      </c>
      <c r="D39" s="32">
        <v>1508</v>
      </c>
      <c r="E39" s="25">
        <f>IF(ISERROR(VLOOKUP($A39, '2. 2014 Continuity Schedule'!$A$20:$BQ$85, MATCH('3. Appendix A'!$E$20, '2. 2014 Continuity Schedule'!$A$20:$BQ$20,0),FALSE)), 0, VLOOKUP($A39, '2. 2014 Continuity Schedule'!$A$20:$BQ$85, MATCH('3. Appendix A'!$E$20, '2. 2014 Continuity Schedule'!$A$20:$BQ$20,0),FALSE))</f>
        <v>-1.0000000000218279E-2</v>
      </c>
      <c r="F39" s="30"/>
    </row>
    <row r="40" spans="1:6" ht="30.75" hidden="1" customHeight="1" x14ac:dyDescent="0.2">
      <c r="A40" s="1">
        <v>15</v>
      </c>
      <c r="C40" s="34" t="s">
        <v>111</v>
      </c>
      <c r="D40" s="32">
        <v>1508</v>
      </c>
      <c r="E40" s="25">
        <f>IF(ISERROR(VLOOKUP($A40, '2. 2014 Continuity Schedule'!$A$20:$BQ$85, MATCH('3. Appendix A'!$E$20, '2. 2014 Continuity Schedule'!$A$20:$BQ$20,0),FALSE)), 0, VLOOKUP($A40, '2. 2014 Continuity Schedule'!$A$20:$BQ$85, MATCH('3. Appendix A'!$E$20, '2. 2014 Continuity Schedule'!$A$20:$BQ$20,0),FALSE))</f>
        <v>0</v>
      </c>
      <c r="F40" s="30"/>
    </row>
    <row r="41" spans="1:6" ht="30.75" hidden="1" customHeight="1" x14ac:dyDescent="0.2">
      <c r="A41" s="1">
        <v>16</v>
      </c>
      <c r="C41" s="34" t="s">
        <v>58</v>
      </c>
      <c r="D41" s="32">
        <v>1508</v>
      </c>
      <c r="E41" s="25">
        <f>IF(ISERROR(VLOOKUP($A41, '2. 2014 Continuity Schedule'!$A$20:$BQ$85, MATCH('3. Appendix A'!$E$20, '2. 2014 Continuity Schedule'!$A$20:$BQ$20,0),FALSE)), 0, VLOOKUP($A41, '2. 2014 Continuity Schedule'!$A$20:$BQ$85, MATCH('3. Appendix A'!$E$20, '2. 2014 Continuity Schedule'!$A$20:$BQ$20,0),FALSE))</f>
        <v>0</v>
      </c>
      <c r="F41" s="30"/>
    </row>
    <row r="42" spans="1:6" ht="30.75" hidden="1" customHeight="1" x14ac:dyDescent="0.2">
      <c r="A42" s="1">
        <v>17</v>
      </c>
      <c r="C42" s="34" t="s">
        <v>273</v>
      </c>
      <c r="D42" s="32">
        <v>1508</v>
      </c>
      <c r="E42" s="25">
        <f>IF(ISERROR(VLOOKUP($A42, '2. 2014 Continuity Schedule'!$A$20:$BQ$85, MATCH('3. Appendix A'!$E$20, '2. 2014 Continuity Schedule'!$A$20:$BQ$20,0),FALSE)), 0, VLOOKUP($A42, '2. 2014 Continuity Schedule'!$A$20:$BQ$85, MATCH('3. Appendix A'!$E$20, '2. 2014 Continuity Schedule'!$A$20:$BQ$20,0),FALSE))</f>
        <v>0</v>
      </c>
      <c r="F42" s="30"/>
    </row>
    <row r="43" spans="1:6" ht="30.75" hidden="1" customHeight="1" x14ac:dyDescent="0.2">
      <c r="A43" s="1">
        <v>18</v>
      </c>
      <c r="C43" s="34" t="s">
        <v>4</v>
      </c>
      <c r="D43" s="32">
        <v>1518</v>
      </c>
      <c r="E43" s="25">
        <f>IF(ISERROR(VLOOKUP($A43, '2. 2014 Continuity Schedule'!$A$20:$BQ$85, MATCH('3. Appendix A'!$E$20, '2. 2014 Continuity Schedule'!$A$20:$BQ$20,0),FALSE)), 0, VLOOKUP($A43, '2. 2014 Continuity Schedule'!$A$20:$BQ$85, MATCH('3. Appendix A'!$E$20, '2. 2014 Continuity Schedule'!$A$20:$BQ$20,0),FALSE))</f>
        <v>0</v>
      </c>
      <c r="F43" s="30"/>
    </row>
    <row r="44" spans="1:6" ht="30.75" hidden="1" customHeight="1" x14ac:dyDescent="0.2">
      <c r="A44" s="1">
        <v>19</v>
      </c>
      <c r="C44" s="33" t="s">
        <v>9</v>
      </c>
      <c r="D44" s="32">
        <v>1525</v>
      </c>
      <c r="E44" s="25">
        <f>IF(ISERROR(VLOOKUP($A44, '2. 2014 Continuity Schedule'!$A$20:$BQ$85, MATCH('3. Appendix A'!$E$20, '2. 2014 Continuity Schedule'!$A$20:$BQ$20,0),FALSE)), 0, VLOOKUP($A44, '2. 2014 Continuity Schedule'!$A$20:$BQ$85, MATCH('3. Appendix A'!$E$20, '2. 2014 Continuity Schedule'!$A$20:$BQ$20,0),FALSE))</f>
        <v>0</v>
      </c>
      <c r="F44" s="30"/>
    </row>
    <row r="45" spans="1:6" ht="30.75" hidden="1" customHeight="1" x14ac:dyDescent="0.2">
      <c r="A45" s="1">
        <v>20</v>
      </c>
      <c r="C45" s="33" t="s">
        <v>41</v>
      </c>
      <c r="D45" s="32">
        <v>1531</v>
      </c>
      <c r="E45" s="25">
        <f>IF(ISERROR(VLOOKUP($A45, '2. 2014 Continuity Schedule'!$A$20:$BQ$85, MATCH('3. Appendix A'!$E$20, '2. 2014 Continuity Schedule'!$A$20:$BQ$20,0),FALSE)), 0, VLOOKUP($A45, '2. 2014 Continuity Schedule'!$A$20:$BQ$85, MATCH('3. Appendix A'!$E$20, '2. 2014 Continuity Schedule'!$A$20:$BQ$20,0),FALSE))</f>
        <v>0</v>
      </c>
      <c r="F45" s="30"/>
    </row>
    <row r="46" spans="1:6" ht="30.75" hidden="1" customHeight="1" x14ac:dyDescent="0.2">
      <c r="A46" s="1">
        <v>21</v>
      </c>
      <c r="C46" s="33" t="s">
        <v>42</v>
      </c>
      <c r="D46" s="32">
        <v>1532</v>
      </c>
      <c r="E46" s="25">
        <f>IF(ISERROR(VLOOKUP($A46, '2. 2014 Continuity Schedule'!$A$20:$BQ$85, MATCH('3. Appendix A'!$E$20, '2. 2014 Continuity Schedule'!$A$20:$BQ$20,0),FALSE)), 0, VLOOKUP($A46, '2. 2014 Continuity Schedule'!$A$20:$BQ$85, MATCH('3. Appendix A'!$E$20, '2. 2014 Continuity Schedule'!$A$20:$BQ$20,0),FALSE))</f>
        <v>0</v>
      </c>
      <c r="F46" s="30"/>
    </row>
    <row r="47" spans="1:6" ht="30.75" hidden="1" customHeight="1" x14ac:dyDescent="0.2">
      <c r="A47" s="1">
        <v>22</v>
      </c>
      <c r="C47" s="33" t="s">
        <v>25</v>
      </c>
      <c r="D47" s="32">
        <v>1533</v>
      </c>
      <c r="E47" s="25">
        <f>IF(ISERROR(VLOOKUP($A47, '2. 2014 Continuity Schedule'!$A$20:$BQ$85, MATCH('3. Appendix A'!$E$20, '2. 2014 Continuity Schedule'!$A$20:$BQ$20,0),FALSE)), 0, VLOOKUP($A47, '2. 2014 Continuity Schedule'!$A$20:$BQ$85, MATCH('3. Appendix A'!$E$20, '2. 2014 Continuity Schedule'!$A$20:$BQ$20,0),FALSE))</f>
        <v>0</v>
      </c>
      <c r="F47" s="30"/>
    </row>
    <row r="48" spans="1:6" ht="30.75" hidden="1" customHeight="1" x14ac:dyDescent="0.2">
      <c r="A48" s="1">
        <v>23</v>
      </c>
      <c r="C48" s="33" t="s">
        <v>17</v>
      </c>
      <c r="D48" s="32">
        <v>1534</v>
      </c>
      <c r="E48" s="25">
        <f>IF(ISERROR(VLOOKUP($A48, '2. 2014 Continuity Schedule'!$A$20:$BQ$85, MATCH('3. Appendix A'!$E$20, '2. 2014 Continuity Schedule'!$A$20:$BQ$20,0),FALSE)), 0, VLOOKUP($A48, '2. 2014 Continuity Schedule'!$A$20:$BQ$85, MATCH('3. Appendix A'!$E$20, '2. 2014 Continuity Schedule'!$A$20:$BQ$20,0),FALSE))</f>
        <v>0</v>
      </c>
      <c r="F48" s="30"/>
    </row>
    <row r="49" spans="1:6" ht="30.75" hidden="1" customHeight="1" x14ac:dyDescent="0.2">
      <c r="A49" s="1">
        <v>24</v>
      </c>
      <c r="C49" s="33" t="s">
        <v>18</v>
      </c>
      <c r="D49" s="32">
        <v>1535</v>
      </c>
      <c r="E49" s="25">
        <f>IF(ISERROR(VLOOKUP($A49, '2. 2014 Continuity Schedule'!$A$20:$BQ$85, MATCH('3. Appendix A'!$E$20, '2. 2014 Continuity Schedule'!$A$20:$BQ$20,0),FALSE)), 0, VLOOKUP($A49, '2. 2014 Continuity Schedule'!$A$20:$BQ$85, MATCH('3. Appendix A'!$E$20, '2. 2014 Continuity Schedule'!$A$20:$BQ$20,0),FALSE))</f>
        <v>0</v>
      </c>
      <c r="F49" s="30"/>
    </row>
    <row r="50" spans="1:6" ht="30.75" hidden="1" customHeight="1" x14ac:dyDescent="0.2">
      <c r="A50" s="1">
        <v>25</v>
      </c>
      <c r="C50" s="33" t="s">
        <v>23</v>
      </c>
      <c r="D50" s="32">
        <v>1536</v>
      </c>
      <c r="E50" s="25">
        <f>IF(ISERROR(VLOOKUP($A50, '2. 2014 Continuity Schedule'!$A$20:$BQ$85, MATCH('3. Appendix A'!$E$20, '2. 2014 Continuity Schedule'!$A$20:$BQ$20,0),FALSE)), 0, VLOOKUP($A50, '2. 2014 Continuity Schedule'!$A$20:$BQ$85, MATCH('3. Appendix A'!$E$20, '2. 2014 Continuity Schedule'!$A$20:$BQ$20,0),FALSE))</f>
        <v>0</v>
      </c>
      <c r="F50" s="30"/>
    </row>
    <row r="51" spans="1:6" ht="30.75" hidden="1" customHeight="1" x14ac:dyDescent="0.2">
      <c r="A51" s="1">
        <v>26</v>
      </c>
      <c r="C51" s="33" t="s">
        <v>5</v>
      </c>
      <c r="D51" s="32">
        <v>1548</v>
      </c>
      <c r="E51" s="25">
        <f>IF(ISERROR(VLOOKUP($A51, '2. 2014 Continuity Schedule'!$A$20:$BQ$85, MATCH('3. Appendix A'!$E$20, '2. 2014 Continuity Schedule'!$A$20:$BQ$20,0),FALSE)), 0, VLOOKUP($A51, '2. 2014 Continuity Schedule'!$A$20:$BQ$85, MATCH('3. Appendix A'!$E$20, '2. 2014 Continuity Schedule'!$A$20:$BQ$20,0),FALSE))</f>
        <v>0</v>
      </c>
      <c r="F51" s="30"/>
    </row>
    <row r="52" spans="1:6" ht="30.75" hidden="1" customHeight="1" x14ac:dyDescent="0.2">
      <c r="A52" s="1">
        <v>27</v>
      </c>
      <c r="C52" s="33" t="s">
        <v>43</v>
      </c>
      <c r="D52" s="32">
        <v>1567</v>
      </c>
      <c r="E52" s="25">
        <f>IF(ISERROR(VLOOKUP($A52, '2. 2014 Continuity Schedule'!$A$20:$BQ$85, MATCH('3. Appendix A'!$E$20, '2. 2014 Continuity Schedule'!$A$20:$BQ$20,0),FALSE)), 0, VLOOKUP($A52, '2. 2014 Continuity Schedule'!$A$20:$BQ$85, MATCH('3. Appendix A'!$E$20, '2. 2014 Continuity Schedule'!$A$20:$BQ$20,0),FALSE))</f>
        <v>0</v>
      </c>
      <c r="F52" s="30"/>
    </row>
    <row r="53" spans="1:6" ht="30.75" hidden="1" customHeight="1" x14ac:dyDescent="0.2">
      <c r="A53" s="1">
        <v>28</v>
      </c>
      <c r="C53" s="33" t="s">
        <v>10</v>
      </c>
      <c r="D53" s="32">
        <v>1572</v>
      </c>
      <c r="E53" s="25">
        <f>IF(ISERROR(VLOOKUP($A53, '2. 2014 Continuity Schedule'!$A$20:$BQ$85, MATCH('3. Appendix A'!$E$20, '2. 2014 Continuity Schedule'!$A$20:$BQ$20,0),FALSE)), 0, VLOOKUP($A53, '2. 2014 Continuity Schedule'!$A$20:$BQ$85, MATCH('3. Appendix A'!$E$20, '2. 2014 Continuity Schedule'!$A$20:$BQ$20,0),FALSE))</f>
        <v>0</v>
      </c>
      <c r="F53" s="30"/>
    </row>
    <row r="54" spans="1:6" ht="30.75" hidden="1" customHeight="1" x14ac:dyDescent="0.2">
      <c r="A54" s="1">
        <v>29</v>
      </c>
      <c r="C54" s="33" t="s">
        <v>6</v>
      </c>
      <c r="D54" s="32">
        <v>1574</v>
      </c>
      <c r="E54" s="25">
        <f>IF(ISERROR(VLOOKUP($A54, '2. 2014 Continuity Schedule'!$A$20:$BQ$85, MATCH('3. Appendix A'!$E$20, '2. 2014 Continuity Schedule'!$A$20:$BQ$20,0),FALSE)), 0, VLOOKUP($A54, '2. 2014 Continuity Schedule'!$A$20:$BQ$85, MATCH('3. Appendix A'!$E$20, '2. 2014 Continuity Schedule'!$A$20:$BQ$20,0),FALSE))</f>
        <v>0</v>
      </c>
      <c r="F54" s="30"/>
    </row>
    <row r="55" spans="1:6" ht="30.75" hidden="1" customHeight="1" x14ac:dyDescent="0.2">
      <c r="A55" s="1">
        <v>30</v>
      </c>
      <c r="C55" s="33" t="s">
        <v>40</v>
      </c>
      <c r="D55" s="32">
        <v>1582</v>
      </c>
      <c r="E55" s="25">
        <f>IF(ISERROR(VLOOKUP($A55, '2. 2014 Continuity Schedule'!$A$20:$BQ$85, MATCH('3. Appendix A'!$E$20, '2. 2014 Continuity Schedule'!$A$20:$BQ$20,0),FALSE)), 0, VLOOKUP($A55, '2. 2014 Continuity Schedule'!$A$20:$BQ$85, MATCH('3. Appendix A'!$E$20, '2. 2014 Continuity Schedule'!$A$20:$BQ$20,0),FALSE))</f>
        <v>-1.3642420526593924E-12</v>
      </c>
      <c r="F55" s="30"/>
    </row>
    <row r="56" spans="1:6" ht="30.75" hidden="1" customHeight="1" x14ac:dyDescent="0.2">
      <c r="A56" s="1">
        <v>31</v>
      </c>
      <c r="C56" s="33" t="s">
        <v>7</v>
      </c>
      <c r="D56" s="32">
        <v>2425</v>
      </c>
      <c r="E56" s="25">
        <f>IF(ISERROR(VLOOKUP($A56, '2. 2014 Continuity Schedule'!$A$20:$BQ$85, MATCH('3. Appendix A'!$E$20, '2. 2014 Continuity Schedule'!$A$20:$BQ$20,0),FALSE)), 0, VLOOKUP($A56, '2. 2014 Continuity Schedule'!$A$20:$BQ$85, MATCH('3. Appendix A'!$E$20, '2. 2014 Continuity Schedule'!$A$20:$BQ$20,0),FALSE))</f>
        <v>0</v>
      </c>
      <c r="F56" s="30"/>
    </row>
    <row r="57" spans="1:6" ht="30.75" hidden="1" customHeight="1" x14ac:dyDescent="0.2">
      <c r="A57" s="1">
        <v>32</v>
      </c>
      <c r="C57" s="33" t="s">
        <v>8</v>
      </c>
      <c r="D57" s="32">
        <v>1562</v>
      </c>
      <c r="E57" s="25">
        <f>IF(ISERROR(VLOOKUP($A57, '2. 2014 Continuity Schedule'!$A$20:$BQ$85, MATCH('3. Appendix A'!$E$20, '2. 2014 Continuity Schedule'!$A$20:$BQ$20,0),FALSE)), 0, VLOOKUP($A57, '2. 2014 Continuity Schedule'!$A$20:$BQ$85, MATCH('3. Appendix A'!$E$20, '2. 2014 Continuity Schedule'!$A$20:$BQ$20,0),FALSE))</f>
        <v>5.8207660913467407E-11</v>
      </c>
      <c r="F57" s="30"/>
    </row>
    <row r="58" spans="1:6" ht="30.75" hidden="1" customHeight="1" x14ac:dyDescent="0.2">
      <c r="A58" s="1">
        <v>33</v>
      </c>
      <c r="C58" s="33" t="s">
        <v>48</v>
      </c>
      <c r="D58" s="29">
        <v>1592</v>
      </c>
      <c r="E58" s="25">
        <f>IF(ISERROR(VLOOKUP($A58, '2. 2014 Continuity Schedule'!$A$20:$BQ$85, MATCH('3. Appendix A'!$E$20, '2. 2014 Continuity Schedule'!$A$20:$BQ$20,0),FALSE)), 0, VLOOKUP($A58, '2. 2014 Continuity Schedule'!$A$20:$BQ$85, MATCH('3. Appendix A'!$E$20, '2. 2014 Continuity Schedule'!$A$20:$BQ$20,0),FALSE))</f>
        <v>0</v>
      </c>
      <c r="F58" s="30"/>
    </row>
    <row r="59" spans="1:6" ht="30.75" customHeight="1" x14ac:dyDescent="0.2">
      <c r="A59" s="1">
        <v>34</v>
      </c>
      <c r="B59" s="6"/>
      <c r="C59" s="128" t="s">
        <v>47</v>
      </c>
      <c r="D59" s="32">
        <v>1592</v>
      </c>
      <c r="E59" s="25">
        <f>IF(ISERROR(VLOOKUP($A59, '2. 2014 Continuity Schedule'!$A$20:$BQ$85, MATCH('3. Appendix A'!$E$20, '2. 2014 Continuity Schedule'!$A$20:$BQ$20,0),FALSE)), 0, VLOOKUP($A59, '2. 2014 Continuity Schedule'!$A$20:$BQ$85, MATCH('3. Appendix A'!$E$20, '2. 2014 Continuity Schedule'!$A$20:$BQ$20,0),FALSE))</f>
        <v>61837.549999999996</v>
      </c>
      <c r="F59" s="207" t="s">
        <v>299</v>
      </c>
    </row>
    <row r="60" spans="1:6" ht="30.75" hidden="1" customHeight="1" thickBot="1" x14ac:dyDescent="0.25">
      <c r="A60" s="1">
        <v>35</v>
      </c>
      <c r="B60" s="6"/>
      <c r="C60" s="128" t="s">
        <v>98</v>
      </c>
      <c r="D60" s="32">
        <v>1568</v>
      </c>
      <c r="E60" s="25">
        <f>IF(ISERROR(VLOOKUP($A60, '2. 2014 Continuity Schedule'!$A$20:$BQ$85, MATCH('3. Appendix A'!$E$20, '2. 2014 Continuity Schedule'!$A$20:$BQ$20,0),FALSE)), 0, VLOOKUP($A60, '2. 2014 Continuity Schedule'!$A$20:$BQ$85, MATCH('3. Appendix A'!$E$20, '2. 2014 Continuity Schedule'!$A$20:$BQ$20,0),FALSE))</f>
        <v>0</v>
      </c>
      <c r="F60" s="30"/>
    </row>
    <row r="61" spans="1:6" ht="30.75" hidden="1" customHeight="1" x14ac:dyDescent="0.2">
      <c r="A61" s="1">
        <v>36</v>
      </c>
      <c r="B61" s="6"/>
      <c r="C61" s="129" t="s">
        <v>272</v>
      </c>
      <c r="D61" s="29">
        <v>1555</v>
      </c>
      <c r="E61" s="25">
        <f>IF(ISERROR(VLOOKUP($A61, '2. 2014 Continuity Schedule'!$A$20:$BQ$85, MATCH('3. Appendix A'!$E$20, '2. 2014 Continuity Schedule'!$A$20:$BQ$20,0),FALSE)), 0, VLOOKUP($A61, '2. 2014 Continuity Schedule'!$A$20:$BQ$85, MATCH('3. Appendix A'!$E$20, '2. 2014 Continuity Schedule'!$A$20:$BQ$20,0),FALSE))</f>
        <v>0</v>
      </c>
      <c r="F61" s="30"/>
    </row>
    <row r="62" spans="1:6" ht="30.75" hidden="1" customHeight="1" x14ac:dyDescent="0.2">
      <c r="A62" s="1">
        <v>37</v>
      </c>
      <c r="B62" s="6"/>
      <c r="C62" s="129" t="s">
        <v>271</v>
      </c>
      <c r="D62" s="29">
        <v>1555</v>
      </c>
      <c r="E62" s="25">
        <f>IF(ISERROR(VLOOKUP($A62, '2. 2014 Continuity Schedule'!$A$20:$BQ$85, MATCH('3. Appendix A'!$E$20, '2. 2014 Continuity Schedule'!$A$20:$BQ$20,0),FALSE)), 0, VLOOKUP($A62, '2. 2014 Continuity Schedule'!$A$20:$BQ$85, MATCH('3. Appendix A'!$E$20, '2. 2014 Continuity Schedule'!$A$20:$BQ$20,0),FALSE))</f>
        <v>0</v>
      </c>
      <c r="F62" s="30"/>
    </row>
    <row r="63" spans="1:6" ht="30.75" customHeight="1" x14ac:dyDescent="0.2">
      <c r="A63" s="1">
        <v>38</v>
      </c>
      <c r="B63" s="6"/>
      <c r="C63" s="5" t="s">
        <v>270</v>
      </c>
      <c r="D63" s="7">
        <v>1555</v>
      </c>
      <c r="E63" s="25">
        <f>IF(ISERROR(VLOOKUP($A63, '2. 2014 Continuity Schedule'!$A$20:$BQ$85, MATCH('3. Appendix A'!$E$20, '2. 2014 Continuity Schedule'!$A$20:$BQ$20,0),FALSE)), 0, VLOOKUP($A63, '2. 2014 Continuity Schedule'!$A$20:$BQ$85, MATCH('3. Appendix A'!$E$20, '2. 2014 Continuity Schedule'!$A$20:$BQ$20,0),FALSE))</f>
        <v>56210.749796529766</v>
      </c>
      <c r="F63" s="207" t="s">
        <v>298</v>
      </c>
    </row>
    <row r="64" spans="1:6" ht="30.75" hidden="1" customHeight="1" x14ac:dyDescent="0.2">
      <c r="A64" s="1">
        <v>39</v>
      </c>
      <c r="B64" s="6"/>
      <c r="C64" s="5" t="s">
        <v>269</v>
      </c>
      <c r="D64" s="7">
        <v>1556</v>
      </c>
      <c r="E64" s="25">
        <f>IF(ISERROR(VLOOKUP($A64, '2. 2014 Continuity Schedule'!$A$20:$BQ$85, MATCH('3. Appendix A'!$E$20, '2. 2014 Continuity Schedule'!$A$20:$BQ$20,0),FALSE)), 0, VLOOKUP($A64, '2. 2014 Continuity Schedule'!$A$20:$BQ$85, MATCH('3. Appendix A'!$E$20, '2. 2014 Continuity Schedule'!$A$20:$BQ$20,0),FALSE))</f>
        <v>0</v>
      </c>
      <c r="F64" s="30"/>
    </row>
    <row r="65" spans="1:6" ht="30.75" hidden="1" customHeight="1" x14ac:dyDescent="0.2">
      <c r="A65" s="1">
        <v>40</v>
      </c>
      <c r="B65" s="6"/>
      <c r="C65" s="5" t="s">
        <v>230</v>
      </c>
      <c r="D65" s="7">
        <v>1575</v>
      </c>
      <c r="E65" s="25">
        <f>IF(ISERROR(VLOOKUP($A65, '2. 2014 Continuity Schedule'!$A$20:$BQ$85, MATCH('3. Appendix A'!$E$20, '2. 2014 Continuity Schedule'!$A$20:$BQ$20,0),FALSE)), 0, VLOOKUP($A65, '2. 2014 Continuity Schedule'!$A$20:$BQ$85, MATCH('3. Appendix A'!$E$20, '2. 2014 Continuity Schedule'!$A$20:$BQ$20,0),FALSE))</f>
        <v>0</v>
      </c>
      <c r="F65" s="30"/>
    </row>
    <row r="66" spans="1:6" ht="30.75" customHeight="1" thickBot="1" x14ac:dyDescent="0.25">
      <c r="A66" s="1">
        <v>41</v>
      </c>
      <c r="B66" s="6"/>
      <c r="C66" s="203" t="s">
        <v>231</v>
      </c>
      <c r="D66" s="7">
        <v>1576</v>
      </c>
      <c r="E66" s="25">
        <f>IF(ISERROR(VLOOKUP($A66, '2. 2014 Continuity Schedule'!$A$20:$BQ$85, MATCH('3. Appendix A'!$E$20, '2. 2014 Continuity Schedule'!$A$20:$BQ$20,0),FALSE)), 0, VLOOKUP($A66, '2. 2014 Continuity Schedule'!$A$20:$BQ$85, MATCH('3. Appendix A'!$E$20, '2. 2014 Continuity Schedule'!$A$20:$BQ$20,0),FALSE))</f>
        <v>4129266.6193090114</v>
      </c>
      <c r="F66" s="207" t="s">
        <v>300</v>
      </c>
    </row>
    <row r="67" spans="1:6" x14ac:dyDescent="0.2">
      <c r="C67" s="36"/>
      <c r="D67" s="36"/>
      <c r="E67" s="36"/>
    </row>
  </sheetData>
  <sheetProtection password="F8BD" sheet="1" objects="1" scenarios="1"/>
  <mergeCells count="5">
    <mergeCell ref="E20:E22"/>
    <mergeCell ref="F20:F22"/>
    <mergeCell ref="C20:C22"/>
    <mergeCell ref="D20:D22"/>
    <mergeCell ref="B16:E16"/>
  </mergeCells>
  <phoneticPr fontId="13" type="noConversion"/>
  <conditionalFormatting sqref="F38:F58 F24:F36 F60:F66">
    <cfRule type="expression" dxfId="11" priority="5" stopIfTrue="1">
      <formula>ISBLANK(F24)</formula>
    </cfRule>
  </conditionalFormatting>
  <conditionalFormatting sqref="F59">
    <cfRule type="expression" dxfId="10" priority="1" stopIfTrue="1">
      <formula>ISBLANK(F59)</formula>
    </cfRule>
  </conditionalFormatting>
  <pageMargins left="0.35433070866141736" right="0.39370078740157483" top="0.61" bottom="0.63" header="0.37" footer="0.31"/>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3:P47"/>
  <sheetViews>
    <sheetView showGridLines="0" topLeftCell="A13" zoomScale="80" zoomScaleNormal="80" workbookViewId="0">
      <selection activeCell="D26" sqref="D26"/>
    </sheetView>
  </sheetViews>
  <sheetFormatPr defaultRowHeight="12.75" x14ac:dyDescent="0.2"/>
  <cols>
    <col min="2" max="2" width="41.28515625" customWidth="1"/>
    <col min="3" max="3" width="6.5703125" customWidth="1"/>
    <col min="4" max="6" width="14.85546875" customWidth="1"/>
    <col min="7" max="7" width="19.42578125" customWidth="1"/>
    <col min="8" max="8" width="17.7109375" customWidth="1"/>
    <col min="9" max="9" width="17" customWidth="1"/>
    <col min="10" max="10" width="20.42578125" customWidth="1"/>
    <col min="11" max="11" width="21.28515625" customWidth="1"/>
    <col min="12" max="12" width="20.42578125" customWidth="1"/>
    <col min="13" max="15" width="23.28515625" customWidth="1"/>
    <col min="16" max="16" width="20" customWidth="1"/>
  </cols>
  <sheetData>
    <row r="13" spans="2:9" ht="3" customHeight="1" x14ac:dyDescent="0.2"/>
    <row r="14" spans="2:9" ht="3" customHeight="1" x14ac:dyDescent="0.2"/>
    <row r="15" spans="2:9" ht="3" customHeight="1" x14ac:dyDescent="0.2"/>
    <row r="16" spans="2:9" ht="12.75" customHeight="1" x14ac:dyDescent="0.2">
      <c r="B16" s="249" t="s">
        <v>104</v>
      </c>
      <c r="C16" s="249"/>
      <c r="D16" s="249"/>
      <c r="E16" s="249"/>
      <c r="F16" s="249"/>
      <c r="G16" s="249"/>
      <c r="H16" s="249"/>
      <c r="I16" s="249"/>
    </row>
    <row r="17" spans="2:16" x14ac:dyDescent="0.2">
      <c r="B17" s="249"/>
      <c r="C17" s="249"/>
      <c r="D17" s="249"/>
      <c r="E17" s="249"/>
      <c r="F17" s="249"/>
      <c r="G17" s="249"/>
      <c r="H17" s="249"/>
      <c r="I17" s="249"/>
    </row>
    <row r="19" spans="2:16" x14ac:dyDescent="0.2">
      <c r="B19" s="268" t="s">
        <v>116</v>
      </c>
      <c r="C19" s="267" t="s">
        <v>102</v>
      </c>
      <c r="D19" s="262" t="s">
        <v>115</v>
      </c>
      <c r="E19" s="262" t="s">
        <v>96</v>
      </c>
      <c r="F19" s="262" t="s">
        <v>97</v>
      </c>
      <c r="G19" s="266" t="s">
        <v>90</v>
      </c>
      <c r="H19" s="266" t="s">
        <v>91</v>
      </c>
      <c r="I19" s="266" t="s">
        <v>92</v>
      </c>
      <c r="J19" s="266" t="s">
        <v>105</v>
      </c>
      <c r="K19" s="263" t="s">
        <v>93</v>
      </c>
      <c r="L19" s="263" t="s">
        <v>94</v>
      </c>
      <c r="M19" s="263" t="s">
        <v>95</v>
      </c>
      <c r="N19" s="263" t="s">
        <v>236</v>
      </c>
      <c r="O19" s="263" t="s">
        <v>275</v>
      </c>
      <c r="P19" s="264" t="s">
        <v>99</v>
      </c>
    </row>
    <row r="20" spans="2:16" ht="45.75" customHeight="1" x14ac:dyDescent="0.2">
      <c r="B20" s="269"/>
      <c r="C20" s="267"/>
      <c r="D20" s="262"/>
      <c r="E20" s="262"/>
      <c r="F20" s="262"/>
      <c r="G20" s="266"/>
      <c r="H20" s="266"/>
      <c r="I20" s="266"/>
      <c r="J20" s="266"/>
      <c r="K20" s="263"/>
      <c r="L20" s="263"/>
      <c r="M20" s="263"/>
      <c r="N20" s="263"/>
      <c r="O20" s="263"/>
      <c r="P20" s="264"/>
    </row>
    <row r="21" spans="2:16" x14ac:dyDescent="0.2">
      <c r="B21" s="132" t="s">
        <v>289</v>
      </c>
      <c r="C21" s="133" t="s">
        <v>276</v>
      </c>
      <c r="D21" s="134">
        <v>46274</v>
      </c>
      <c r="E21" s="134">
        <v>412298278</v>
      </c>
      <c r="F21" s="134">
        <v>0</v>
      </c>
      <c r="G21" s="134">
        <v>32043237.623106342</v>
      </c>
      <c r="H21" s="114">
        <f>IF(ISERROR(F21/E21*G21), 0, F21/E21*G21)</f>
        <v>0</v>
      </c>
      <c r="I21" s="134">
        <v>16748174.92463121</v>
      </c>
      <c r="J21" s="136"/>
      <c r="K21" s="136"/>
      <c r="L21" s="136"/>
      <c r="M21" s="136"/>
      <c r="N21" s="136"/>
      <c r="O21" s="136"/>
      <c r="P21" s="134"/>
    </row>
    <row r="22" spans="2:16" x14ac:dyDescent="0.2">
      <c r="B22" s="132" t="s">
        <v>290</v>
      </c>
      <c r="C22" s="133" t="s">
        <v>295</v>
      </c>
      <c r="D22" s="134">
        <v>4315</v>
      </c>
      <c r="E22" s="134">
        <v>124179905</v>
      </c>
      <c r="F22" s="134">
        <v>0</v>
      </c>
      <c r="G22" s="134">
        <v>17517445.729166672</v>
      </c>
      <c r="H22" s="114">
        <f t="shared" ref="H22:H40" si="0">IF(ISERROR(F22/E22*G22), 0, F22/E22*G22)</f>
        <v>0</v>
      </c>
      <c r="I22" s="134">
        <v>3665080.5554586919</v>
      </c>
      <c r="J22" s="136"/>
      <c r="K22" s="136"/>
      <c r="L22" s="136"/>
      <c r="M22" s="136"/>
      <c r="N22" s="136"/>
      <c r="O22" s="136"/>
      <c r="P22" s="134"/>
    </row>
    <row r="23" spans="2:16" x14ac:dyDescent="0.2">
      <c r="B23" s="132" t="s">
        <v>291</v>
      </c>
      <c r="C23" s="133" t="s">
        <v>295</v>
      </c>
      <c r="D23" s="134">
        <v>863</v>
      </c>
      <c r="E23" s="134">
        <v>655968805</v>
      </c>
      <c r="F23" s="134">
        <v>1721553.9692533722</v>
      </c>
      <c r="G23" s="134">
        <v>621052485.65189385</v>
      </c>
      <c r="H23" s="114">
        <f t="shared" si="0"/>
        <v>1629918.0138431899</v>
      </c>
      <c r="I23" s="134">
        <v>9029648.1860448699</v>
      </c>
      <c r="J23" s="136"/>
      <c r="K23" s="136"/>
      <c r="L23" s="136"/>
      <c r="M23" s="136"/>
      <c r="N23" s="136"/>
      <c r="O23" s="136"/>
      <c r="P23" s="134"/>
    </row>
    <row r="24" spans="2:16" x14ac:dyDescent="0.2">
      <c r="B24" s="132" t="s">
        <v>292</v>
      </c>
      <c r="C24" s="133" t="s">
        <v>276</v>
      </c>
      <c r="D24" s="134">
        <v>17</v>
      </c>
      <c r="E24" s="134">
        <v>2247877</v>
      </c>
      <c r="F24" s="134">
        <v>0</v>
      </c>
      <c r="G24" s="134">
        <v>0</v>
      </c>
      <c r="H24" s="114">
        <f t="shared" si="0"/>
        <v>0</v>
      </c>
      <c r="I24" s="134">
        <v>141357.16515917089</v>
      </c>
      <c r="J24" s="136"/>
      <c r="K24" s="136"/>
      <c r="L24" s="136"/>
      <c r="M24" s="136"/>
      <c r="N24" s="136"/>
      <c r="O24" s="136"/>
      <c r="P24" s="134"/>
    </row>
    <row r="25" spans="2:16" x14ac:dyDescent="0.2">
      <c r="B25" s="132" t="s">
        <v>293</v>
      </c>
      <c r="C25" s="133" t="s">
        <v>295</v>
      </c>
      <c r="D25" s="134">
        <v>337</v>
      </c>
      <c r="E25" s="134">
        <v>265619</v>
      </c>
      <c r="F25" s="134">
        <v>716.23040649278312</v>
      </c>
      <c r="G25" s="134">
        <v>50678.719999999943</v>
      </c>
      <c r="H25" s="114">
        <f t="shared" si="0"/>
        <v>136.65302642557157</v>
      </c>
      <c r="I25" s="134">
        <v>54798.803089450907</v>
      </c>
      <c r="J25" s="136"/>
      <c r="K25" s="136"/>
      <c r="L25" s="136"/>
      <c r="M25" s="136"/>
      <c r="N25" s="136"/>
      <c r="O25" s="136"/>
      <c r="P25" s="134"/>
    </row>
    <row r="26" spans="2:16" x14ac:dyDescent="0.2">
      <c r="B26" s="132" t="s">
        <v>294</v>
      </c>
      <c r="C26" s="133" t="s">
        <v>295</v>
      </c>
      <c r="D26" s="134">
        <v>5</v>
      </c>
      <c r="E26" s="134">
        <v>7344781</v>
      </c>
      <c r="F26" s="134">
        <v>20808.575811577328</v>
      </c>
      <c r="G26" s="134">
        <v>7266794.9699999988</v>
      </c>
      <c r="H26" s="114">
        <f t="shared" si="0"/>
        <v>20587.632774950507</v>
      </c>
      <c r="I26" s="134">
        <v>179805.43602658817</v>
      </c>
      <c r="J26" s="136"/>
      <c r="K26" s="136"/>
      <c r="L26" s="136"/>
      <c r="M26" s="136"/>
      <c r="N26" s="136"/>
      <c r="O26" s="136"/>
      <c r="P26" s="134"/>
    </row>
    <row r="27" spans="2:16" x14ac:dyDescent="0.2">
      <c r="B27" s="132"/>
      <c r="C27" s="133"/>
      <c r="D27" s="134"/>
      <c r="E27" s="134"/>
      <c r="F27" s="134"/>
      <c r="G27" s="134"/>
      <c r="H27" s="114">
        <f t="shared" si="0"/>
        <v>0</v>
      </c>
      <c r="I27" s="134"/>
      <c r="J27" s="136"/>
      <c r="K27" s="136"/>
      <c r="L27" s="136"/>
      <c r="M27" s="136"/>
      <c r="N27" s="136"/>
      <c r="O27" s="136"/>
      <c r="P27" s="134"/>
    </row>
    <row r="28" spans="2:16" x14ac:dyDescent="0.2">
      <c r="B28" s="132"/>
      <c r="C28" s="133"/>
      <c r="D28" s="134"/>
      <c r="E28" s="134"/>
      <c r="F28" s="134"/>
      <c r="G28" s="134"/>
      <c r="H28" s="114">
        <f t="shared" si="0"/>
        <v>0</v>
      </c>
      <c r="I28" s="134"/>
      <c r="J28" s="136"/>
      <c r="K28" s="136"/>
      <c r="L28" s="136"/>
      <c r="M28" s="136"/>
      <c r="N28" s="136"/>
      <c r="O28" s="136"/>
      <c r="P28" s="134"/>
    </row>
    <row r="29" spans="2:16" x14ac:dyDescent="0.2">
      <c r="B29" s="132"/>
      <c r="C29" s="133"/>
      <c r="D29" s="134"/>
      <c r="E29" s="134"/>
      <c r="F29" s="134"/>
      <c r="G29" s="134"/>
      <c r="H29" s="114">
        <f t="shared" si="0"/>
        <v>0</v>
      </c>
      <c r="I29" s="134"/>
      <c r="J29" s="136"/>
      <c r="K29" s="136"/>
      <c r="L29" s="136"/>
      <c r="M29" s="136"/>
      <c r="N29" s="136"/>
      <c r="O29" s="136"/>
      <c r="P29" s="134"/>
    </row>
    <row r="30" spans="2:16" x14ac:dyDescent="0.2">
      <c r="B30" s="132"/>
      <c r="C30" s="133"/>
      <c r="D30" s="134"/>
      <c r="E30" s="134"/>
      <c r="F30" s="134"/>
      <c r="G30" s="134"/>
      <c r="H30" s="114">
        <f t="shared" si="0"/>
        <v>0</v>
      </c>
      <c r="I30" s="134"/>
      <c r="J30" s="136"/>
      <c r="K30" s="136"/>
      <c r="L30" s="136"/>
      <c r="M30" s="136"/>
      <c r="N30" s="136"/>
      <c r="O30" s="136"/>
      <c r="P30" s="134"/>
    </row>
    <row r="31" spans="2:16" x14ac:dyDescent="0.2">
      <c r="B31" s="132"/>
      <c r="C31" s="133"/>
      <c r="D31" s="134"/>
      <c r="E31" s="134"/>
      <c r="F31" s="134"/>
      <c r="G31" s="134"/>
      <c r="H31" s="114">
        <f t="shared" si="0"/>
        <v>0</v>
      </c>
      <c r="I31" s="134"/>
      <c r="J31" s="136"/>
      <c r="K31" s="136"/>
      <c r="L31" s="136"/>
      <c r="M31" s="136"/>
      <c r="N31" s="136"/>
      <c r="O31" s="136"/>
      <c r="P31" s="134"/>
    </row>
    <row r="32" spans="2:16" x14ac:dyDescent="0.2">
      <c r="B32" s="132"/>
      <c r="C32" s="133"/>
      <c r="D32" s="134"/>
      <c r="E32" s="134"/>
      <c r="F32" s="134"/>
      <c r="G32" s="134"/>
      <c r="H32" s="114">
        <f t="shared" si="0"/>
        <v>0</v>
      </c>
      <c r="I32" s="134"/>
      <c r="J32" s="136"/>
      <c r="K32" s="136"/>
      <c r="L32" s="136"/>
      <c r="M32" s="136"/>
      <c r="N32" s="136"/>
      <c r="O32" s="136"/>
      <c r="P32" s="134"/>
    </row>
    <row r="33" spans="1:16" x14ac:dyDescent="0.2">
      <c r="B33" s="132"/>
      <c r="C33" s="133"/>
      <c r="D33" s="134"/>
      <c r="E33" s="134"/>
      <c r="F33" s="134"/>
      <c r="G33" s="134"/>
      <c r="H33" s="114">
        <f t="shared" si="0"/>
        <v>0</v>
      </c>
      <c r="I33" s="134"/>
      <c r="J33" s="136"/>
      <c r="K33" s="136"/>
      <c r="L33" s="136"/>
      <c r="M33" s="136"/>
      <c r="N33" s="136"/>
      <c r="O33" s="136"/>
      <c r="P33" s="134"/>
    </row>
    <row r="34" spans="1:16" x14ac:dyDescent="0.2">
      <c r="B34" s="132"/>
      <c r="C34" s="133"/>
      <c r="D34" s="134"/>
      <c r="E34" s="134"/>
      <c r="F34" s="134"/>
      <c r="G34" s="134"/>
      <c r="H34" s="114">
        <f t="shared" si="0"/>
        <v>0</v>
      </c>
      <c r="I34" s="134"/>
      <c r="J34" s="136"/>
      <c r="K34" s="136"/>
      <c r="L34" s="136"/>
      <c r="M34" s="136"/>
      <c r="N34" s="136"/>
      <c r="O34" s="136"/>
      <c r="P34" s="134"/>
    </row>
    <row r="35" spans="1:16" x14ac:dyDescent="0.2">
      <c r="B35" s="132"/>
      <c r="C35" s="133"/>
      <c r="D35" s="134"/>
      <c r="E35" s="134"/>
      <c r="F35" s="134"/>
      <c r="G35" s="134"/>
      <c r="H35" s="114">
        <f t="shared" si="0"/>
        <v>0</v>
      </c>
      <c r="I35" s="134"/>
      <c r="J35" s="136"/>
      <c r="K35" s="136"/>
      <c r="L35" s="136"/>
      <c r="M35" s="136"/>
      <c r="N35" s="136"/>
      <c r="O35" s="136"/>
      <c r="P35" s="134"/>
    </row>
    <row r="36" spans="1:16" x14ac:dyDescent="0.2">
      <c r="B36" s="132"/>
      <c r="C36" s="133"/>
      <c r="D36" s="134"/>
      <c r="E36" s="134"/>
      <c r="F36" s="134"/>
      <c r="G36" s="134"/>
      <c r="H36" s="114">
        <f t="shared" si="0"/>
        <v>0</v>
      </c>
      <c r="I36" s="134"/>
      <c r="J36" s="136"/>
      <c r="K36" s="136"/>
      <c r="L36" s="136"/>
      <c r="M36" s="136"/>
      <c r="N36" s="136"/>
      <c r="O36" s="136"/>
      <c r="P36" s="134"/>
    </row>
    <row r="37" spans="1:16" x14ac:dyDescent="0.2">
      <c r="B37" s="132"/>
      <c r="C37" s="133"/>
      <c r="D37" s="134"/>
      <c r="E37" s="134"/>
      <c r="F37" s="134"/>
      <c r="G37" s="134"/>
      <c r="H37" s="114">
        <f t="shared" si="0"/>
        <v>0</v>
      </c>
      <c r="I37" s="134"/>
      <c r="J37" s="136"/>
      <c r="K37" s="136"/>
      <c r="L37" s="136"/>
      <c r="M37" s="136"/>
      <c r="N37" s="136"/>
      <c r="O37" s="136"/>
      <c r="P37" s="134"/>
    </row>
    <row r="38" spans="1:16" x14ac:dyDescent="0.2">
      <c r="B38" s="132"/>
      <c r="C38" s="133"/>
      <c r="D38" s="134"/>
      <c r="E38" s="134"/>
      <c r="F38" s="134"/>
      <c r="G38" s="134"/>
      <c r="H38" s="114">
        <f t="shared" si="0"/>
        <v>0</v>
      </c>
      <c r="I38" s="134"/>
      <c r="J38" s="136"/>
      <c r="K38" s="136"/>
      <c r="L38" s="136"/>
      <c r="M38" s="136"/>
      <c r="N38" s="136"/>
      <c r="O38" s="136"/>
      <c r="P38" s="134"/>
    </row>
    <row r="39" spans="1:16" x14ac:dyDescent="0.2">
      <c r="B39" s="132"/>
      <c r="C39" s="133"/>
      <c r="D39" s="134"/>
      <c r="E39" s="134"/>
      <c r="F39" s="134"/>
      <c r="G39" s="134"/>
      <c r="H39" s="114">
        <f t="shared" si="0"/>
        <v>0</v>
      </c>
      <c r="I39" s="134"/>
      <c r="J39" s="136"/>
      <c r="K39" s="136"/>
      <c r="L39" s="136"/>
      <c r="M39" s="136"/>
      <c r="N39" s="136"/>
      <c r="O39" s="136"/>
      <c r="P39" s="134"/>
    </row>
    <row r="40" spans="1:16" x14ac:dyDescent="0.2">
      <c r="B40" s="132"/>
      <c r="C40" s="133"/>
      <c r="D40" s="134"/>
      <c r="E40" s="134"/>
      <c r="F40" s="134"/>
      <c r="G40" s="134"/>
      <c r="H40" s="114">
        <f t="shared" si="0"/>
        <v>0</v>
      </c>
      <c r="I40" s="134"/>
      <c r="J40" s="136"/>
      <c r="K40" s="136"/>
      <c r="L40" s="136"/>
      <c r="M40" s="136"/>
      <c r="N40" s="136"/>
      <c r="O40" s="136"/>
      <c r="P40" s="134"/>
    </row>
    <row r="41" spans="1:16" x14ac:dyDescent="0.2">
      <c r="B41" s="61" t="s">
        <v>103</v>
      </c>
      <c r="C41" s="60"/>
      <c r="D41" s="91">
        <f>SUM(D21:D40)</f>
        <v>51811</v>
      </c>
      <c r="E41" s="91">
        <f>SUM(E21:E40)</f>
        <v>1202305265</v>
      </c>
      <c r="F41" s="91">
        <f t="shared" ref="F41:P41" si="1">SUM(F21:F40)</f>
        <v>1743078.7754714421</v>
      </c>
      <c r="G41" s="91">
        <f t="shared" si="1"/>
        <v>677930642.6941669</v>
      </c>
      <c r="H41" s="91">
        <f t="shared" si="1"/>
        <v>1650642.2996445659</v>
      </c>
      <c r="I41" s="62">
        <f t="shared" si="1"/>
        <v>29818865.070409983</v>
      </c>
      <c r="J41" s="92">
        <f t="shared" si="1"/>
        <v>0</v>
      </c>
      <c r="K41" s="92">
        <f t="shared" si="1"/>
        <v>0</v>
      </c>
      <c r="L41" s="92">
        <f t="shared" si="1"/>
        <v>0</v>
      </c>
      <c r="M41" s="92">
        <f t="shared" si="1"/>
        <v>0</v>
      </c>
      <c r="N41" s="92">
        <f t="shared" si="1"/>
        <v>0</v>
      </c>
      <c r="O41" s="92">
        <f t="shared" ref="O41" si="2">SUM(O21:O40)</f>
        <v>0</v>
      </c>
      <c r="P41" s="62">
        <f t="shared" si="1"/>
        <v>0</v>
      </c>
    </row>
    <row r="42" spans="1:16" x14ac:dyDescent="0.2">
      <c r="B42" s="56"/>
      <c r="M42" s="63"/>
      <c r="O42" s="63" t="s">
        <v>106</v>
      </c>
      <c r="P42" s="64">
        <f>'2. 2014 Continuity Schedule'!BO71</f>
        <v>0</v>
      </c>
    </row>
    <row r="43" spans="1:16" x14ac:dyDescent="0.2">
      <c r="B43" s="56"/>
      <c r="M43" s="63"/>
      <c r="O43" s="63" t="s">
        <v>107</v>
      </c>
      <c r="P43" s="65">
        <f>P41-P42</f>
        <v>0</v>
      </c>
    </row>
    <row r="44" spans="1:16" x14ac:dyDescent="0.2">
      <c r="B44" s="56"/>
    </row>
    <row r="45" spans="1:16" x14ac:dyDescent="0.2">
      <c r="A45" s="265" t="s">
        <v>100</v>
      </c>
      <c r="B45" s="265"/>
      <c r="C45" s="265"/>
      <c r="D45" s="265"/>
      <c r="E45" s="265"/>
      <c r="F45" s="265"/>
      <c r="G45" s="265"/>
      <c r="H45" s="265"/>
    </row>
    <row r="46" spans="1:16" ht="25.5" customHeight="1" x14ac:dyDescent="0.2">
      <c r="A46" s="265"/>
      <c r="B46" s="265"/>
      <c r="C46" s="265"/>
      <c r="D46" s="265"/>
      <c r="E46" s="265"/>
      <c r="F46" s="265"/>
      <c r="G46" s="265"/>
      <c r="H46" s="265"/>
    </row>
    <row r="47" spans="1:16" ht="17.25" x14ac:dyDescent="0.2">
      <c r="A47" s="265" t="s">
        <v>101</v>
      </c>
      <c r="B47" s="265"/>
      <c r="C47" s="265"/>
      <c r="D47" s="265"/>
      <c r="E47" s="265"/>
      <c r="F47" s="265"/>
      <c r="G47" s="265"/>
      <c r="H47" s="265"/>
    </row>
  </sheetData>
  <sheetProtection password="F8BD" sheet="1" objects="1" scenarios="1"/>
  <mergeCells count="18">
    <mergeCell ref="A47:H47"/>
    <mergeCell ref="F19:F20"/>
    <mergeCell ref="E19:E20"/>
    <mergeCell ref="C19:C20"/>
    <mergeCell ref="B19:B20"/>
    <mergeCell ref="G19:G20"/>
    <mergeCell ref="H19:H20"/>
    <mergeCell ref="B16:I17"/>
    <mergeCell ref="D19:D20"/>
    <mergeCell ref="M19:M20"/>
    <mergeCell ref="P19:P20"/>
    <mergeCell ref="A45:H46"/>
    <mergeCell ref="I19:I20"/>
    <mergeCell ref="J19:J20"/>
    <mergeCell ref="K19:K20"/>
    <mergeCell ref="L19:L20"/>
    <mergeCell ref="N19:N20"/>
    <mergeCell ref="O19:O20"/>
  </mergeCells>
  <dataValidations count="1">
    <dataValidation type="list" allowBlank="1" showInputMessage="1" showErrorMessage="1" sqref="C21:C40">
      <formula1>"kW, kWh"</formula1>
    </dataValidation>
  </dataValidations>
  <pageMargins left="0.27" right="0.38" top="0.75" bottom="0.45" header="0.3" footer="0.3"/>
  <pageSetup scale="84" fitToWidth="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55"/>
  <sheetViews>
    <sheetView showGridLines="0" topLeftCell="A16" zoomScale="80" zoomScaleNormal="80" workbookViewId="0">
      <selection activeCell="D54" sqref="D54"/>
    </sheetView>
  </sheetViews>
  <sheetFormatPr defaultColWidth="9.140625" defaultRowHeight="12.75" x14ac:dyDescent="0.2"/>
  <cols>
    <col min="1" max="1" width="1.140625" style="56" customWidth="1"/>
    <col min="2" max="2" width="64" style="56" customWidth="1"/>
    <col min="3" max="3" width="9.140625" style="56"/>
    <col min="4" max="4" width="14.5703125" style="56" customWidth="1"/>
    <col min="5" max="5" width="14.7109375" style="56" customWidth="1"/>
    <col min="6" max="25" width="24.140625" style="56" customWidth="1"/>
    <col min="26" max="16384" width="9.140625" style="56"/>
  </cols>
  <sheetData>
    <row r="1" spans="2:25" ht="143.44999999999999" customHeight="1" x14ac:dyDescent="0.2"/>
    <row r="4" spans="2:25" ht="39" customHeight="1" x14ac:dyDescent="0.2">
      <c r="D4" s="67" t="s">
        <v>120</v>
      </c>
      <c r="E4" s="66" t="s">
        <v>113</v>
      </c>
      <c r="F4" s="67" t="str">
        <f>IF(LEN(TRIM('4. Billing Determinants'!$B21))=0, "", '4. Billing Determinants'!$B21)</f>
        <v>Residential</v>
      </c>
      <c r="G4" s="67" t="str">
        <f>IF(LEN(TRIM('4. Billing Determinants'!$B22))=0, "", '4. Billing Determinants'!$B22)</f>
        <v>General Service &lt; 50 kW</v>
      </c>
      <c r="H4" s="67" t="str">
        <f>IF(LEN(TRIM('4. Billing Determinants'!$B23))=0, "", '4. Billing Determinants'!$B23)</f>
        <v>General Service &gt; 50</v>
      </c>
      <c r="I4" s="67" t="str">
        <f>IF(LEN(TRIM('4. Billing Determinants'!$B24))=0, "", '4. Billing Determinants'!$B24)</f>
        <v>Unmetered Scattered Load</v>
      </c>
      <c r="J4" s="67" t="str">
        <f>IF(LEN(TRIM('4. Billing Determinants'!$B25))=0, "", '4. Billing Determinants'!$B25)</f>
        <v>Sentinel Lighting</v>
      </c>
      <c r="K4" s="67" t="str">
        <f>IF(LEN(TRIM('4. Billing Determinants'!$B26))=0, "", '4. Billing Determinants'!$B26)</f>
        <v>Street Lighting</v>
      </c>
      <c r="L4" s="67" t="str">
        <f>IF(LEN(TRIM('4. Billing Determinants'!$B27))=0, "", '4. Billing Determinants'!$B27)</f>
        <v/>
      </c>
      <c r="M4" s="67" t="str">
        <f>IF(LEN(TRIM('4. Billing Determinants'!$B28))=0, "", '4. Billing Determinants'!$B28)</f>
        <v/>
      </c>
      <c r="N4" s="67" t="str">
        <f>IF(LEN(TRIM('4. Billing Determinants'!$B29))=0, "", '4. Billing Determinants'!$B29)</f>
        <v/>
      </c>
      <c r="O4" s="67" t="str">
        <f>IF(LEN(TRIM('4. Billing Determinants'!$B30))=0, "", '4. Billing Determinants'!$B30)</f>
        <v/>
      </c>
      <c r="P4" s="67" t="str">
        <f>IF(LEN(TRIM('4. Billing Determinants'!$B31))=0, "", '4. Billing Determinants'!$B31)</f>
        <v/>
      </c>
      <c r="Q4" s="67" t="str">
        <f>IF(LEN(TRIM('4. Billing Determinants'!$B32))=0, "", '4. Billing Determinants'!$B32)</f>
        <v/>
      </c>
      <c r="R4" s="67" t="str">
        <f>IF(LEN(TRIM('4. Billing Determinants'!$B33))=0, "", '4. Billing Determinants'!$B33)</f>
        <v/>
      </c>
      <c r="S4" s="67" t="str">
        <f>IF(LEN(TRIM('4. Billing Determinants'!$B34))=0, "", '4. Billing Determinants'!$B34)</f>
        <v/>
      </c>
      <c r="T4" s="67" t="str">
        <f>IF(LEN(TRIM('4. Billing Determinants'!$B35))=0, "", '4. Billing Determinants'!$B35)</f>
        <v/>
      </c>
      <c r="U4" s="67" t="str">
        <f>IF(LEN(TRIM('4. Billing Determinants'!$B36))=0, "", '4. Billing Determinants'!$B36)</f>
        <v/>
      </c>
      <c r="V4" s="67" t="str">
        <f>IF(LEN(TRIM('4. Billing Determinants'!$B37))=0, "", '4. Billing Determinants'!$B37)</f>
        <v/>
      </c>
      <c r="W4" s="67" t="str">
        <f>IF(LEN(TRIM('4. Billing Determinants'!$B38))=0, "", '4. Billing Determinants'!$B38)</f>
        <v/>
      </c>
      <c r="X4" s="67" t="str">
        <f>IF(LEN(TRIM('4. Billing Determinants'!$B39))=0, "", '4. Billing Determinants'!$B39)</f>
        <v/>
      </c>
      <c r="Y4" s="67" t="str">
        <f>IF(LEN(TRIM('4. Billing Determinants'!$B40))=0, "", '4. Billing Determinants'!$B40)</f>
        <v/>
      </c>
    </row>
    <row r="5" spans="2:25" x14ac:dyDescent="0.2">
      <c r="B5" s="68" t="s">
        <v>39</v>
      </c>
      <c r="C5" s="69">
        <v>1550</v>
      </c>
      <c r="D5" s="70">
        <f>'2. 2014 Continuity Schedule'!BO24</f>
        <v>74555.214207999976</v>
      </c>
      <c r="E5" s="130" t="s">
        <v>276</v>
      </c>
      <c r="F5" s="70">
        <f>IFERROR(IF(F$4="",0,IF($E5="kWh",VLOOKUP(F$4,'4. Billing Determinants'!$B$19:$P$41,4,0)/'4. Billing Determinants'!$E$41*$D5,IF($E5="kW",VLOOKUP(F$4,'4. Billing Determinants'!$B$19:$P$41,5,0)/'4. Billing Determinants'!$F$41*$D5,IF($E5="Non-RPP kWh",VLOOKUP(F$4,'4. Billing Determinants'!$B$19:$P$41,6,0)/'4. Billing Determinants'!$G$41*$D5,IF($E5="Distribution Rev.",VLOOKUP(F$4,'4. Billing Determinants'!$B$19:$P$41,8,0)/'4. Billing Determinants'!$I$41*$D5, VLOOKUP(F$4,'4. Billing Determinants'!$B$19:$P$41,3,0)/'4. Billing Determinants'!$D$41*$D5))))),0)</f>
        <v>25566.70699922413</v>
      </c>
      <c r="G5" s="70">
        <f>IFERROR(IF(G$4="",0,IF($E5="kWh",VLOOKUP(G$4,'4. Billing Determinants'!$B$19:$P$41,4,0)/'4. Billing Determinants'!$E$41*$D5,IF($E5="kW",VLOOKUP(G$4,'4. Billing Determinants'!$B$19:$P$41,5,0)/'4. Billing Determinants'!$F$41*$D5,IF($E5="Non-RPP kWh",VLOOKUP(G$4,'4. Billing Determinants'!$B$19:$P$41,6,0)/'4. Billing Determinants'!$G$41*$D5,IF($E5="Distribution Rev.",VLOOKUP(G$4,'4. Billing Determinants'!$B$19:$P$41,8,0)/'4. Billing Determinants'!$I$41*$D5, VLOOKUP(G$4,'4. Billing Determinants'!$B$19:$P$41,3,0)/'4. Billing Determinants'!$D$41*$D5))))),0)</f>
        <v>7700.4232511649925</v>
      </c>
      <c r="H5" s="70">
        <f>IFERROR(IF(H$4="",0,IF($E5="kWh",VLOOKUP(H$4,'4. Billing Determinants'!$B$19:$P$41,4,0)/'4. Billing Determinants'!$E$41*$D5,IF($E5="kW",VLOOKUP(H$4,'4. Billing Determinants'!$B$19:$P$41,5,0)/'4. Billing Determinants'!$F$41*$D5,IF($E5="Non-RPP kWh",VLOOKUP(H$4,'4. Billing Determinants'!$B$19:$P$41,6,0)/'4. Billing Determinants'!$G$41*$D5,IF($E5="Distribution Rev.",VLOOKUP(H$4,'4. Billing Determinants'!$B$19:$P$41,8,0)/'4. Billing Determinants'!$I$41*$D5, VLOOKUP(H$4,'4. Billing Determinants'!$B$19:$P$41,3,0)/'4. Billing Determinants'!$D$41*$D5))))),0)</f>
        <v>40676.770030230851</v>
      </c>
      <c r="I5" s="70">
        <f>IFERROR(IF(I$4="",0,IF($E5="kWh",VLOOKUP(I$4,'4. Billing Determinants'!$B$19:$P$41,4,0)/'4. Billing Determinants'!$E$41*$D5,IF($E5="kW",VLOOKUP(I$4,'4. Billing Determinants'!$B$19:$P$41,5,0)/'4. Billing Determinants'!$F$41*$D5,IF($E5="Non-RPP kWh",VLOOKUP(I$4,'4. Billing Determinants'!$B$19:$P$41,6,0)/'4. Billing Determinants'!$G$41*$D5,IF($E5="Distribution Rev.",VLOOKUP(I$4,'4. Billing Determinants'!$B$19:$P$41,8,0)/'4. Billing Determinants'!$I$41*$D5, VLOOKUP(I$4,'4. Billing Determinants'!$B$19:$P$41,3,0)/'4. Billing Determinants'!$D$41*$D5))))),0)</f>
        <v>139.3913477108797</v>
      </c>
      <c r="J5" s="70">
        <f>IFERROR(IF(J$4="",0,IF($E5="kWh",VLOOKUP(J$4,'4. Billing Determinants'!$B$19:$P$41,4,0)/'4. Billing Determinants'!$E$41*$D5,IF($E5="kW",VLOOKUP(J$4,'4. Billing Determinants'!$B$19:$P$41,5,0)/'4. Billing Determinants'!$F$41*$D5,IF($E5="Non-RPP kWh",VLOOKUP(J$4,'4. Billing Determinants'!$B$19:$P$41,6,0)/'4. Billing Determinants'!$G$41*$D5,IF($E5="Distribution Rev.",VLOOKUP(J$4,'4. Billing Determinants'!$B$19:$P$41,8,0)/'4. Billing Determinants'!$I$41*$D5, VLOOKUP(J$4,'4. Billing Determinants'!$B$19:$P$41,3,0)/'4. Billing Determinants'!$D$41*$D5))))),0)</f>
        <v>16.471092674383943</v>
      </c>
      <c r="K5" s="70">
        <f>IFERROR(IF(K$4="",0,IF($E5="kWh",VLOOKUP(K$4,'4. Billing Determinants'!$B$19:$P$41,4,0)/'4. Billing Determinants'!$E$41*$D5,IF($E5="kW",VLOOKUP(K$4,'4. Billing Determinants'!$B$19:$P$41,5,0)/'4. Billing Determinants'!$F$41*$D5,IF($E5="Non-RPP kWh",VLOOKUP(K$4,'4. Billing Determinants'!$B$19:$P$41,6,0)/'4. Billing Determinants'!$G$41*$D5,IF($E5="Distribution Rev.",VLOOKUP(K$4,'4. Billing Determinants'!$B$19:$P$41,8,0)/'4. Billing Determinants'!$I$41*$D5, VLOOKUP(K$4,'4. Billing Determinants'!$B$19:$P$41,3,0)/'4. Billing Determinants'!$D$41*$D5))))),0)</f>
        <v>455.45148699473447</v>
      </c>
      <c r="L5" s="70">
        <f>IFERROR(IF(L$4="",0,IF($E5="kWh",VLOOKUP(L$4,'4. Billing Determinants'!$B$19:$P$41,4,0)/'4. Billing Determinants'!$E$41*$D5,IF($E5="kW",VLOOKUP(L$4,'4. Billing Determinants'!$B$19:$P$41,5,0)/'4. Billing Determinants'!$F$41*$D5,IF($E5="Non-RPP kWh",VLOOKUP(L$4,'4. Billing Determinants'!$B$19:$P$41,6,0)/'4. Billing Determinants'!$G$41*$D5,IF($E5="Distribution Rev.",VLOOKUP(L$4,'4. Billing Determinants'!$B$19:$P$41,8,0)/'4. Billing Determinants'!$I$41*$D5, VLOOKUP(L$4,'4. Billing Determinants'!$B$19:$P$41,3,0)/'4. Billing Determinants'!$D$41*$D5))))),0)</f>
        <v>0</v>
      </c>
      <c r="M5" s="70">
        <f>IFERROR(IF(M$4="",0,IF($E5="kWh",VLOOKUP(M$4,'4. Billing Determinants'!$B$19:$P$41,4,0)/'4. Billing Determinants'!$E$41*$D5,IF($E5="kW",VLOOKUP(M$4,'4. Billing Determinants'!$B$19:$P$41,5,0)/'4. Billing Determinants'!$F$41*$D5,IF($E5="Non-RPP kWh",VLOOKUP(M$4,'4. Billing Determinants'!$B$19:$P$41,6,0)/'4. Billing Determinants'!$G$41*$D5,IF($E5="Distribution Rev.",VLOOKUP(M$4,'4. Billing Determinants'!$B$19:$P$41,8,0)/'4. Billing Determinants'!$I$41*$D5, VLOOKUP(M$4,'4. Billing Determinants'!$B$19:$P$41,3,0)/'4. Billing Determinants'!$D$41*$D5))))),0)</f>
        <v>0</v>
      </c>
      <c r="N5" s="70">
        <f>IFERROR(IF(N$4="",0,IF($E5="kWh",VLOOKUP(N$4,'4. Billing Determinants'!$B$19:$P$41,4,0)/'4. Billing Determinants'!$E$41*$D5,IF($E5="kW",VLOOKUP(N$4,'4. Billing Determinants'!$B$19:$P$41,5,0)/'4. Billing Determinants'!$F$41*$D5,IF($E5="Non-RPP kWh",VLOOKUP(N$4,'4. Billing Determinants'!$B$19:$P$41,6,0)/'4. Billing Determinants'!$G$41*$D5,IF($E5="Distribution Rev.",VLOOKUP(N$4,'4. Billing Determinants'!$B$19:$P$41,8,0)/'4. Billing Determinants'!$I$41*$D5, VLOOKUP(N$4,'4. Billing Determinants'!$B$19:$P$41,3,0)/'4. Billing Determinants'!$D$41*$D5))))),0)</f>
        <v>0</v>
      </c>
      <c r="O5" s="70">
        <f>IFERROR(IF(O$4="",0,IF($E5="kWh",VLOOKUP(O$4,'4. Billing Determinants'!$B$19:$P$41,4,0)/'4. Billing Determinants'!$E$41*$D5,IF($E5="kW",VLOOKUP(O$4,'4. Billing Determinants'!$B$19:$P$41,5,0)/'4. Billing Determinants'!$F$41*$D5,IF($E5="Non-RPP kWh",VLOOKUP(O$4,'4. Billing Determinants'!$B$19:$P$41,6,0)/'4. Billing Determinants'!$G$41*$D5,IF($E5="Distribution Rev.",VLOOKUP(O$4,'4. Billing Determinants'!$B$19:$P$41,8,0)/'4. Billing Determinants'!$I$41*$D5, VLOOKUP(O$4,'4. Billing Determinants'!$B$19:$P$41,3,0)/'4. Billing Determinants'!$D$41*$D5))))),0)</f>
        <v>0</v>
      </c>
      <c r="P5" s="70">
        <f>IFERROR(IF(P$4="",0,IF($E5="kWh",VLOOKUP(P$4,'4. Billing Determinants'!$B$19:$P$41,4,0)/'4. Billing Determinants'!$E$41*$D5,IF($E5="kW",VLOOKUP(P$4,'4. Billing Determinants'!$B$19:$P$41,5,0)/'4. Billing Determinants'!$F$41*$D5,IF($E5="Non-RPP kWh",VLOOKUP(P$4,'4. Billing Determinants'!$B$19:$P$41,6,0)/'4. Billing Determinants'!$G$41*$D5,IF($E5="Distribution Rev.",VLOOKUP(P$4,'4. Billing Determinants'!$B$19:$P$41,8,0)/'4. Billing Determinants'!$I$41*$D5, VLOOKUP(P$4,'4. Billing Determinants'!$B$19:$P$41,3,0)/'4. Billing Determinants'!$D$41*$D5))))),0)</f>
        <v>0</v>
      </c>
      <c r="Q5" s="70">
        <f>IFERROR(IF(Q$4="",0,IF($E5="kWh",VLOOKUP(Q$4,'4. Billing Determinants'!$B$19:$P$41,4,0)/'4. Billing Determinants'!$E$41*$D5,IF($E5="kW",VLOOKUP(Q$4,'4. Billing Determinants'!$B$19:$P$41,5,0)/'4. Billing Determinants'!$F$41*$D5,IF($E5="Non-RPP kWh",VLOOKUP(Q$4,'4. Billing Determinants'!$B$19:$P$41,6,0)/'4. Billing Determinants'!$G$41*$D5,IF($E5="Distribution Rev.",VLOOKUP(Q$4,'4. Billing Determinants'!$B$19:$P$41,8,0)/'4. Billing Determinants'!$I$41*$D5, VLOOKUP(Q$4,'4. Billing Determinants'!$B$19:$P$41,3,0)/'4. Billing Determinants'!$D$41*$D5))))),0)</f>
        <v>0</v>
      </c>
      <c r="R5" s="70">
        <f>IFERROR(IF(R$4="",0,IF($E5="kWh",VLOOKUP(R$4,'4. Billing Determinants'!$B$19:$P$41,4,0)/'4. Billing Determinants'!$E$41*$D5,IF($E5="kW",VLOOKUP(R$4,'4. Billing Determinants'!$B$19:$P$41,5,0)/'4. Billing Determinants'!$F$41*$D5,IF($E5="Non-RPP kWh",VLOOKUP(R$4,'4. Billing Determinants'!$B$19:$P$41,6,0)/'4. Billing Determinants'!$G$41*$D5,IF($E5="Distribution Rev.",VLOOKUP(R$4,'4. Billing Determinants'!$B$19:$P$41,8,0)/'4. Billing Determinants'!$I$41*$D5, VLOOKUP(R$4,'4. Billing Determinants'!$B$19:$P$41,3,0)/'4. Billing Determinants'!$D$41*$D5))))),0)</f>
        <v>0</v>
      </c>
      <c r="S5" s="70">
        <f>IFERROR(IF(S$4="",0,IF($E5="kWh",VLOOKUP(S$4,'4. Billing Determinants'!$B$19:$P$41,4,0)/'4. Billing Determinants'!$E$41*$D5,IF($E5="kW",VLOOKUP(S$4,'4. Billing Determinants'!$B$19:$P$41,5,0)/'4. Billing Determinants'!$F$41*$D5,IF($E5="Non-RPP kWh",VLOOKUP(S$4,'4. Billing Determinants'!$B$19:$P$41,6,0)/'4. Billing Determinants'!$G$41*$D5,IF($E5="Distribution Rev.",VLOOKUP(S$4,'4. Billing Determinants'!$B$19:$P$41,8,0)/'4. Billing Determinants'!$I$41*$D5, VLOOKUP(S$4,'4. Billing Determinants'!$B$19:$P$41,3,0)/'4. Billing Determinants'!$D$41*$D5))))),0)</f>
        <v>0</v>
      </c>
      <c r="T5" s="70">
        <f>IFERROR(IF(T$4="",0,IF($E5="kWh",VLOOKUP(T$4,'4. Billing Determinants'!$B$19:$P$41,4,0)/'4. Billing Determinants'!$E$41*$D5,IF($E5="kW",VLOOKUP(T$4,'4. Billing Determinants'!$B$19:$P$41,5,0)/'4. Billing Determinants'!$F$41*$D5,IF($E5="Non-RPP kWh",VLOOKUP(T$4,'4. Billing Determinants'!$B$19:$P$41,6,0)/'4. Billing Determinants'!$G$41*$D5,IF($E5="Distribution Rev.",VLOOKUP(T$4,'4. Billing Determinants'!$B$19:$P$41,8,0)/'4. Billing Determinants'!$I$41*$D5, VLOOKUP(T$4,'4. Billing Determinants'!$B$19:$P$41,3,0)/'4. Billing Determinants'!$D$41*$D5))))),0)</f>
        <v>0</v>
      </c>
      <c r="U5" s="70">
        <f>IFERROR(IF(U$4="",0,IF($E5="kWh",VLOOKUP(U$4,'4. Billing Determinants'!$B$19:$P$41,4,0)/'4. Billing Determinants'!$E$41*$D5,IF($E5="kW",VLOOKUP(U$4,'4. Billing Determinants'!$B$19:$P$41,5,0)/'4. Billing Determinants'!$F$41*$D5,IF($E5="Non-RPP kWh",VLOOKUP(U$4,'4. Billing Determinants'!$B$19:$P$41,6,0)/'4. Billing Determinants'!$G$41*$D5,IF($E5="Distribution Rev.",VLOOKUP(U$4,'4. Billing Determinants'!$B$19:$P$41,8,0)/'4. Billing Determinants'!$I$41*$D5, VLOOKUP(U$4,'4. Billing Determinants'!$B$19:$P$41,3,0)/'4. Billing Determinants'!$D$41*$D5))))),0)</f>
        <v>0</v>
      </c>
      <c r="V5" s="70">
        <f>IFERROR(IF(V$4="",0,IF($E5="kWh",VLOOKUP(V$4,'4. Billing Determinants'!$B$19:$P$41,4,0)/'4. Billing Determinants'!$E$41*$D5,IF($E5="kW",VLOOKUP(V$4,'4. Billing Determinants'!$B$19:$P$41,5,0)/'4. Billing Determinants'!$F$41*$D5,IF($E5="Non-RPP kWh",VLOOKUP(V$4,'4. Billing Determinants'!$B$19:$P$41,6,0)/'4. Billing Determinants'!$G$41*$D5,IF($E5="Distribution Rev.",VLOOKUP(V$4,'4. Billing Determinants'!$B$19:$P$41,8,0)/'4. Billing Determinants'!$I$41*$D5, VLOOKUP(V$4,'4. Billing Determinants'!$B$19:$P$41,3,0)/'4. Billing Determinants'!$D$41*$D5))))),0)</f>
        <v>0</v>
      </c>
      <c r="W5" s="70">
        <f>IFERROR(IF(W$4="",0,IF($E5="kWh",VLOOKUP(W$4,'4. Billing Determinants'!$B$19:$P$41,4,0)/'4. Billing Determinants'!$E$41*$D5,IF($E5="kW",VLOOKUP(W$4,'4. Billing Determinants'!$B$19:$P$41,5,0)/'4. Billing Determinants'!$F$41*$D5,IF($E5="Non-RPP kWh",VLOOKUP(W$4,'4. Billing Determinants'!$B$19:$P$41,6,0)/'4. Billing Determinants'!$G$41*$D5,IF($E5="Distribution Rev.",VLOOKUP(W$4,'4. Billing Determinants'!$B$19:$P$41,8,0)/'4. Billing Determinants'!$I$41*$D5, VLOOKUP(W$4,'4. Billing Determinants'!$B$19:$P$41,3,0)/'4. Billing Determinants'!$D$41*$D5))))),0)</f>
        <v>0</v>
      </c>
      <c r="X5" s="70">
        <f>IFERROR(IF(X$4="",0,IF($E5="kWh",VLOOKUP(X$4,'4. Billing Determinants'!$B$19:$P$41,4,0)/'4. Billing Determinants'!$E$41*$D5,IF($E5="kW",VLOOKUP(X$4,'4. Billing Determinants'!$B$19:$P$41,5,0)/'4. Billing Determinants'!$F$41*$D5,IF($E5="Non-RPP kWh",VLOOKUP(X$4,'4. Billing Determinants'!$B$19:$P$41,6,0)/'4. Billing Determinants'!$G$41*$D5,IF($E5="Distribution Rev.",VLOOKUP(X$4,'4. Billing Determinants'!$B$19:$P$41,8,0)/'4. Billing Determinants'!$I$41*$D5, VLOOKUP(X$4,'4. Billing Determinants'!$B$19:$P$41,3,0)/'4. Billing Determinants'!$D$41*$D5))))),0)</f>
        <v>0</v>
      </c>
      <c r="Y5" s="70">
        <f>IFERROR(IF(Y$4="",0,IF($E5="kWh",VLOOKUP(Y$4,'4. Billing Determinants'!$B$19:$P$41,4,0)/'4. Billing Determinants'!$E$41*$D5,IF($E5="kW",VLOOKUP(Y$4,'4. Billing Determinants'!$B$19:$P$41,5,0)/'4. Billing Determinants'!$F$41*$D5,IF($E5="Non-RPP kWh",VLOOKUP(Y$4,'4. Billing Determinants'!$B$19:$P$41,6,0)/'4. Billing Determinants'!$G$41*$D5,IF($E5="Distribution Rev.",VLOOKUP(Y$4,'4. Billing Determinants'!$B$19:$P$41,8,0)/'4. Billing Determinants'!$I$41*$D5, VLOOKUP(Y$4,'4. Billing Determinants'!$B$19:$P$41,3,0)/'4. Billing Determinants'!$D$41*$D5))))),0)</f>
        <v>0</v>
      </c>
    </row>
    <row r="6" spans="2:25" x14ac:dyDescent="0.2">
      <c r="B6" s="71" t="s">
        <v>244</v>
      </c>
      <c r="C6" s="69">
        <v>1551</v>
      </c>
      <c r="D6" s="70">
        <f>'2. 2014 Continuity Schedule'!BO25</f>
        <v>37670.594336000002</v>
      </c>
      <c r="E6" s="130" t="s">
        <v>276</v>
      </c>
      <c r="F6" s="70">
        <f>IFERROR(IF(F$4="",0,IF($E6="kWh",VLOOKUP(F$4,'4. Billing Determinants'!$B$19:$P$41,4,0)/'4. Billing Determinants'!$E$41*$D6,IF($E6="kW",VLOOKUP(F$4,'4. Billing Determinants'!$B$19:$P$41,5,0)/'4. Billing Determinants'!$F$41*$D6,IF($E6="Non-RPP kWh",VLOOKUP(F$4,'4. Billing Determinants'!$B$19:$P$41,6,0)/'4. Billing Determinants'!$G$41*$D6,IF($E6="Distribution Rev.",VLOOKUP(F$4,'4. Billing Determinants'!$B$19:$P$41,8,0)/'4. Billing Determinants'!$I$41*$D6, VLOOKUP(F$4,'4. Billing Determinants'!$B$19:$P$41,3,0)/'4. Billing Determinants'!$D$41*$D6))))),0)</f>
        <v>12918.117909073078</v>
      </c>
      <c r="G6" s="70">
        <f>IFERROR(IF(G$4="",0,IF($E6="kWh",VLOOKUP(G$4,'4. Billing Determinants'!$B$19:$P$41,4,0)/'4. Billing Determinants'!$E$41*$D6,IF($E6="kW",VLOOKUP(G$4,'4. Billing Determinants'!$B$19:$P$41,5,0)/'4. Billing Determinants'!$F$41*$D6,IF($E6="Non-RPP kWh",VLOOKUP(G$4,'4. Billing Determinants'!$B$19:$P$41,6,0)/'4. Billing Determinants'!$G$41*$D6,IF($E6="Distribution Rev.",VLOOKUP(G$4,'4. Billing Determinants'!$B$19:$P$41,8,0)/'4. Billing Determinants'!$I$41*$D6, VLOOKUP(G$4,'4. Billing Determinants'!$B$19:$P$41,3,0)/'4. Billing Determinants'!$D$41*$D6))))),0)</f>
        <v>3890.8012483319021</v>
      </c>
      <c r="H6" s="70">
        <f>IFERROR(IF(H$4="",0,IF($E6="kWh",VLOOKUP(H$4,'4. Billing Determinants'!$B$19:$P$41,4,0)/'4. Billing Determinants'!$E$41*$D6,IF($E6="kW",VLOOKUP(H$4,'4. Billing Determinants'!$B$19:$P$41,5,0)/'4. Billing Determinants'!$F$41*$D6,IF($E6="Non-RPP kWh",VLOOKUP(H$4,'4. Billing Determinants'!$B$19:$P$41,6,0)/'4. Billing Determinants'!$G$41*$D6,IF($E6="Distribution Rev.",VLOOKUP(H$4,'4. Billing Determinants'!$B$19:$P$41,8,0)/'4. Billing Determinants'!$I$41*$D6, VLOOKUP(H$4,'4. Billing Determinants'!$B$19:$P$41,3,0)/'4. Billing Determinants'!$D$41*$D6))))),0)</f>
        <v>20552.795924274429</v>
      </c>
      <c r="I6" s="70">
        <f>IFERROR(IF(I$4="",0,IF($E6="kWh",VLOOKUP(I$4,'4. Billing Determinants'!$B$19:$P$41,4,0)/'4. Billing Determinants'!$E$41*$D6,IF($E6="kW",VLOOKUP(I$4,'4. Billing Determinants'!$B$19:$P$41,5,0)/'4. Billing Determinants'!$F$41*$D6,IF($E6="Non-RPP kWh",VLOOKUP(I$4,'4. Billing Determinants'!$B$19:$P$41,6,0)/'4. Billing Determinants'!$G$41*$D6,IF($E6="Distribution Rev.",VLOOKUP(I$4,'4. Billing Determinants'!$B$19:$P$41,8,0)/'4. Billing Determinants'!$I$41*$D6, VLOOKUP(I$4,'4. Billing Determinants'!$B$19:$P$41,3,0)/'4. Billing Determinants'!$D$41*$D6))))),0)</f>
        <v>70.430418171898026</v>
      </c>
      <c r="J6" s="70">
        <f>IFERROR(IF(J$4="",0,IF($E6="kWh",VLOOKUP(J$4,'4. Billing Determinants'!$B$19:$P$41,4,0)/'4. Billing Determinants'!$E$41*$D6,IF($E6="kW",VLOOKUP(J$4,'4. Billing Determinants'!$B$19:$P$41,5,0)/'4. Billing Determinants'!$F$41*$D6,IF($E6="Non-RPP kWh",VLOOKUP(J$4,'4. Billing Determinants'!$B$19:$P$41,6,0)/'4. Billing Determinants'!$G$41*$D6,IF($E6="Distribution Rev.",VLOOKUP(J$4,'4. Billing Determinants'!$B$19:$P$41,8,0)/'4. Billing Determinants'!$I$41*$D6, VLOOKUP(J$4,'4. Billing Determinants'!$B$19:$P$41,3,0)/'4. Billing Determinants'!$D$41*$D6))))),0)</f>
        <v>8.3223669464127195</v>
      </c>
      <c r="K6" s="70">
        <f>IFERROR(IF(K$4="",0,IF($E6="kWh",VLOOKUP(K$4,'4. Billing Determinants'!$B$19:$P$41,4,0)/'4. Billing Determinants'!$E$41*$D6,IF($E6="kW",VLOOKUP(K$4,'4. Billing Determinants'!$B$19:$P$41,5,0)/'4. Billing Determinants'!$F$41*$D6,IF($E6="Non-RPP kWh",VLOOKUP(K$4,'4. Billing Determinants'!$B$19:$P$41,6,0)/'4. Billing Determinants'!$G$41*$D6,IF($E6="Distribution Rev.",VLOOKUP(K$4,'4. Billing Determinants'!$B$19:$P$41,8,0)/'4. Billing Determinants'!$I$41*$D6, VLOOKUP(K$4,'4. Billing Determinants'!$B$19:$P$41,3,0)/'4. Billing Determinants'!$D$41*$D6))))),0)</f>
        <v>230.12646920227903</v>
      </c>
      <c r="L6" s="70">
        <f>IFERROR(IF(L$4="",0,IF($E6="kWh",VLOOKUP(L$4,'4. Billing Determinants'!$B$19:$P$41,4,0)/'4. Billing Determinants'!$E$41*$D6,IF($E6="kW",VLOOKUP(L$4,'4. Billing Determinants'!$B$19:$P$41,5,0)/'4. Billing Determinants'!$F$41*$D6,IF($E6="Non-RPP kWh",VLOOKUP(L$4,'4. Billing Determinants'!$B$19:$P$41,6,0)/'4. Billing Determinants'!$G$41*$D6,IF($E6="Distribution Rev.",VLOOKUP(L$4,'4. Billing Determinants'!$B$19:$P$41,8,0)/'4. Billing Determinants'!$I$41*$D6, VLOOKUP(L$4,'4. Billing Determinants'!$B$19:$P$41,3,0)/'4. Billing Determinants'!$D$41*$D6))))),0)</f>
        <v>0</v>
      </c>
      <c r="M6" s="70">
        <f>IFERROR(IF(M$4="",0,IF($E6="kWh",VLOOKUP(M$4,'4. Billing Determinants'!$B$19:$P$41,4,0)/'4. Billing Determinants'!$E$41*$D6,IF($E6="kW",VLOOKUP(M$4,'4. Billing Determinants'!$B$19:$P$41,5,0)/'4. Billing Determinants'!$F$41*$D6,IF($E6="Non-RPP kWh",VLOOKUP(M$4,'4. Billing Determinants'!$B$19:$P$41,6,0)/'4. Billing Determinants'!$G$41*$D6,IF($E6="Distribution Rev.",VLOOKUP(M$4,'4. Billing Determinants'!$B$19:$P$41,8,0)/'4. Billing Determinants'!$I$41*$D6, VLOOKUP(M$4,'4. Billing Determinants'!$B$19:$P$41,3,0)/'4. Billing Determinants'!$D$41*$D6))))),0)</f>
        <v>0</v>
      </c>
      <c r="N6" s="70">
        <f>IFERROR(IF(N$4="",0,IF($E6="kWh",VLOOKUP(N$4,'4. Billing Determinants'!$B$19:$P$41,4,0)/'4. Billing Determinants'!$E$41*$D6,IF($E6="kW",VLOOKUP(N$4,'4. Billing Determinants'!$B$19:$P$41,5,0)/'4. Billing Determinants'!$F$41*$D6,IF($E6="Non-RPP kWh",VLOOKUP(N$4,'4. Billing Determinants'!$B$19:$P$41,6,0)/'4. Billing Determinants'!$G$41*$D6,IF($E6="Distribution Rev.",VLOOKUP(N$4,'4. Billing Determinants'!$B$19:$P$41,8,0)/'4. Billing Determinants'!$I$41*$D6, VLOOKUP(N$4,'4. Billing Determinants'!$B$19:$P$41,3,0)/'4. Billing Determinants'!$D$41*$D6))))),0)</f>
        <v>0</v>
      </c>
      <c r="O6" s="70">
        <f>IFERROR(IF(O$4="",0,IF($E6="kWh",VLOOKUP(O$4,'4. Billing Determinants'!$B$19:$P$41,4,0)/'4. Billing Determinants'!$E$41*$D6,IF($E6="kW",VLOOKUP(O$4,'4. Billing Determinants'!$B$19:$P$41,5,0)/'4. Billing Determinants'!$F$41*$D6,IF($E6="Non-RPP kWh",VLOOKUP(O$4,'4. Billing Determinants'!$B$19:$P$41,6,0)/'4. Billing Determinants'!$G$41*$D6,IF($E6="Distribution Rev.",VLOOKUP(O$4,'4. Billing Determinants'!$B$19:$P$41,8,0)/'4. Billing Determinants'!$I$41*$D6, VLOOKUP(O$4,'4. Billing Determinants'!$B$19:$P$41,3,0)/'4. Billing Determinants'!$D$41*$D6))))),0)</f>
        <v>0</v>
      </c>
      <c r="P6" s="70">
        <f>IFERROR(IF(P$4="",0,IF($E6="kWh",VLOOKUP(P$4,'4. Billing Determinants'!$B$19:$P$41,4,0)/'4. Billing Determinants'!$E$41*$D6,IF($E6="kW",VLOOKUP(P$4,'4. Billing Determinants'!$B$19:$P$41,5,0)/'4. Billing Determinants'!$F$41*$D6,IF($E6="Non-RPP kWh",VLOOKUP(P$4,'4. Billing Determinants'!$B$19:$P$41,6,0)/'4. Billing Determinants'!$G$41*$D6,IF($E6="Distribution Rev.",VLOOKUP(P$4,'4. Billing Determinants'!$B$19:$P$41,8,0)/'4. Billing Determinants'!$I$41*$D6, VLOOKUP(P$4,'4. Billing Determinants'!$B$19:$P$41,3,0)/'4. Billing Determinants'!$D$41*$D6))))),0)</f>
        <v>0</v>
      </c>
      <c r="Q6" s="70">
        <f>IFERROR(IF(Q$4="",0,IF($E6="kWh",VLOOKUP(Q$4,'4. Billing Determinants'!$B$19:$P$41,4,0)/'4. Billing Determinants'!$E$41*$D6,IF($E6="kW",VLOOKUP(Q$4,'4. Billing Determinants'!$B$19:$P$41,5,0)/'4. Billing Determinants'!$F$41*$D6,IF($E6="Non-RPP kWh",VLOOKUP(Q$4,'4. Billing Determinants'!$B$19:$P$41,6,0)/'4. Billing Determinants'!$G$41*$D6,IF($E6="Distribution Rev.",VLOOKUP(Q$4,'4. Billing Determinants'!$B$19:$P$41,8,0)/'4. Billing Determinants'!$I$41*$D6, VLOOKUP(Q$4,'4. Billing Determinants'!$B$19:$P$41,3,0)/'4. Billing Determinants'!$D$41*$D6))))),0)</f>
        <v>0</v>
      </c>
      <c r="R6" s="70">
        <f>IFERROR(IF(R$4="",0,IF($E6="kWh",VLOOKUP(R$4,'4. Billing Determinants'!$B$19:$P$41,4,0)/'4. Billing Determinants'!$E$41*$D6,IF($E6="kW",VLOOKUP(R$4,'4. Billing Determinants'!$B$19:$P$41,5,0)/'4. Billing Determinants'!$F$41*$D6,IF($E6="Non-RPP kWh",VLOOKUP(R$4,'4. Billing Determinants'!$B$19:$P$41,6,0)/'4. Billing Determinants'!$G$41*$D6,IF($E6="Distribution Rev.",VLOOKUP(R$4,'4. Billing Determinants'!$B$19:$P$41,8,0)/'4. Billing Determinants'!$I$41*$D6, VLOOKUP(R$4,'4. Billing Determinants'!$B$19:$P$41,3,0)/'4. Billing Determinants'!$D$41*$D6))))),0)</f>
        <v>0</v>
      </c>
      <c r="S6" s="70">
        <f>IFERROR(IF(S$4="",0,IF($E6="kWh",VLOOKUP(S$4,'4. Billing Determinants'!$B$19:$P$41,4,0)/'4. Billing Determinants'!$E$41*$D6,IF($E6="kW",VLOOKUP(S$4,'4. Billing Determinants'!$B$19:$P$41,5,0)/'4. Billing Determinants'!$F$41*$D6,IF($E6="Non-RPP kWh",VLOOKUP(S$4,'4. Billing Determinants'!$B$19:$P$41,6,0)/'4. Billing Determinants'!$G$41*$D6,IF($E6="Distribution Rev.",VLOOKUP(S$4,'4. Billing Determinants'!$B$19:$P$41,8,0)/'4. Billing Determinants'!$I$41*$D6, VLOOKUP(S$4,'4. Billing Determinants'!$B$19:$P$41,3,0)/'4. Billing Determinants'!$D$41*$D6))))),0)</f>
        <v>0</v>
      </c>
      <c r="T6" s="70">
        <f>IFERROR(IF(T$4="",0,IF($E6="kWh",VLOOKUP(T$4,'4. Billing Determinants'!$B$19:$P$41,4,0)/'4. Billing Determinants'!$E$41*$D6,IF($E6="kW",VLOOKUP(T$4,'4. Billing Determinants'!$B$19:$P$41,5,0)/'4. Billing Determinants'!$F$41*$D6,IF($E6="Non-RPP kWh",VLOOKUP(T$4,'4. Billing Determinants'!$B$19:$P$41,6,0)/'4. Billing Determinants'!$G$41*$D6,IF($E6="Distribution Rev.",VLOOKUP(T$4,'4. Billing Determinants'!$B$19:$P$41,8,0)/'4. Billing Determinants'!$I$41*$D6, VLOOKUP(T$4,'4. Billing Determinants'!$B$19:$P$41,3,0)/'4. Billing Determinants'!$D$41*$D6))))),0)</f>
        <v>0</v>
      </c>
      <c r="U6" s="70">
        <f>IFERROR(IF(U$4="",0,IF($E6="kWh",VLOOKUP(U$4,'4. Billing Determinants'!$B$19:$P$41,4,0)/'4. Billing Determinants'!$E$41*$D6,IF($E6="kW",VLOOKUP(U$4,'4. Billing Determinants'!$B$19:$P$41,5,0)/'4. Billing Determinants'!$F$41*$D6,IF($E6="Non-RPP kWh",VLOOKUP(U$4,'4. Billing Determinants'!$B$19:$P$41,6,0)/'4. Billing Determinants'!$G$41*$D6,IF($E6="Distribution Rev.",VLOOKUP(U$4,'4. Billing Determinants'!$B$19:$P$41,8,0)/'4. Billing Determinants'!$I$41*$D6, VLOOKUP(U$4,'4. Billing Determinants'!$B$19:$P$41,3,0)/'4. Billing Determinants'!$D$41*$D6))))),0)</f>
        <v>0</v>
      </c>
      <c r="V6" s="70">
        <f>IFERROR(IF(V$4="",0,IF($E6="kWh",VLOOKUP(V$4,'4. Billing Determinants'!$B$19:$P$41,4,0)/'4. Billing Determinants'!$E$41*$D6,IF($E6="kW",VLOOKUP(V$4,'4. Billing Determinants'!$B$19:$P$41,5,0)/'4. Billing Determinants'!$F$41*$D6,IF($E6="Non-RPP kWh",VLOOKUP(V$4,'4. Billing Determinants'!$B$19:$P$41,6,0)/'4. Billing Determinants'!$G$41*$D6,IF($E6="Distribution Rev.",VLOOKUP(V$4,'4. Billing Determinants'!$B$19:$P$41,8,0)/'4. Billing Determinants'!$I$41*$D6, VLOOKUP(V$4,'4. Billing Determinants'!$B$19:$P$41,3,0)/'4. Billing Determinants'!$D$41*$D6))))),0)</f>
        <v>0</v>
      </c>
      <c r="W6" s="70">
        <f>IFERROR(IF(W$4="",0,IF($E6="kWh",VLOOKUP(W$4,'4. Billing Determinants'!$B$19:$P$41,4,0)/'4. Billing Determinants'!$E$41*$D6,IF($E6="kW",VLOOKUP(W$4,'4. Billing Determinants'!$B$19:$P$41,5,0)/'4. Billing Determinants'!$F$41*$D6,IF($E6="Non-RPP kWh",VLOOKUP(W$4,'4. Billing Determinants'!$B$19:$P$41,6,0)/'4. Billing Determinants'!$G$41*$D6,IF($E6="Distribution Rev.",VLOOKUP(W$4,'4. Billing Determinants'!$B$19:$P$41,8,0)/'4. Billing Determinants'!$I$41*$D6, VLOOKUP(W$4,'4. Billing Determinants'!$B$19:$P$41,3,0)/'4. Billing Determinants'!$D$41*$D6))))),0)</f>
        <v>0</v>
      </c>
      <c r="X6" s="70">
        <f>IFERROR(IF(X$4="",0,IF($E6="kWh",VLOOKUP(X$4,'4. Billing Determinants'!$B$19:$P$41,4,0)/'4. Billing Determinants'!$E$41*$D6,IF($E6="kW",VLOOKUP(X$4,'4. Billing Determinants'!$B$19:$P$41,5,0)/'4. Billing Determinants'!$F$41*$D6,IF($E6="Non-RPP kWh",VLOOKUP(X$4,'4. Billing Determinants'!$B$19:$P$41,6,0)/'4. Billing Determinants'!$G$41*$D6,IF($E6="Distribution Rev.",VLOOKUP(X$4,'4. Billing Determinants'!$B$19:$P$41,8,0)/'4. Billing Determinants'!$I$41*$D6, VLOOKUP(X$4,'4. Billing Determinants'!$B$19:$P$41,3,0)/'4. Billing Determinants'!$D$41*$D6))))),0)</f>
        <v>0</v>
      </c>
      <c r="Y6" s="70">
        <f>IFERROR(IF(Y$4="",0,IF($E6="kWh",VLOOKUP(Y$4,'4. Billing Determinants'!$B$19:$P$41,4,0)/'4. Billing Determinants'!$E$41*$D6,IF($E6="kW",VLOOKUP(Y$4,'4. Billing Determinants'!$B$19:$P$41,5,0)/'4. Billing Determinants'!$F$41*$D6,IF($E6="Non-RPP kWh",VLOOKUP(Y$4,'4. Billing Determinants'!$B$19:$P$41,6,0)/'4. Billing Determinants'!$G$41*$D6,IF($E6="Distribution Rev.",VLOOKUP(Y$4,'4. Billing Determinants'!$B$19:$P$41,8,0)/'4. Billing Determinants'!$I$41*$D6, VLOOKUP(Y$4,'4. Billing Determinants'!$B$19:$P$41,3,0)/'4. Billing Determinants'!$D$41*$D6))))),0)</f>
        <v>0</v>
      </c>
    </row>
    <row r="7" spans="2:25" x14ac:dyDescent="0.2">
      <c r="B7" s="71" t="s">
        <v>1</v>
      </c>
      <c r="C7" s="69">
        <v>1580</v>
      </c>
      <c r="D7" s="70">
        <f>'2. 2014 Continuity Schedule'!BO26</f>
        <v>-912663.7597520001</v>
      </c>
      <c r="E7" s="130" t="s">
        <v>276</v>
      </c>
      <c r="F7" s="70">
        <f>IFERROR(IF(F$4="",0,IF($E7="kWh",VLOOKUP(F$4,'4. Billing Determinants'!$B$19:$P$41,4,0)/'4. Billing Determinants'!$E$41*$D7,IF($E7="kW",VLOOKUP(F$4,'4. Billing Determinants'!$B$19:$P$41,5,0)/'4. Billing Determinants'!$F$41*$D7,IF($E7="Non-RPP kWh",VLOOKUP(F$4,'4. Billing Determinants'!$B$19:$P$41,6,0)/'4. Billing Determinants'!$G$41*$D7,IF($E7="Distribution Rev.",VLOOKUP(F$4,'4. Billing Determinants'!$B$19:$P$41,8,0)/'4. Billing Determinants'!$I$41*$D7, VLOOKUP(F$4,'4. Billing Determinants'!$B$19:$P$41,3,0)/'4. Billing Determinants'!$D$41*$D7))))),0)</f>
        <v>-312973.50805392617</v>
      </c>
      <c r="G7" s="70">
        <f>IFERROR(IF(G$4="",0,IF($E7="kWh",VLOOKUP(G$4,'4. Billing Determinants'!$B$19:$P$41,4,0)/'4. Billing Determinants'!$E$41*$D7,IF($E7="kW",VLOOKUP(G$4,'4. Billing Determinants'!$B$19:$P$41,5,0)/'4. Billing Determinants'!$F$41*$D7,IF($E7="Non-RPP kWh",VLOOKUP(G$4,'4. Billing Determinants'!$B$19:$P$41,6,0)/'4. Billing Determinants'!$G$41*$D7,IF($E7="Distribution Rev.",VLOOKUP(G$4,'4. Billing Determinants'!$B$19:$P$41,8,0)/'4. Billing Determinants'!$I$41*$D7, VLOOKUP(G$4,'4. Billing Determinants'!$B$19:$P$41,3,0)/'4. Billing Determinants'!$D$41*$D7))))),0)</f>
        <v>-94264.328937248894</v>
      </c>
      <c r="H7" s="70">
        <f>IFERROR(IF(H$4="",0,IF($E7="kWh",VLOOKUP(H$4,'4. Billing Determinants'!$B$19:$P$41,4,0)/'4. Billing Determinants'!$E$41*$D7,IF($E7="kW",VLOOKUP(H$4,'4. Billing Determinants'!$B$19:$P$41,5,0)/'4. Billing Determinants'!$F$41*$D7,IF($E7="Non-RPP kWh",VLOOKUP(H$4,'4. Billing Determinants'!$B$19:$P$41,6,0)/'4. Billing Determinants'!$G$41*$D7,IF($E7="Distribution Rev.",VLOOKUP(H$4,'4. Billing Determinants'!$B$19:$P$41,8,0)/'4. Billing Determinants'!$I$41*$D7, VLOOKUP(H$4,'4. Billing Determinants'!$B$19:$P$41,3,0)/'4. Billing Determinants'!$D$41*$D7))))),0)</f>
        <v>-497942.55525557109</v>
      </c>
      <c r="I7" s="70">
        <f>IFERROR(IF(I$4="",0,IF($E7="kWh",VLOOKUP(I$4,'4. Billing Determinants'!$B$19:$P$41,4,0)/'4. Billing Determinants'!$E$41*$D7,IF($E7="kW",VLOOKUP(I$4,'4. Billing Determinants'!$B$19:$P$41,5,0)/'4. Billing Determinants'!$F$41*$D7,IF($E7="Non-RPP kWh",VLOOKUP(I$4,'4. Billing Determinants'!$B$19:$P$41,6,0)/'4. Billing Determinants'!$G$41*$D7,IF($E7="Distribution Rev.",VLOOKUP(I$4,'4. Billing Determinants'!$B$19:$P$41,8,0)/'4. Billing Determinants'!$I$41*$D7, VLOOKUP(I$4,'4. Billing Determinants'!$B$19:$P$41,3,0)/'4. Billing Determinants'!$D$41*$D7))))),0)</f>
        <v>-1706.3519008045321</v>
      </c>
      <c r="J7" s="70">
        <f>IFERROR(IF(J$4="",0,IF($E7="kWh",VLOOKUP(J$4,'4. Billing Determinants'!$B$19:$P$41,4,0)/'4. Billing Determinants'!$E$41*$D7,IF($E7="kW",VLOOKUP(J$4,'4. Billing Determinants'!$B$19:$P$41,5,0)/'4. Billing Determinants'!$F$41*$D7,IF($E7="Non-RPP kWh",VLOOKUP(J$4,'4. Billing Determinants'!$B$19:$P$41,6,0)/'4. Billing Determinants'!$G$41*$D7,IF($E7="Distribution Rev.",VLOOKUP(J$4,'4. Billing Determinants'!$B$19:$P$41,8,0)/'4. Billing Determinants'!$I$41*$D7, VLOOKUP(J$4,'4. Billing Determinants'!$B$19:$P$41,3,0)/'4. Billing Determinants'!$D$41*$D7))))),0)</f>
        <v>-201.63002047700965</v>
      </c>
      <c r="K7" s="70">
        <f>IFERROR(IF(K$4="",0,IF($E7="kWh",VLOOKUP(K$4,'4. Billing Determinants'!$B$19:$P$41,4,0)/'4. Billing Determinants'!$E$41*$D7,IF($E7="kW",VLOOKUP(K$4,'4. Billing Determinants'!$B$19:$P$41,5,0)/'4. Billing Determinants'!$F$41*$D7,IF($E7="Non-RPP kWh",VLOOKUP(K$4,'4. Billing Determinants'!$B$19:$P$41,6,0)/'4. Billing Determinants'!$G$41*$D7,IF($E7="Distribution Rev.",VLOOKUP(K$4,'4. Billing Determinants'!$B$19:$P$41,8,0)/'4. Billing Determinants'!$I$41*$D7, VLOOKUP(K$4,'4. Billing Determinants'!$B$19:$P$41,3,0)/'4. Billing Determinants'!$D$41*$D7))))),0)</f>
        <v>-5575.3855839723492</v>
      </c>
      <c r="L7" s="70">
        <f>IFERROR(IF(L$4="",0,IF($E7="kWh",VLOOKUP(L$4,'4. Billing Determinants'!$B$19:$P$41,4,0)/'4. Billing Determinants'!$E$41*$D7,IF($E7="kW",VLOOKUP(L$4,'4. Billing Determinants'!$B$19:$P$41,5,0)/'4. Billing Determinants'!$F$41*$D7,IF($E7="Non-RPP kWh",VLOOKUP(L$4,'4. Billing Determinants'!$B$19:$P$41,6,0)/'4. Billing Determinants'!$G$41*$D7,IF($E7="Distribution Rev.",VLOOKUP(L$4,'4. Billing Determinants'!$B$19:$P$41,8,0)/'4. Billing Determinants'!$I$41*$D7, VLOOKUP(L$4,'4. Billing Determinants'!$B$19:$P$41,3,0)/'4. Billing Determinants'!$D$41*$D7))))),0)</f>
        <v>0</v>
      </c>
      <c r="M7" s="70">
        <f>IFERROR(IF(M$4="",0,IF($E7="kWh",VLOOKUP(M$4,'4. Billing Determinants'!$B$19:$P$41,4,0)/'4. Billing Determinants'!$E$41*$D7,IF($E7="kW",VLOOKUP(M$4,'4. Billing Determinants'!$B$19:$P$41,5,0)/'4. Billing Determinants'!$F$41*$D7,IF($E7="Non-RPP kWh",VLOOKUP(M$4,'4. Billing Determinants'!$B$19:$P$41,6,0)/'4. Billing Determinants'!$G$41*$D7,IF($E7="Distribution Rev.",VLOOKUP(M$4,'4. Billing Determinants'!$B$19:$P$41,8,0)/'4. Billing Determinants'!$I$41*$D7, VLOOKUP(M$4,'4. Billing Determinants'!$B$19:$P$41,3,0)/'4. Billing Determinants'!$D$41*$D7))))),0)</f>
        <v>0</v>
      </c>
      <c r="N7" s="70">
        <f>IFERROR(IF(N$4="",0,IF($E7="kWh",VLOOKUP(N$4,'4. Billing Determinants'!$B$19:$P$41,4,0)/'4. Billing Determinants'!$E$41*$D7,IF($E7="kW",VLOOKUP(N$4,'4. Billing Determinants'!$B$19:$P$41,5,0)/'4. Billing Determinants'!$F$41*$D7,IF($E7="Non-RPP kWh",VLOOKUP(N$4,'4. Billing Determinants'!$B$19:$P$41,6,0)/'4. Billing Determinants'!$G$41*$D7,IF($E7="Distribution Rev.",VLOOKUP(N$4,'4. Billing Determinants'!$B$19:$P$41,8,0)/'4. Billing Determinants'!$I$41*$D7, VLOOKUP(N$4,'4. Billing Determinants'!$B$19:$P$41,3,0)/'4. Billing Determinants'!$D$41*$D7))))),0)</f>
        <v>0</v>
      </c>
      <c r="O7" s="70">
        <f>IFERROR(IF(O$4="",0,IF($E7="kWh",VLOOKUP(O$4,'4. Billing Determinants'!$B$19:$P$41,4,0)/'4. Billing Determinants'!$E$41*$D7,IF($E7="kW",VLOOKUP(O$4,'4. Billing Determinants'!$B$19:$P$41,5,0)/'4. Billing Determinants'!$F$41*$D7,IF($E7="Non-RPP kWh",VLOOKUP(O$4,'4. Billing Determinants'!$B$19:$P$41,6,0)/'4. Billing Determinants'!$G$41*$D7,IF($E7="Distribution Rev.",VLOOKUP(O$4,'4. Billing Determinants'!$B$19:$P$41,8,0)/'4. Billing Determinants'!$I$41*$D7, VLOOKUP(O$4,'4. Billing Determinants'!$B$19:$P$41,3,0)/'4. Billing Determinants'!$D$41*$D7))))),0)</f>
        <v>0</v>
      </c>
      <c r="P7" s="70">
        <f>IFERROR(IF(P$4="",0,IF($E7="kWh",VLOOKUP(P$4,'4. Billing Determinants'!$B$19:$P$41,4,0)/'4. Billing Determinants'!$E$41*$D7,IF($E7="kW",VLOOKUP(P$4,'4. Billing Determinants'!$B$19:$P$41,5,0)/'4. Billing Determinants'!$F$41*$D7,IF($E7="Non-RPP kWh",VLOOKUP(P$4,'4. Billing Determinants'!$B$19:$P$41,6,0)/'4. Billing Determinants'!$G$41*$D7,IF($E7="Distribution Rev.",VLOOKUP(P$4,'4. Billing Determinants'!$B$19:$P$41,8,0)/'4. Billing Determinants'!$I$41*$D7, VLOOKUP(P$4,'4. Billing Determinants'!$B$19:$P$41,3,0)/'4. Billing Determinants'!$D$41*$D7))))),0)</f>
        <v>0</v>
      </c>
      <c r="Q7" s="70">
        <f>IFERROR(IF(Q$4="",0,IF($E7="kWh",VLOOKUP(Q$4,'4. Billing Determinants'!$B$19:$P$41,4,0)/'4. Billing Determinants'!$E$41*$D7,IF($E7="kW",VLOOKUP(Q$4,'4. Billing Determinants'!$B$19:$P$41,5,0)/'4. Billing Determinants'!$F$41*$D7,IF($E7="Non-RPP kWh",VLOOKUP(Q$4,'4. Billing Determinants'!$B$19:$P$41,6,0)/'4. Billing Determinants'!$G$41*$D7,IF($E7="Distribution Rev.",VLOOKUP(Q$4,'4. Billing Determinants'!$B$19:$P$41,8,0)/'4. Billing Determinants'!$I$41*$D7, VLOOKUP(Q$4,'4. Billing Determinants'!$B$19:$P$41,3,0)/'4. Billing Determinants'!$D$41*$D7))))),0)</f>
        <v>0</v>
      </c>
      <c r="R7" s="70">
        <f>IFERROR(IF(R$4="",0,IF($E7="kWh",VLOOKUP(R$4,'4. Billing Determinants'!$B$19:$P$41,4,0)/'4. Billing Determinants'!$E$41*$D7,IF($E7="kW",VLOOKUP(R$4,'4. Billing Determinants'!$B$19:$P$41,5,0)/'4. Billing Determinants'!$F$41*$D7,IF($E7="Non-RPP kWh",VLOOKUP(R$4,'4. Billing Determinants'!$B$19:$P$41,6,0)/'4. Billing Determinants'!$G$41*$D7,IF($E7="Distribution Rev.",VLOOKUP(R$4,'4. Billing Determinants'!$B$19:$P$41,8,0)/'4. Billing Determinants'!$I$41*$D7, VLOOKUP(R$4,'4. Billing Determinants'!$B$19:$P$41,3,0)/'4. Billing Determinants'!$D$41*$D7))))),0)</f>
        <v>0</v>
      </c>
      <c r="S7" s="70">
        <f>IFERROR(IF(S$4="",0,IF($E7="kWh",VLOOKUP(S$4,'4. Billing Determinants'!$B$19:$P$41,4,0)/'4. Billing Determinants'!$E$41*$D7,IF($E7="kW",VLOOKUP(S$4,'4. Billing Determinants'!$B$19:$P$41,5,0)/'4. Billing Determinants'!$F$41*$D7,IF($E7="Non-RPP kWh",VLOOKUP(S$4,'4. Billing Determinants'!$B$19:$P$41,6,0)/'4. Billing Determinants'!$G$41*$D7,IF($E7="Distribution Rev.",VLOOKUP(S$4,'4. Billing Determinants'!$B$19:$P$41,8,0)/'4. Billing Determinants'!$I$41*$D7, VLOOKUP(S$4,'4. Billing Determinants'!$B$19:$P$41,3,0)/'4. Billing Determinants'!$D$41*$D7))))),0)</f>
        <v>0</v>
      </c>
      <c r="T7" s="70">
        <f>IFERROR(IF(T$4="",0,IF($E7="kWh",VLOOKUP(T$4,'4. Billing Determinants'!$B$19:$P$41,4,0)/'4. Billing Determinants'!$E$41*$D7,IF($E7="kW",VLOOKUP(T$4,'4. Billing Determinants'!$B$19:$P$41,5,0)/'4. Billing Determinants'!$F$41*$D7,IF($E7="Non-RPP kWh",VLOOKUP(T$4,'4. Billing Determinants'!$B$19:$P$41,6,0)/'4. Billing Determinants'!$G$41*$D7,IF($E7="Distribution Rev.",VLOOKUP(T$4,'4. Billing Determinants'!$B$19:$P$41,8,0)/'4. Billing Determinants'!$I$41*$D7, VLOOKUP(T$4,'4. Billing Determinants'!$B$19:$P$41,3,0)/'4. Billing Determinants'!$D$41*$D7))))),0)</f>
        <v>0</v>
      </c>
      <c r="U7" s="70">
        <f>IFERROR(IF(U$4="",0,IF($E7="kWh",VLOOKUP(U$4,'4. Billing Determinants'!$B$19:$P$41,4,0)/'4. Billing Determinants'!$E$41*$D7,IF($E7="kW",VLOOKUP(U$4,'4. Billing Determinants'!$B$19:$P$41,5,0)/'4. Billing Determinants'!$F$41*$D7,IF($E7="Non-RPP kWh",VLOOKUP(U$4,'4. Billing Determinants'!$B$19:$P$41,6,0)/'4. Billing Determinants'!$G$41*$D7,IF($E7="Distribution Rev.",VLOOKUP(U$4,'4. Billing Determinants'!$B$19:$P$41,8,0)/'4. Billing Determinants'!$I$41*$D7, VLOOKUP(U$4,'4. Billing Determinants'!$B$19:$P$41,3,0)/'4. Billing Determinants'!$D$41*$D7))))),0)</f>
        <v>0</v>
      </c>
      <c r="V7" s="70">
        <f>IFERROR(IF(V$4="",0,IF($E7="kWh",VLOOKUP(V$4,'4. Billing Determinants'!$B$19:$P$41,4,0)/'4. Billing Determinants'!$E$41*$D7,IF($E7="kW",VLOOKUP(V$4,'4. Billing Determinants'!$B$19:$P$41,5,0)/'4. Billing Determinants'!$F$41*$D7,IF($E7="Non-RPP kWh",VLOOKUP(V$4,'4. Billing Determinants'!$B$19:$P$41,6,0)/'4. Billing Determinants'!$G$41*$D7,IF($E7="Distribution Rev.",VLOOKUP(V$4,'4. Billing Determinants'!$B$19:$P$41,8,0)/'4. Billing Determinants'!$I$41*$D7, VLOOKUP(V$4,'4. Billing Determinants'!$B$19:$P$41,3,0)/'4. Billing Determinants'!$D$41*$D7))))),0)</f>
        <v>0</v>
      </c>
      <c r="W7" s="70">
        <f>IFERROR(IF(W$4="",0,IF($E7="kWh",VLOOKUP(W$4,'4. Billing Determinants'!$B$19:$P$41,4,0)/'4. Billing Determinants'!$E$41*$D7,IF($E7="kW",VLOOKUP(W$4,'4. Billing Determinants'!$B$19:$P$41,5,0)/'4. Billing Determinants'!$F$41*$D7,IF($E7="Non-RPP kWh",VLOOKUP(W$4,'4. Billing Determinants'!$B$19:$P$41,6,0)/'4. Billing Determinants'!$G$41*$D7,IF($E7="Distribution Rev.",VLOOKUP(W$4,'4. Billing Determinants'!$B$19:$P$41,8,0)/'4. Billing Determinants'!$I$41*$D7, VLOOKUP(W$4,'4. Billing Determinants'!$B$19:$P$41,3,0)/'4. Billing Determinants'!$D$41*$D7))))),0)</f>
        <v>0</v>
      </c>
      <c r="X7" s="70">
        <f>IFERROR(IF(X$4="",0,IF($E7="kWh",VLOOKUP(X$4,'4. Billing Determinants'!$B$19:$P$41,4,0)/'4. Billing Determinants'!$E$41*$D7,IF($E7="kW",VLOOKUP(X$4,'4. Billing Determinants'!$B$19:$P$41,5,0)/'4. Billing Determinants'!$F$41*$D7,IF($E7="Non-RPP kWh",VLOOKUP(X$4,'4. Billing Determinants'!$B$19:$P$41,6,0)/'4. Billing Determinants'!$G$41*$D7,IF($E7="Distribution Rev.",VLOOKUP(X$4,'4. Billing Determinants'!$B$19:$P$41,8,0)/'4. Billing Determinants'!$I$41*$D7, VLOOKUP(X$4,'4. Billing Determinants'!$B$19:$P$41,3,0)/'4. Billing Determinants'!$D$41*$D7))))),0)</f>
        <v>0</v>
      </c>
      <c r="Y7" s="70">
        <f>IFERROR(IF(Y$4="",0,IF($E7="kWh",VLOOKUP(Y$4,'4. Billing Determinants'!$B$19:$P$41,4,0)/'4. Billing Determinants'!$E$41*$D7,IF($E7="kW",VLOOKUP(Y$4,'4. Billing Determinants'!$B$19:$P$41,5,0)/'4. Billing Determinants'!$F$41*$D7,IF($E7="Non-RPP kWh",VLOOKUP(Y$4,'4. Billing Determinants'!$B$19:$P$41,6,0)/'4. Billing Determinants'!$G$41*$D7,IF($E7="Distribution Rev.",VLOOKUP(Y$4,'4. Billing Determinants'!$B$19:$P$41,8,0)/'4. Billing Determinants'!$I$41*$D7, VLOOKUP(Y$4,'4. Billing Determinants'!$B$19:$P$41,3,0)/'4. Billing Determinants'!$D$41*$D7))))),0)</f>
        <v>0</v>
      </c>
    </row>
    <row r="8" spans="2:25" x14ac:dyDescent="0.2">
      <c r="B8" s="71" t="s">
        <v>2</v>
      </c>
      <c r="C8" s="69">
        <v>1584</v>
      </c>
      <c r="D8" s="70">
        <f>'2. 2014 Continuity Schedule'!BO27</f>
        <v>611116.27985200007</v>
      </c>
      <c r="E8" s="130" t="s">
        <v>276</v>
      </c>
      <c r="F8" s="70">
        <f>IFERROR(IF(F$4="",0,IF($E8="kWh",VLOOKUP(F$4,'4. Billing Determinants'!$B$19:$P$41,4,0)/'4. Billing Determinants'!$E$41*$D8,IF($E8="kW",VLOOKUP(F$4,'4. Billing Determinants'!$B$19:$P$41,5,0)/'4. Billing Determinants'!$F$41*$D8,IF($E8="Non-RPP kWh",VLOOKUP(F$4,'4. Billing Determinants'!$B$19:$P$41,6,0)/'4. Billing Determinants'!$G$41*$D8,IF($E8="Distribution Rev.",VLOOKUP(F$4,'4. Billing Determinants'!$B$19:$P$41,8,0)/'4. Billing Determinants'!$I$41*$D8, VLOOKUP(F$4,'4. Billing Determinants'!$B$19:$P$41,3,0)/'4. Billing Determinants'!$D$41*$D8))))),0)</f>
        <v>209565.9040807292</v>
      </c>
      <c r="G8" s="70">
        <f>IFERROR(IF(G$4="",0,IF($E8="kWh",VLOOKUP(G$4,'4. Billing Determinants'!$B$19:$P$41,4,0)/'4. Billing Determinants'!$E$41*$D8,IF($E8="kW",VLOOKUP(G$4,'4. Billing Determinants'!$B$19:$P$41,5,0)/'4. Billing Determinants'!$F$41*$D8,IF($E8="Non-RPP kWh",VLOOKUP(G$4,'4. Billing Determinants'!$B$19:$P$41,6,0)/'4. Billing Determinants'!$G$41*$D8,IF($E8="Distribution Rev.",VLOOKUP(G$4,'4. Billing Determinants'!$B$19:$P$41,8,0)/'4. Billing Determinants'!$I$41*$D8, VLOOKUP(G$4,'4. Billing Determinants'!$B$19:$P$41,3,0)/'4. Billing Determinants'!$D$41*$D8))))),0)</f>
        <v>63119.046206601102</v>
      </c>
      <c r="H8" s="70">
        <f>IFERROR(IF(H$4="",0,IF($E8="kWh",VLOOKUP(H$4,'4. Billing Determinants'!$B$19:$P$41,4,0)/'4. Billing Determinants'!$E$41*$D8,IF($E8="kW",VLOOKUP(H$4,'4. Billing Determinants'!$B$19:$P$41,5,0)/'4. Billing Determinants'!$F$41*$D8,IF($E8="Non-RPP kWh",VLOOKUP(H$4,'4. Billing Determinants'!$B$19:$P$41,6,0)/'4. Billing Determinants'!$G$41*$D8,IF($E8="Distribution Rev.",VLOOKUP(H$4,'4. Billing Determinants'!$B$19:$P$41,8,0)/'4. Billing Determinants'!$I$41*$D8, VLOOKUP(H$4,'4. Billing Determinants'!$B$19:$P$41,3,0)/'4. Billing Determinants'!$D$41*$D8))))),0)</f>
        <v>333420.4943455538</v>
      </c>
      <c r="I8" s="70">
        <f>IFERROR(IF(I$4="",0,IF($E8="kWh",VLOOKUP(I$4,'4. Billing Determinants'!$B$19:$P$41,4,0)/'4. Billing Determinants'!$E$41*$D8,IF($E8="kW",VLOOKUP(I$4,'4. Billing Determinants'!$B$19:$P$41,5,0)/'4. Billing Determinants'!$F$41*$D8,IF($E8="Non-RPP kWh",VLOOKUP(I$4,'4. Billing Determinants'!$B$19:$P$41,6,0)/'4. Billing Determinants'!$G$41*$D8,IF($E8="Distribution Rev.",VLOOKUP(I$4,'4. Billing Determinants'!$B$19:$P$41,8,0)/'4. Billing Determinants'!$I$41*$D8, VLOOKUP(I$4,'4. Billing Determinants'!$B$19:$P$41,3,0)/'4. Billing Determinants'!$D$41*$D8))))),0)</f>
        <v>1142.5669252183425</v>
      </c>
      <c r="J8" s="70">
        <f>IFERROR(IF(J$4="",0,IF($E8="kWh",VLOOKUP(J$4,'4. Billing Determinants'!$B$19:$P$41,4,0)/'4. Billing Determinants'!$E$41*$D8,IF($E8="kW",VLOOKUP(J$4,'4. Billing Determinants'!$B$19:$P$41,5,0)/'4. Billing Determinants'!$F$41*$D8,IF($E8="Non-RPP kWh",VLOOKUP(J$4,'4. Billing Determinants'!$B$19:$P$41,6,0)/'4. Billing Determinants'!$G$41*$D8,IF($E8="Distribution Rev.",VLOOKUP(J$4,'4. Billing Determinants'!$B$19:$P$41,8,0)/'4. Billing Determinants'!$I$41*$D8, VLOOKUP(J$4,'4. Billing Determinants'!$B$19:$P$41,3,0)/'4. Billing Determinants'!$D$41*$D8))))),0)</f>
        <v>135.01071638242257</v>
      </c>
      <c r="K8" s="70">
        <f>IFERROR(IF(K$4="",0,IF($E8="kWh",VLOOKUP(K$4,'4. Billing Determinants'!$B$19:$P$41,4,0)/'4. Billing Determinants'!$E$41*$D8,IF($E8="kW",VLOOKUP(K$4,'4. Billing Determinants'!$B$19:$P$41,5,0)/'4. Billing Determinants'!$F$41*$D8,IF($E8="Non-RPP kWh",VLOOKUP(K$4,'4. Billing Determinants'!$B$19:$P$41,6,0)/'4. Billing Determinants'!$G$41*$D8,IF($E8="Distribution Rev.",VLOOKUP(K$4,'4. Billing Determinants'!$B$19:$P$41,8,0)/'4. Billing Determinants'!$I$41*$D8, VLOOKUP(K$4,'4. Billing Determinants'!$B$19:$P$41,3,0)/'4. Billing Determinants'!$D$41*$D8))))),0)</f>
        <v>3733.2575775151854</v>
      </c>
      <c r="L8" s="70">
        <f>IFERROR(IF(L$4="",0,IF($E8="kWh",VLOOKUP(L$4,'4. Billing Determinants'!$B$19:$P$41,4,0)/'4. Billing Determinants'!$E$41*$D8,IF($E8="kW",VLOOKUP(L$4,'4. Billing Determinants'!$B$19:$P$41,5,0)/'4. Billing Determinants'!$F$41*$D8,IF($E8="Non-RPP kWh",VLOOKUP(L$4,'4. Billing Determinants'!$B$19:$P$41,6,0)/'4. Billing Determinants'!$G$41*$D8,IF($E8="Distribution Rev.",VLOOKUP(L$4,'4. Billing Determinants'!$B$19:$P$41,8,0)/'4. Billing Determinants'!$I$41*$D8, VLOOKUP(L$4,'4. Billing Determinants'!$B$19:$P$41,3,0)/'4. Billing Determinants'!$D$41*$D8))))),0)</f>
        <v>0</v>
      </c>
      <c r="M8" s="70">
        <f>IFERROR(IF(M$4="",0,IF($E8="kWh",VLOOKUP(M$4,'4. Billing Determinants'!$B$19:$P$41,4,0)/'4. Billing Determinants'!$E$41*$D8,IF($E8="kW",VLOOKUP(M$4,'4. Billing Determinants'!$B$19:$P$41,5,0)/'4. Billing Determinants'!$F$41*$D8,IF($E8="Non-RPP kWh",VLOOKUP(M$4,'4. Billing Determinants'!$B$19:$P$41,6,0)/'4. Billing Determinants'!$G$41*$D8,IF($E8="Distribution Rev.",VLOOKUP(M$4,'4. Billing Determinants'!$B$19:$P$41,8,0)/'4. Billing Determinants'!$I$41*$D8, VLOOKUP(M$4,'4. Billing Determinants'!$B$19:$P$41,3,0)/'4. Billing Determinants'!$D$41*$D8))))),0)</f>
        <v>0</v>
      </c>
      <c r="N8" s="70">
        <f>IFERROR(IF(N$4="",0,IF($E8="kWh",VLOOKUP(N$4,'4. Billing Determinants'!$B$19:$P$41,4,0)/'4. Billing Determinants'!$E$41*$D8,IF($E8="kW",VLOOKUP(N$4,'4. Billing Determinants'!$B$19:$P$41,5,0)/'4. Billing Determinants'!$F$41*$D8,IF($E8="Non-RPP kWh",VLOOKUP(N$4,'4. Billing Determinants'!$B$19:$P$41,6,0)/'4. Billing Determinants'!$G$41*$D8,IF($E8="Distribution Rev.",VLOOKUP(N$4,'4. Billing Determinants'!$B$19:$P$41,8,0)/'4. Billing Determinants'!$I$41*$D8, VLOOKUP(N$4,'4. Billing Determinants'!$B$19:$P$41,3,0)/'4. Billing Determinants'!$D$41*$D8))))),0)</f>
        <v>0</v>
      </c>
      <c r="O8" s="70">
        <f>IFERROR(IF(O$4="",0,IF($E8="kWh",VLOOKUP(O$4,'4. Billing Determinants'!$B$19:$P$41,4,0)/'4. Billing Determinants'!$E$41*$D8,IF($E8="kW",VLOOKUP(O$4,'4. Billing Determinants'!$B$19:$P$41,5,0)/'4. Billing Determinants'!$F$41*$D8,IF($E8="Non-RPP kWh",VLOOKUP(O$4,'4. Billing Determinants'!$B$19:$P$41,6,0)/'4. Billing Determinants'!$G$41*$D8,IF($E8="Distribution Rev.",VLOOKUP(O$4,'4. Billing Determinants'!$B$19:$P$41,8,0)/'4. Billing Determinants'!$I$41*$D8, VLOOKUP(O$4,'4. Billing Determinants'!$B$19:$P$41,3,0)/'4. Billing Determinants'!$D$41*$D8))))),0)</f>
        <v>0</v>
      </c>
      <c r="P8" s="70">
        <f>IFERROR(IF(P$4="",0,IF($E8="kWh",VLOOKUP(P$4,'4. Billing Determinants'!$B$19:$P$41,4,0)/'4. Billing Determinants'!$E$41*$D8,IF($E8="kW",VLOOKUP(P$4,'4. Billing Determinants'!$B$19:$P$41,5,0)/'4. Billing Determinants'!$F$41*$D8,IF($E8="Non-RPP kWh",VLOOKUP(P$4,'4. Billing Determinants'!$B$19:$P$41,6,0)/'4. Billing Determinants'!$G$41*$D8,IF($E8="Distribution Rev.",VLOOKUP(P$4,'4. Billing Determinants'!$B$19:$P$41,8,0)/'4. Billing Determinants'!$I$41*$D8, VLOOKUP(P$4,'4. Billing Determinants'!$B$19:$P$41,3,0)/'4. Billing Determinants'!$D$41*$D8))))),0)</f>
        <v>0</v>
      </c>
      <c r="Q8" s="70">
        <f>IFERROR(IF(Q$4="",0,IF($E8="kWh",VLOOKUP(Q$4,'4. Billing Determinants'!$B$19:$P$41,4,0)/'4. Billing Determinants'!$E$41*$D8,IF($E8="kW",VLOOKUP(Q$4,'4. Billing Determinants'!$B$19:$P$41,5,0)/'4. Billing Determinants'!$F$41*$D8,IF($E8="Non-RPP kWh",VLOOKUP(Q$4,'4. Billing Determinants'!$B$19:$P$41,6,0)/'4. Billing Determinants'!$G$41*$D8,IF($E8="Distribution Rev.",VLOOKUP(Q$4,'4. Billing Determinants'!$B$19:$P$41,8,0)/'4. Billing Determinants'!$I$41*$D8, VLOOKUP(Q$4,'4. Billing Determinants'!$B$19:$P$41,3,0)/'4. Billing Determinants'!$D$41*$D8))))),0)</f>
        <v>0</v>
      </c>
      <c r="R8" s="70">
        <f>IFERROR(IF(R$4="",0,IF($E8="kWh",VLOOKUP(R$4,'4. Billing Determinants'!$B$19:$P$41,4,0)/'4. Billing Determinants'!$E$41*$D8,IF($E8="kW",VLOOKUP(R$4,'4. Billing Determinants'!$B$19:$P$41,5,0)/'4. Billing Determinants'!$F$41*$D8,IF($E8="Non-RPP kWh",VLOOKUP(R$4,'4. Billing Determinants'!$B$19:$P$41,6,0)/'4. Billing Determinants'!$G$41*$D8,IF($E8="Distribution Rev.",VLOOKUP(R$4,'4. Billing Determinants'!$B$19:$P$41,8,0)/'4. Billing Determinants'!$I$41*$D8, VLOOKUP(R$4,'4. Billing Determinants'!$B$19:$P$41,3,0)/'4. Billing Determinants'!$D$41*$D8))))),0)</f>
        <v>0</v>
      </c>
      <c r="S8" s="70">
        <f>IFERROR(IF(S$4="",0,IF($E8="kWh",VLOOKUP(S$4,'4. Billing Determinants'!$B$19:$P$41,4,0)/'4. Billing Determinants'!$E$41*$D8,IF($E8="kW",VLOOKUP(S$4,'4. Billing Determinants'!$B$19:$P$41,5,0)/'4. Billing Determinants'!$F$41*$D8,IF($E8="Non-RPP kWh",VLOOKUP(S$4,'4. Billing Determinants'!$B$19:$P$41,6,0)/'4. Billing Determinants'!$G$41*$D8,IF($E8="Distribution Rev.",VLOOKUP(S$4,'4. Billing Determinants'!$B$19:$P$41,8,0)/'4. Billing Determinants'!$I$41*$D8, VLOOKUP(S$4,'4. Billing Determinants'!$B$19:$P$41,3,0)/'4. Billing Determinants'!$D$41*$D8))))),0)</f>
        <v>0</v>
      </c>
      <c r="T8" s="70">
        <f>IFERROR(IF(T$4="",0,IF($E8="kWh",VLOOKUP(T$4,'4. Billing Determinants'!$B$19:$P$41,4,0)/'4. Billing Determinants'!$E$41*$D8,IF($E8="kW",VLOOKUP(T$4,'4. Billing Determinants'!$B$19:$P$41,5,0)/'4. Billing Determinants'!$F$41*$D8,IF($E8="Non-RPP kWh",VLOOKUP(T$4,'4. Billing Determinants'!$B$19:$P$41,6,0)/'4. Billing Determinants'!$G$41*$D8,IF($E8="Distribution Rev.",VLOOKUP(T$4,'4. Billing Determinants'!$B$19:$P$41,8,0)/'4. Billing Determinants'!$I$41*$D8, VLOOKUP(T$4,'4. Billing Determinants'!$B$19:$P$41,3,0)/'4. Billing Determinants'!$D$41*$D8))))),0)</f>
        <v>0</v>
      </c>
      <c r="U8" s="70">
        <f>IFERROR(IF(U$4="",0,IF($E8="kWh",VLOOKUP(U$4,'4. Billing Determinants'!$B$19:$P$41,4,0)/'4. Billing Determinants'!$E$41*$D8,IF($E8="kW",VLOOKUP(U$4,'4. Billing Determinants'!$B$19:$P$41,5,0)/'4. Billing Determinants'!$F$41*$D8,IF($E8="Non-RPP kWh",VLOOKUP(U$4,'4. Billing Determinants'!$B$19:$P$41,6,0)/'4. Billing Determinants'!$G$41*$D8,IF($E8="Distribution Rev.",VLOOKUP(U$4,'4. Billing Determinants'!$B$19:$P$41,8,0)/'4. Billing Determinants'!$I$41*$D8, VLOOKUP(U$4,'4. Billing Determinants'!$B$19:$P$41,3,0)/'4. Billing Determinants'!$D$41*$D8))))),0)</f>
        <v>0</v>
      </c>
      <c r="V8" s="70">
        <f>IFERROR(IF(V$4="",0,IF($E8="kWh",VLOOKUP(V$4,'4. Billing Determinants'!$B$19:$P$41,4,0)/'4. Billing Determinants'!$E$41*$D8,IF($E8="kW",VLOOKUP(V$4,'4. Billing Determinants'!$B$19:$P$41,5,0)/'4. Billing Determinants'!$F$41*$D8,IF($E8="Non-RPP kWh",VLOOKUP(V$4,'4. Billing Determinants'!$B$19:$P$41,6,0)/'4. Billing Determinants'!$G$41*$D8,IF($E8="Distribution Rev.",VLOOKUP(V$4,'4. Billing Determinants'!$B$19:$P$41,8,0)/'4. Billing Determinants'!$I$41*$D8, VLOOKUP(V$4,'4. Billing Determinants'!$B$19:$P$41,3,0)/'4. Billing Determinants'!$D$41*$D8))))),0)</f>
        <v>0</v>
      </c>
      <c r="W8" s="70">
        <f>IFERROR(IF(W$4="",0,IF($E8="kWh",VLOOKUP(W$4,'4. Billing Determinants'!$B$19:$P$41,4,0)/'4. Billing Determinants'!$E$41*$D8,IF($E8="kW",VLOOKUP(W$4,'4. Billing Determinants'!$B$19:$P$41,5,0)/'4. Billing Determinants'!$F$41*$D8,IF($E8="Non-RPP kWh",VLOOKUP(W$4,'4. Billing Determinants'!$B$19:$P$41,6,0)/'4. Billing Determinants'!$G$41*$D8,IF($E8="Distribution Rev.",VLOOKUP(W$4,'4. Billing Determinants'!$B$19:$P$41,8,0)/'4. Billing Determinants'!$I$41*$D8, VLOOKUP(W$4,'4. Billing Determinants'!$B$19:$P$41,3,0)/'4. Billing Determinants'!$D$41*$D8))))),0)</f>
        <v>0</v>
      </c>
      <c r="X8" s="70">
        <f>IFERROR(IF(X$4="",0,IF($E8="kWh",VLOOKUP(X$4,'4. Billing Determinants'!$B$19:$P$41,4,0)/'4. Billing Determinants'!$E$41*$D8,IF($E8="kW",VLOOKUP(X$4,'4. Billing Determinants'!$B$19:$P$41,5,0)/'4. Billing Determinants'!$F$41*$D8,IF($E8="Non-RPP kWh",VLOOKUP(X$4,'4. Billing Determinants'!$B$19:$P$41,6,0)/'4. Billing Determinants'!$G$41*$D8,IF($E8="Distribution Rev.",VLOOKUP(X$4,'4. Billing Determinants'!$B$19:$P$41,8,0)/'4. Billing Determinants'!$I$41*$D8, VLOOKUP(X$4,'4. Billing Determinants'!$B$19:$P$41,3,0)/'4. Billing Determinants'!$D$41*$D8))))),0)</f>
        <v>0</v>
      </c>
      <c r="Y8" s="70">
        <f>IFERROR(IF(Y$4="",0,IF($E8="kWh",VLOOKUP(Y$4,'4. Billing Determinants'!$B$19:$P$41,4,0)/'4. Billing Determinants'!$E$41*$D8,IF($E8="kW",VLOOKUP(Y$4,'4. Billing Determinants'!$B$19:$P$41,5,0)/'4. Billing Determinants'!$F$41*$D8,IF($E8="Non-RPP kWh",VLOOKUP(Y$4,'4. Billing Determinants'!$B$19:$P$41,6,0)/'4. Billing Determinants'!$G$41*$D8,IF($E8="Distribution Rev.",VLOOKUP(Y$4,'4. Billing Determinants'!$B$19:$P$41,8,0)/'4. Billing Determinants'!$I$41*$D8, VLOOKUP(Y$4,'4. Billing Determinants'!$B$19:$P$41,3,0)/'4. Billing Determinants'!$D$41*$D8))))),0)</f>
        <v>0</v>
      </c>
    </row>
    <row r="9" spans="2:25" x14ac:dyDescent="0.2">
      <c r="B9" s="71" t="s">
        <v>3</v>
      </c>
      <c r="C9" s="69">
        <v>1586</v>
      </c>
      <c r="D9" s="70">
        <f>'2. 2014 Continuity Schedule'!BO28</f>
        <v>396308.043336</v>
      </c>
      <c r="E9" s="130" t="s">
        <v>276</v>
      </c>
      <c r="F9" s="70">
        <f>IFERROR(IF(F$4="",0,IF($E9="kWh",VLOOKUP(F$4,'4. Billing Determinants'!$B$19:$P$41,4,0)/'4. Billing Determinants'!$E$41*$D9,IF($E9="kW",VLOOKUP(F$4,'4. Billing Determinants'!$B$19:$P$41,5,0)/'4. Billing Determinants'!$F$41*$D9,IF($E9="Non-RPP kWh",VLOOKUP(F$4,'4. Billing Determinants'!$B$19:$P$41,6,0)/'4. Billing Determinants'!$G$41*$D9,IF($E9="Distribution Rev.",VLOOKUP(F$4,'4. Billing Determinants'!$B$19:$P$41,8,0)/'4. Billing Determinants'!$I$41*$D9, VLOOKUP(F$4,'4. Billing Determinants'!$B$19:$P$41,3,0)/'4. Billing Determinants'!$D$41*$D9))))),0)</f>
        <v>135903.1924600132</v>
      </c>
      <c r="G9" s="70">
        <f>IFERROR(IF(G$4="",0,IF($E9="kWh",VLOOKUP(G$4,'4. Billing Determinants'!$B$19:$P$41,4,0)/'4. Billing Determinants'!$E$41*$D9,IF($E9="kW",VLOOKUP(G$4,'4. Billing Determinants'!$B$19:$P$41,5,0)/'4. Billing Determinants'!$F$41*$D9,IF($E9="Non-RPP kWh",VLOOKUP(G$4,'4. Billing Determinants'!$B$19:$P$41,6,0)/'4. Billing Determinants'!$G$41*$D9,IF($E9="Distribution Rev.",VLOOKUP(G$4,'4. Billing Determinants'!$B$19:$P$41,8,0)/'4. Billing Determinants'!$I$41*$D9, VLOOKUP(G$4,'4. Billing Determinants'!$B$19:$P$41,3,0)/'4. Billing Determinants'!$D$41*$D9))))),0)</f>
        <v>40932.612211592008</v>
      </c>
      <c r="H9" s="70">
        <f>IFERROR(IF(H$4="",0,IF($E9="kWh",VLOOKUP(H$4,'4. Billing Determinants'!$B$19:$P$41,4,0)/'4. Billing Determinants'!$E$41*$D9,IF($E9="kW",VLOOKUP(H$4,'4. Billing Determinants'!$B$19:$P$41,5,0)/'4. Billing Determinants'!$F$41*$D9,IF($E9="Non-RPP kWh",VLOOKUP(H$4,'4. Billing Determinants'!$B$19:$P$41,6,0)/'4. Billing Determinants'!$G$41*$D9,IF($E9="Distribution Rev.",VLOOKUP(H$4,'4. Billing Determinants'!$B$19:$P$41,8,0)/'4. Billing Determinants'!$I$41*$D9, VLOOKUP(H$4,'4. Billing Determinants'!$B$19:$P$41,3,0)/'4. Billing Determinants'!$D$41*$D9))))),0)</f>
        <v>216222.71911036182</v>
      </c>
      <c r="I9" s="70">
        <f>IFERROR(IF(I$4="",0,IF($E9="kWh",VLOOKUP(I$4,'4. Billing Determinants'!$B$19:$P$41,4,0)/'4. Billing Determinants'!$E$41*$D9,IF($E9="kW",VLOOKUP(I$4,'4. Billing Determinants'!$B$19:$P$41,5,0)/'4. Billing Determinants'!$F$41*$D9,IF($E9="Non-RPP kWh",VLOOKUP(I$4,'4. Billing Determinants'!$B$19:$P$41,6,0)/'4. Billing Determinants'!$G$41*$D9,IF($E9="Distribution Rev.",VLOOKUP(I$4,'4. Billing Determinants'!$B$19:$P$41,8,0)/'4. Billing Determinants'!$I$41*$D9, VLOOKUP(I$4,'4. Billing Determinants'!$B$19:$P$41,3,0)/'4. Billing Determinants'!$D$41*$D9))))),0)</f>
        <v>740.95303535911705</v>
      </c>
      <c r="J9" s="70">
        <f>IFERROR(IF(J$4="",0,IF($E9="kWh",VLOOKUP(J$4,'4. Billing Determinants'!$B$19:$P$41,4,0)/'4. Billing Determinants'!$E$41*$D9,IF($E9="kW",VLOOKUP(J$4,'4. Billing Determinants'!$B$19:$P$41,5,0)/'4. Billing Determinants'!$F$41*$D9,IF($E9="Non-RPP kWh",VLOOKUP(J$4,'4. Billing Determinants'!$B$19:$P$41,6,0)/'4. Billing Determinants'!$G$41*$D9,IF($E9="Distribution Rev.",VLOOKUP(J$4,'4. Billing Determinants'!$B$19:$P$41,8,0)/'4. Billing Determinants'!$I$41*$D9, VLOOKUP(J$4,'4. Billing Determinants'!$B$19:$P$41,3,0)/'4. Billing Determinants'!$D$41*$D9))))),0)</f>
        <v>87.554258662308186</v>
      </c>
      <c r="K9" s="70">
        <f>IFERROR(IF(K$4="",0,IF($E9="kWh",VLOOKUP(K$4,'4. Billing Determinants'!$B$19:$P$41,4,0)/'4. Billing Determinants'!$E$41*$D9,IF($E9="kW",VLOOKUP(K$4,'4. Billing Determinants'!$B$19:$P$41,5,0)/'4. Billing Determinants'!$F$41*$D9,IF($E9="Non-RPP kWh",VLOOKUP(K$4,'4. Billing Determinants'!$B$19:$P$41,6,0)/'4. Billing Determinants'!$G$41*$D9,IF($E9="Distribution Rev.",VLOOKUP(K$4,'4. Billing Determinants'!$B$19:$P$41,8,0)/'4. Billing Determinants'!$I$41*$D9, VLOOKUP(K$4,'4. Billing Determinants'!$B$19:$P$41,3,0)/'4. Billing Determinants'!$D$41*$D9))))),0)</f>
        <v>2421.0122600115451</v>
      </c>
      <c r="L9" s="70">
        <f>IFERROR(IF(L$4="",0,IF($E9="kWh",VLOOKUP(L$4,'4. Billing Determinants'!$B$19:$P$41,4,0)/'4. Billing Determinants'!$E$41*$D9,IF($E9="kW",VLOOKUP(L$4,'4. Billing Determinants'!$B$19:$P$41,5,0)/'4. Billing Determinants'!$F$41*$D9,IF($E9="Non-RPP kWh",VLOOKUP(L$4,'4. Billing Determinants'!$B$19:$P$41,6,0)/'4. Billing Determinants'!$G$41*$D9,IF($E9="Distribution Rev.",VLOOKUP(L$4,'4. Billing Determinants'!$B$19:$P$41,8,0)/'4. Billing Determinants'!$I$41*$D9, VLOOKUP(L$4,'4. Billing Determinants'!$B$19:$P$41,3,0)/'4. Billing Determinants'!$D$41*$D9))))),0)</f>
        <v>0</v>
      </c>
      <c r="M9" s="70">
        <f>IFERROR(IF(M$4="",0,IF($E9="kWh",VLOOKUP(M$4,'4. Billing Determinants'!$B$19:$P$41,4,0)/'4. Billing Determinants'!$E$41*$D9,IF($E9="kW",VLOOKUP(M$4,'4. Billing Determinants'!$B$19:$P$41,5,0)/'4. Billing Determinants'!$F$41*$D9,IF($E9="Non-RPP kWh",VLOOKUP(M$4,'4. Billing Determinants'!$B$19:$P$41,6,0)/'4. Billing Determinants'!$G$41*$D9,IF($E9="Distribution Rev.",VLOOKUP(M$4,'4. Billing Determinants'!$B$19:$P$41,8,0)/'4. Billing Determinants'!$I$41*$D9, VLOOKUP(M$4,'4. Billing Determinants'!$B$19:$P$41,3,0)/'4. Billing Determinants'!$D$41*$D9))))),0)</f>
        <v>0</v>
      </c>
      <c r="N9" s="70">
        <f>IFERROR(IF(N$4="",0,IF($E9="kWh",VLOOKUP(N$4,'4. Billing Determinants'!$B$19:$P$41,4,0)/'4. Billing Determinants'!$E$41*$D9,IF($E9="kW",VLOOKUP(N$4,'4. Billing Determinants'!$B$19:$P$41,5,0)/'4. Billing Determinants'!$F$41*$D9,IF($E9="Non-RPP kWh",VLOOKUP(N$4,'4. Billing Determinants'!$B$19:$P$41,6,0)/'4. Billing Determinants'!$G$41*$D9,IF($E9="Distribution Rev.",VLOOKUP(N$4,'4. Billing Determinants'!$B$19:$P$41,8,0)/'4. Billing Determinants'!$I$41*$D9, VLOOKUP(N$4,'4. Billing Determinants'!$B$19:$P$41,3,0)/'4. Billing Determinants'!$D$41*$D9))))),0)</f>
        <v>0</v>
      </c>
      <c r="O9" s="70">
        <f>IFERROR(IF(O$4="",0,IF($E9="kWh",VLOOKUP(O$4,'4. Billing Determinants'!$B$19:$P$41,4,0)/'4. Billing Determinants'!$E$41*$D9,IF($E9="kW",VLOOKUP(O$4,'4. Billing Determinants'!$B$19:$P$41,5,0)/'4. Billing Determinants'!$F$41*$D9,IF($E9="Non-RPP kWh",VLOOKUP(O$4,'4. Billing Determinants'!$B$19:$P$41,6,0)/'4. Billing Determinants'!$G$41*$D9,IF($E9="Distribution Rev.",VLOOKUP(O$4,'4. Billing Determinants'!$B$19:$P$41,8,0)/'4. Billing Determinants'!$I$41*$D9, VLOOKUP(O$4,'4. Billing Determinants'!$B$19:$P$41,3,0)/'4. Billing Determinants'!$D$41*$D9))))),0)</f>
        <v>0</v>
      </c>
      <c r="P9" s="70">
        <f>IFERROR(IF(P$4="",0,IF($E9="kWh",VLOOKUP(P$4,'4. Billing Determinants'!$B$19:$P$41,4,0)/'4. Billing Determinants'!$E$41*$D9,IF($E9="kW",VLOOKUP(P$4,'4. Billing Determinants'!$B$19:$P$41,5,0)/'4. Billing Determinants'!$F$41*$D9,IF($E9="Non-RPP kWh",VLOOKUP(P$4,'4. Billing Determinants'!$B$19:$P$41,6,0)/'4. Billing Determinants'!$G$41*$D9,IF($E9="Distribution Rev.",VLOOKUP(P$4,'4. Billing Determinants'!$B$19:$P$41,8,0)/'4. Billing Determinants'!$I$41*$D9, VLOOKUP(P$4,'4. Billing Determinants'!$B$19:$P$41,3,0)/'4. Billing Determinants'!$D$41*$D9))))),0)</f>
        <v>0</v>
      </c>
      <c r="Q9" s="70">
        <f>IFERROR(IF(Q$4="",0,IF($E9="kWh",VLOOKUP(Q$4,'4. Billing Determinants'!$B$19:$P$41,4,0)/'4. Billing Determinants'!$E$41*$D9,IF($E9="kW",VLOOKUP(Q$4,'4. Billing Determinants'!$B$19:$P$41,5,0)/'4. Billing Determinants'!$F$41*$D9,IF($E9="Non-RPP kWh",VLOOKUP(Q$4,'4. Billing Determinants'!$B$19:$P$41,6,0)/'4. Billing Determinants'!$G$41*$D9,IF($E9="Distribution Rev.",VLOOKUP(Q$4,'4. Billing Determinants'!$B$19:$P$41,8,0)/'4. Billing Determinants'!$I$41*$D9, VLOOKUP(Q$4,'4. Billing Determinants'!$B$19:$P$41,3,0)/'4. Billing Determinants'!$D$41*$D9))))),0)</f>
        <v>0</v>
      </c>
      <c r="R9" s="70">
        <f>IFERROR(IF(R$4="",0,IF($E9="kWh",VLOOKUP(R$4,'4. Billing Determinants'!$B$19:$P$41,4,0)/'4. Billing Determinants'!$E$41*$D9,IF($E9="kW",VLOOKUP(R$4,'4. Billing Determinants'!$B$19:$P$41,5,0)/'4. Billing Determinants'!$F$41*$D9,IF($E9="Non-RPP kWh",VLOOKUP(R$4,'4. Billing Determinants'!$B$19:$P$41,6,0)/'4. Billing Determinants'!$G$41*$D9,IF($E9="Distribution Rev.",VLOOKUP(R$4,'4. Billing Determinants'!$B$19:$P$41,8,0)/'4. Billing Determinants'!$I$41*$D9, VLOOKUP(R$4,'4. Billing Determinants'!$B$19:$P$41,3,0)/'4. Billing Determinants'!$D$41*$D9))))),0)</f>
        <v>0</v>
      </c>
      <c r="S9" s="70">
        <f>IFERROR(IF(S$4="",0,IF($E9="kWh",VLOOKUP(S$4,'4. Billing Determinants'!$B$19:$P$41,4,0)/'4. Billing Determinants'!$E$41*$D9,IF($E9="kW",VLOOKUP(S$4,'4. Billing Determinants'!$B$19:$P$41,5,0)/'4. Billing Determinants'!$F$41*$D9,IF($E9="Non-RPP kWh",VLOOKUP(S$4,'4. Billing Determinants'!$B$19:$P$41,6,0)/'4. Billing Determinants'!$G$41*$D9,IF($E9="Distribution Rev.",VLOOKUP(S$4,'4. Billing Determinants'!$B$19:$P$41,8,0)/'4. Billing Determinants'!$I$41*$D9, VLOOKUP(S$4,'4. Billing Determinants'!$B$19:$P$41,3,0)/'4. Billing Determinants'!$D$41*$D9))))),0)</f>
        <v>0</v>
      </c>
      <c r="T9" s="70">
        <f>IFERROR(IF(T$4="",0,IF($E9="kWh",VLOOKUP(T$4,'4. Billing Determinants'!$B$19:$P$41,4,0)/'4. Billing Determinants'!$E$41*$D9,IF($E9="kW",VLOOKUP(T$4,'4. Billing Determinants'!$B$19:$P$41,5,0)/'4. Billing Determinants'!$F$41*$D9,IF($E9="Non-RPP kWh",VLOOKUP(T$4,'4. Billing Determinants'!$B$19:$P$41,6,0)/'4. Billing Determinants'!$G$41*$D9,IF($E9="Distribution Rev.",VLOOKUP(T$4,'4. Billing Determinants'!$B$19:$P$41,8,0)/'4. Billing Determinants'!$I$41*$D9, VLOOKUP(T$4,'4. Billing Determinants'!$B$19:$P$41,3,0)/'4. Billing Determinants'!$D$41*$D9))))),0)</f>
        <v>0</v>
      </c>
      <c r="U9" s="70">
        <f>IFERROR(IF(U$4="",0,IF($E9="kWh",VLOOKUP(U$4,'4. Billing Determinants'!$B$19:$P$41,4,0)/'4. Billing Determinants'!$E$41*$D9,IF($E9="kW",VLOOKUP(U$4,'4. Billing Determinants'!$B$19:$P$41,5,0)/'4. Billing Determinants'!$F$41*$D9,IF($E9="Non-RPP kWh",VLOOKUP(U$4,'4. Billing Determinants'!$B$19:$P$41,6,0)/'4. Billing Determinants'!$G$41*$D9,IF($E9="Distribution Rev.",VLOOKUP(U$4,'4. Billing Determinants'!$B$19:$P$41,8,0)/'4. Billing Determinants'!$I$41*$D9, VLOOKUP(U$4,'4. Billing Determinants'!$B$19:$P$41,3,0)/'4. Billing Determinants'!$D$41*$D9))))),0)</f>
        <v>0</v>
      </c>
      <c r="V9" s="70">
        <f>IFERROR(IF(V$4="",0,IF($E9="kWh",VLOOKUP(V$4,'4. Billing Determinants'!$B$19:$P$41,4,0)/'4. Billing Determinants'!$E$41*$D9,IF($E9="kW",VLOOKUP(V$4,'4. Billing Determinants'!$B$19:$P$41,5,0)/'4. Billing Determinants'!$F$41*$D9,IF($E9="Non-RPP kWh",VLOOKUP(V$4,'4. Billing Determinants'!$B$19:$P$41,6,0)/'4. Billing Determinants'!$G$41*$D9,IF($E9="Distribution Rev.",VLOOKUP(V$4,'4. Billing Determinants'!$B$19:$P$41,8,0)/'4. Billing Determinants'!$I$41*$D9, VLOOKUP(V$4,'4. Billing Determinants'!$B$19:$P$41,3,0)/'4. Billing Determinants'!$D$41*$D9))))),0)</f>
        <v>0</v>
      </c>
      <c r="W9" s="70">
        <f>IFERROR(IF(W$4="",0,IF($E9="kWh",VLOOKUP(W$4,'4. Billing Determinants'!$B$19:$P$41,4,0)/'4. Billing Determinants'!$E$41*$D9,IF($E9="kW",VLOOKUP(W$4,'4. Billing Determinants'!$B$19:$P$41,5,0)/'4. Billing Determinants'!$F$41*$D9,IF($E9="Non-RPP kWh",VLOOKUP(W$4,'4. Billing Determinants'!$B$19:$P$41,6,0)/'4. Billing Determinants'!$G$41*$D9,IF($E9="Distribution Rev.",VLOOKUP(W$4,'4. Billing Determinants'!$B$19:$P$41,8,0)/'4. Billing Determinants'!$I$41*$D9, VLOOKUP(W$4,'4. Billing Determinants'!$B$19:$P$41,3,0)/'4. Billing Determinants'!$D$41*$D9))))),0)</f>
        <v>0</v>
      </c>
      <c r="X9" s="70">
        <f>IFERROR(IF(X$4="",0,IF($E9="kWh",VLOOKUP(X$4,'4. Billing Determinants'!$B$19:$P$41,4,0)/'4. Billing Determinants'!$E$41*$D9,IF($E9="kW",VLOOKUP(X$4,'4. Billing Determinants'!$B$19:$P$41,5,0)/'4. Billing Determinants'!$F$41*$D9,IF($E9="Non-RPP kWh",VLOOKUP(X$4,'4. Billing Determinants'!$B$19:$P$41,6,0)/'4. Billing Determinants'!$G$41*$D9,IF($E9="Distribution Rev.",VLOOKUP(X$4,'4. Billing Determinants'!$B$19:$P$41,8,0)/'4. Billing Determinants'!$I$41*$D9, VLOOKUP(X$4,'4. Billing Determinants'!$B$19:$P$41,3,0)/'4. Billing Determinants'!$D$41*$D9))))),0)</f>
        <v>0</v>
      </c>
      <c r="Y9" s="70">
        <f>IFERROR(IF(Y$4="",0,IF($E9="kWh",VLOOKUP(Y$4,'4. Billing Determinants'!$B$19:$P$41,4,0)/'4. Billing Determinants'!$E$41*$D9,IF($E9="kW",VLOOKUP(Y$4,'4. Billing Determinants'!$B$19:$P$41,5,0)/'4. Billing Determinants'!$F$41*$D9,IF($E9="Non-RPP kWh",VLOOKUP(Y$4,'4. Billing Determinants'!$B$19:$P$41,6,0)/'4. Billing Determinants'!$G$41*$D9,IF($E9="Distribution Rev.",VLOOKUP(Y$4,'4. Billing Determinants'!$B$19:$P$41,8,0)/'4. Billing Determinants'!$I$41*$D9, VLOOKUP(Y$4,'4. Billing Determinants'!$B$19:$P$41,3,0)/'4. Billing Determinants'!$D$41*$D9))))),0)</f>
        <v>0</v>
      </c>
    </row>
    <row r="10" spans="2:25" x14ac:dyDescent="0.2">
      <c r="B10" s="71" t="s">
        <v>75</v>
      </c>
      <c r="C10" s="69">
        <v>1588</v>
      </c>
      <c r="D10" s="70">
        <f>'2. 2014 Continuity Schedule'!BO29</f>
        <v>-1588310.9422519999</v>
      </c>
      <c r="E10" s="130" t="s">
        <v>276</v>
      </c>
      <c r="F10" s="70">
        <f>IFERROR(IF(F$4="",0,IF($E10="kWh",VLOOKUP(F$4,'4. Billing Determinants'!$B$19:$P$41,4,0)/'4. Billing Determinants'!$E$41*$D10,IF($E10="kW",VLOOKUP(F$4,'4. Billing Determinants'!$B$19:$P$41,5,0)/'4. Billing Determinants'!$F$41*$D10,IF($E10="Non-RPP kWh",VLOOKUP(F$4,'4. Billing Determinants'!$B$19:$P$41,6,0)/'4. Billing Determinants'!$G$41*$D10,IF($E10="Distribution Rev.",VLOOKUP(F$4,'4. Billing Determinants'!$B$19:$P$41,8,0)/'4. Billing Determinants'!$I$41*$D10, VLOOKUP(F$4,'4. Billing Determinants'!$B$19:$P$41,3,0)/'4. Billing Determinants'!$D$41*$D10))))),0)</f>
        <v>-544668.55089340138</v>
      </c>
      <c r="G10" s="70">
        <f>IFERROR(IF(G$4="",0,IF($E10="kWh",VLOOKUP(G$4,'4. Billing Determinants'!$B$19:$P$41,4,0)/'4. Billing Determinants'!$E$41*$D10,IF($E10="kW",VLOOKUP(G$4,'4. Billing Determinants'!$B$19:$P$41,5,0)/'4. Billing Determinants'!$F$41*$D10,IF($E10="Non-RPP kWh",VLOOKUP(G$4,'4. Billing Determinants'!$B$19:$P$41,6,0)/'4. Billing Determinants'!$G$41*$D10,IF($E10="Distribution Rev.",VLOOKUP(G$4,'4. Billing Determinants'!$B$19:$P$41,8,0)/'4. Billing Determinants'!$I$41*$D10, VLOOKUP(G$4,'4. Billing Determinants'!$B$19:$P$41,3,0)/'4. Billing Determinants'!$D$41*$D10))))),0)</f>
        <v>-164048.43899549407</v>
      </c>
      <c r="H10" s="70">
        <f>IFERROR(IF(H$4="",0,IF($E10="kWh",VLOOKUP(H$4,'4. Billing Determinants'!$B$19:$P$41,4,0)/'4. Billing Determinants'!$E$41*$D10,IF($E10="kW",VLOOKUP(H$4,'4. Billing Determinants'!$B$19:$P$41,5,0)/'4. Billing Determinants'!$F$41*$D10,IF($E10="Non-RPP kWh",VLOOKUP(H$4,'4. Billing Determinants'!$B$19:$P$41,6,0)/'4. Billing Determinants'!$G$41*$D10,IF($E10="Distribution Rev.",VLOOKUP(H$4,'4. Billing Determinants'!$B$19:$P$41,8,0)/'4. Billing Determinants'!$I$41*$D10, VLOOKUP(H$4,'4. Billing Determinants'!$B$19:$P$41,3,0)/'4. Billing Determinants'!$D$41*$D10))))),0)</f>
        <v>-866570.62984538148</v>
      </c>
      <c r="I10" s="70">
        <f>IFERROR(IF(I$4="",0,IF($E10="kWh",VLOOKUP(I$4,'4. Billing Determinants'!$B$19:$P$41,4,0)/'4. Billing Determinants'!$E$41*$D10,IF($E10="kW",VLOOKUP(I$4,'4. Billing Determinants'!$B$19:$P$41,5,0)/'4. Billing Determinants'!$F$41*$D10,IF($E10="Non-RPP kWh",VLOOKUP(I$4,'4. Billing Determinants'!$B$19:$P$41,6,0)/'4. Billing Determinants'!$G$41*$D10,IF($E10="Distribution Rev.",VLOOKUP(I$4,'4. Billing Determinants'!$B$19:$P$41,8,0)/'4. Billing Determinants'!$I$41*$D10, VLOOKUP(I$4,'4. Billing Determinants'!$B$19:$P$41,3,0)/'4. Billing Determinants'!$D$41*$D10))))),0)</f>
        <v>-2969.5683283368126</v>
      </c>
      <c r="J10" s="70">
        <f>IFERROR(IF(J$4="",0,IF($E10="kWh",VLOOKUP(J$4,'4. Billing Determinants'!$B$19:$P$41,4,0)/'4. Billing Determinants'!$E$41*$D10,IF($E10="kW",VLOOKUP(J$4,'4. Billing Determinants'!$B$19:$P$41,5,0)/'4. Billing Determinants'!$F$41*$D10,IF($E10="Non-RPP kWh",VLOOKUP(J$4,'4. Billing Determinants'!$B$19:$P$41,6,0)/'4. Billing Determinants'!$G$41*$D10,IF($E10="Distribution Rev.",VLOOKUP(J$4,'4. Billing Determinants'!$B$19:$P$41,8,0)/'4. Billing Determinants'!$I$41*$D10, VLOOKUP(J$4,'4. Billing Determinants'!$B$19:$P$41,3,0)/'4. Billing Determinants'!$D$41*$D10))))),0)</f>
        <v>-350.89721092590736</v>
      </c>
      <c r="K10" s="70">
        <f>IFERROR(IF(K$4="",0,IF($E10="kWh",VLOOKUP(K$4,'4. Billing Determinants'!$B$19:$P$41,4,0)/'4. Billing Determinants'!$E$41*$D10,IF($E10="kW",VLOOKUP(K$4,'4. Billing Determinants'!$B$19:$P$41,5,0)/'4. Billing Determinants'!$F$41*$D10,IF($E10="Non-RPP kWh",VLOOKUP(K$4,'4. Billing Determinants'!$B$19:$P$41,6,0)/'4. Billing Determinants'!$G$41*$D10,IF($E10="Distribution Rev.",VLOOKUP(K$4,'4. Billing Determinants'!$B$19:$P$41,8,0)/'4. Billing Determinants'!$I$41*$D10, VLOOKUP(K$4,'4. Billing Determinants'!$B$19:$P$41,3,0)/'4. Billing Determinants'!$D$41*$D10))))),0)</f>
        <v>-9702.8569784601132</v>
      </c>
      <c r="L10" s="70">
        <f>IFERROR(IF(L$4="",0,IF($E10="kWh",VLOOKUP(L$4,'4. Billing Determinants'!$B$19:$P$41,4,0)/'4. Billing Determinants'!$E$41*$D10,IF($E10="kW",VLOOKUP(L$4,'4. Billing Determinants'!$B$19:$P$41,5,0)/'4. Billing Determinants'!$F$41*$D10,IF($E10="Non-RPP kWh",VLOOKUP(L$4,'4. Billing Determinants'!$B$19:$P$41,6,0)/'4. Billing Determinants'!$G$41*$D10,IF($E10="Distribution Rev.",VLOOKUP(L$4,'4. Billing Determinants'!$B$19:$P$41,8,0)/'4. Billing Determinants'!$I$41*$D10, VLOOKUP(L$4,'4. Billing Determinants'!$B$19:$P$41,3,0)/'4. Billing Determinants'!$D$41*$D10))))),0)</f>
        <v>0</v>
      </c>
      <c r="M10" s="70">
        <f>IFERROR(IF(M$4="",0,IF($E10="kWh",VLOOKUP(M$4,'4. Billing Determinants'!$B$19:$P$41,4,0)/'4. Billing Determinants'!$E$41*$D10,IF($E10="kW",VLOOKUP(M$4,'4. Billing Determinants'!$B$19:$P$41,5,0)/'4. Billing Determinants'!$F$41*$D10,IF($E10="Non-RPP kWh",VLOOKUP(M$4,'4. Billing Determinants'!$B$19:$P$41,6,0)/'4. Billing Determinants'!$G$41*$D10,IF($E10="Distribution Rev.",VLOOKUP(M$4,'4. Billing Determinants'!$B$19:$P$41,8,0)/'4. Billing Determinants'!$I$41*$D10, VLOOKUP(M$4,'4. Billing Determinants'!$B$19:$P$41,3,0)/'4. Billing Determinants'!$D$41*$D10))))),0)</f>
        <v>0</v>
      </c>
      <c r="N10" s="70">
        <f>IFERROR(IF(N$4="",0,IF($E10="kWh",VLOOKUP(N$4,'4. Billing Determinants'!$B$19:$P$41,4,0)/'4. Billing Determinants'!$E$41*$D10,IF($E10="kW",VLOOKUP(N$4,'4. Billing Determinants'!$B$19:$P$41,5,0)/'4. Billing Determinants'!$F$41*$D10,IF($E10="Non-RPP kWh",VLOOKUP(N$4,'4. Billing Determinants'!$B$19:$P$41,6,0)/'4. Billing Determinants'!$G$41*$D10,IF($E10="Distribution Rev.",VLOOKUP(N$4,'4. Billing Determinants'!$B$19:$P$41,8,0)/'4. Billing Determinants'!$I$41*$D10, VLOOKUP(N$4,'4. Billing Determinants'!$B$19:$P$41,3,0)/'4. Billing Determinants'!$D$41*$D10))))),0)</f>
        <v>0</v>
      </c>
      <c r="O10" s="70">
        <f>IFERROR(IF(O$4="",0,IF($E10="kWh",VLOOKUP(O$4,'4. Billing Determinants'!$B$19:$P$41,4,0)/'4. Billing Determinants'!$E$41*$D10,IF($E10="kW",VLOOKUP(O$4,'4. Billing Determinants'!$B$19:$P$41,5,0)/'4. Billing Determinants'!$F$41*$D10,IF($E10="Non-RPP kWh",VLOOKUP(O$4,'4. Billing Determinants'!$B$19:$P$41,6,0)/'4. Billing Determinants'!$G$41*$D10,IF($E10="Distribution Rev.",VLOOKUP(O$4,'4. Billing Determinants'!$B$19:$P$41,8,0)/'4. Billing Determinants'!$I$41*$D10, VLOOKUP(O$4,'4. Billing Determinants'!$B$19:$P$41,3,0)/'4. Billing Determinants'!$D$41*$D10))))),0)</f>
        <v>0</v>
      </c>
      <c r="P10" s="70">
        <f>IFERROR(IF(P$4="",0,IF($E10="kWh",VLOOKUP(P$4,'4. Billing Determinants'!$B$19:$P$41,4,0)/'4. Billing Determinants'!$E$41*$D10,IF($E10="kW",VLOOKUP(P$4,'4. Billing Determinants'!$B$19:$P$41,5,0)/'4. Billing Determinants'!$F$41*$D10,IF($E10="Non-RPP kWh",VLOOKUP(P$4,'4. Billing Determinants'!$B$19:$P$41,6,0)/'4. Billing Determinants'!$G$41*$D10,IF($E10="Distribution Rev.",VLOOKUP(P$4,'4. Billing Determinants'!$B$19:$P$41,8,0)/'4. Billing Determinants'!$I$41*$D10, VLOOKUP(P$4,'4. Billing Determinants'!$B$19:$P$41,3,0)/'4. Billing Determinants'!$D$41*$D10))))),0)</f>
        <v>0</v>
      </c>
      <c r="Q10" s="70">
        <f>IFERROR(IF(Q$4="",0,IF($E10="kWh",VLOOKUP(Q$4,'4. Billing Determinants'!$B$19:$P$41,4,0)/'4. Billing Determinants'!$E$41*$D10,IF($E10="kW",VLOOKUP(Q$4,'4. Billing Determinants'!$B$19:$P$41,5,0)/'4. Billing Determinants'!$F$41*$D10,IF($E10="Non-RPP kWh",VLOOKUP(Q$4,'4. Billing Determinants'!$B$19:$P$41,6,0)/'4. Billing Determinants'!$G$41*$D10,IF($E10="Distribution Rev.",VLOOKUP(Q$4,'4. Billing Determinants'!$B$19:$P$41,8,0)/'4. Billing Determinants'!$I$41*$D10, VLOOKUP(Q$4,'4. Billing Determinants'!$B$19:$P$41,3,0)/'4. Billing Determinants'!$D$41*$D10))))),0)</f>
        <v>0</v>
      </c>
      <c r="R10" s="70">
        <f>IFERROR(IF(R$4="",0,IF($E10="kWh",VLOOKUP(R$4,'4. Billing Determinants'!$B$19:$P$41,4,0)/'4. Billing Determinants'!$E$41*$D10,IF($E10="kW",VLOOKUP(R$4,'4. Billing Determinants'!$B$19:$P$41,5,0)/'4. Billing Determinants'!$F$41*$D10,IF($E10="Non-RPP kWh",VLOOKUP(R$4,'4. Billing Determinants'!$B$19:$P$41,6,0)/'4. Billing Determinants'!$G$41*$D10,IF($E10="Distribution Rev.",VLOOKUP(R$4,'4. Billing Determinants'!$B$19:$P$41,8,0)/'4. Billing Determinants'!$I$41*$D10, VLOOKUP(R$4,'4. Billing Determinants'!$B$19:$P$41,3,0)/'4. Billing Determinants'!$D$41*$D10))))),0)</f>
        <v>0</v>
      </c>
      <c r="S10" s="70">
        <f>IFERROR(IF(S$4="",0,IF($E10="kWh",VLOOKUP(S$4,'4. Billing Determinants'!$B$19:$P$41,4,0)/'4. Billing Determinants'!$E$41*$D10,IF($E10="kW",VLOOKUP(S$4,'4. Billing Determinants'!$B$19:$P$41,5,0)/'4. Billing Determinants'!$F$41*$D10,IF($E10="Non-RPP kWh",VLOOKUP(S$4,'4. Billing Determinants'!$B$19:$P$41,6,0)/'4. Billing Determinants'!$G$41*$D10,IF($E10="Distribution Rev.",VLOOKUP(S$4,'4. Billing Determinants'!$B$19:$P$41,8,0)/'4. Billing Determinants'!$I$41*$D10, VLOOKUP(S$4,'4. Billing Determinants'!$B$19:$P$41,3,0)/'4. Billing Determinants'!$D$41*$D10))))),0)</f>
        <v>0</v>
      </c>
      <c r="T10" s="70">
        <f>IFERROR(IF(T$4="",0,IF($E10="kWh",VLOOKUP(T$4,'4. Billing Determinants'!$B$19:$P$41,4,0)/'4. Billing Determinants'!$E$41*$D10,IF($E10="kW",VLOOKUP(T$4,'4. Billing Determinants'!$B$19:$P$41,5,0)/'4. Billing Determinants'!$F$41*$D10,IF($E10="Non-RPP kWh",VLOOKUP(T$4,'4. Billing Determinants'!$B$19:$P$41,6,0)/'4. Billing Determinants'!$G$41*$D10,IF($E10="Distribution Rev.",VLOOKUP(T$4,'4. Billing Determinants'!$B$19:$P$41,8,0)/'4. Billing Determinants'!$I$41*$D10, VLOOKUP(T$4,'4. Billing Determinants'!$B$19:$P$41,3,0)/'4. Billing Determinants'!$D$41*$D10))))),0)</f>
        <v>0</v>
      </c>
      <c r="U10" s="70">
        <f>IFERROR(IF(U$4="",0,IF($E10="kWh",VLOOKUP(U$4,'4. Billing Determinants'!$B$19:$P$41,4,0)/'4. Billing Determinants'!$E$41*$D10,IF($E10="kW",VLOOKUP(U$4,'4. Billing Determinants'!$B$19:$P$41,5,0)/'4. Billing Determinants'!$F$41*$D10,IF($E10="Non-RPP kWh",VLOOKUP(U$4,'4. Billing Determinants'!$B$19:$P$41,6,0)/'4. Billing Determinants'!$G$41*$D10,IF($E10="Distribution Rev.",VLOOKUP(U$4,'4. Billing Determinants'!$B$19:$P$41,8,0)/'4. Billing Determinants'!$I$41*$D10, VLOOKUP(U$4,'4. Billing Determinants'!$B$19:$P$41,3,0)/'4. Billing Determinants'!$D$41*$D10))))),0)</f>
        <v>0</v>
      </c>
      <c r="V10" s="70">
        <f>IFERROR(IF(V$4="",0,IF($E10="kWh",VLOOKUP(V$4,'4. Billing Determinants'!$B$19:$P$41,4,0)/'4. Billing Determinants'!$E$41*$D10,IF($E10="kW",VLOOKUP(V$4,'4. Billing Determinants'!$B$19:$P$41,5,0)/'4. Billing Determinants'!$F$41*$D10,IF($E10="Non-RPP kWh",VLOOKUP(V$4,'4. Billing Determinants'!$B$19:$P$41,6,0)/'4. Billing Determinants'!$G$41*$D10,IF($E10="Distribution Rev.",VLOOKUP(V$4,'4. Billing Determinants'!$B$19:$P$41,8,0)/'4. Billing Determinants'!$I$41*$D10, VLOOKUP(V$4,'4. Billing Determinants'!$B$19:$P$41,3,0)/'4. Billing Determinants'!$D$41*$D10))))),0)</f>
        <v>0</v>
      </c>
      <c r="W10" s="70">
        <f>IFERROR(IF(W$4="",0,IF($E10="kWh",VLOOKUP(W$4,'4. Billing Determinants'!$B$19:$P$41,4,0)/'4. Billing Determinants'!$E$41*$D10,IF($E10="kW",VLOOKUP(W$4,'4. Billing Determinants'!$B$19:$P$41,5,0)/'4. Billing Determinants'!$F$41*$D10,IF($E10="Non-RPP kWh",VLOOKUP(W$4,'4. Billing Determinants'!$B$19:$P$41,6,0)/'4. Billing Determinants'!$G$41*$D10,IF($E10="Distribution Rev.",VLOOKUP(W$4,'4. Billing Determinants'!$B$19:$P$41,8,0)/'4. Billing Determinants'!$I$41*$D10, VLOOKUP(W$4,'4. Billing Determinants'!$B$19:$P$41,3,0)/'4. Billing Determinants'!$D$41*$D10))))),0)</f>
        <v>0</v>
      </c>
      <c r="X10" s="70">
        <f>IFERROR(IF(X$4="",0,IF($E10="kWh",VLOOKUP(X$4,'4. Billing Determinants'!$B$19:$P$41,4,0)/'4. Billing Determinants'!$E$41*$D10,IF($E10="kW",VLOOKUP(X$4,'4. Billing Determinants'!$B$19:$P$41,5,0)/'4. Billing Determinants'!$F$41*$D10,IF($E10="Non-RPP kWh",VLOOKUP(X$4,'4. Billing Determinants'!$B$19:$P$41,6,0)/'4. Billing Determinants'!$G$41*$D10,IF($E10="Distribution Rev.",VLOOKUP(X$4,'4. Billing Determinants'!$B$19:$P$41,8,0)/'4. Billing Determinants'!$I$41*$D10, VLOOKUP(X$4,'4. Billing Determinants'!$B$19:$P$41,3,0)/'4. Billing Determinants'!$D$41*$D10))))),0)</f>
        <v>0</v>
      </c>
      <c r="Y10" s="70">
        <f>IFERROR(IF(Y$4="",0,IF($E10="kWh",VLOOKUP(Y$4,'4. Billing Determinants'!$B$19:$P$41,4,0)/'4. Billing Determinants'!$E$41*$D10,IF($E10="kW",VLOOKUP(Y$4,'4. Billing Determinants'!$B$19:$P$41,5,0)/'4. Billing Determinants'!$F$41*$D10,IF($E10="Non-RPP kWh",VLOOKUP(Y$4,'4. Billing Determinants'!$B$19:$P$41,6,0)/'4. Billing Determinants'!$G$41*$D10,IF($E10="Distribution Rev.",VLOOKUP(Y$4,'4. Billing Determinants'!$B$19:$P$41,8,0)/'4. Billing Determinants'!$I$41*$D10, VLOOKUP(Y$4,'4. Billing Determinants'!$B$19:$P$41,3,0)/'4. Billing Determinants'!$D$41*$D10))))),0)</f>
        <v>0</v>
      </c>
    </row>
    <row r="11" spans="2:25" x14ac:dyDescent="0.2">
      <c r="B11" s="68" t="s">
        <v>127</v>
      </c>
      <c r="C11" s="69">
        <v>1589</v>
      </c>
      <c r="D11" s="70">
        <f>'2. 2014 Continuity Schedule'!BO30</f>
        <v>1582460.9506639994</v>
      </c>
      <c r="E11" s="130" t="s">
        <v>296</v>
      </c>
      <c r="F11" s="70">
        <f>IFERROR(IF(F$4="",0,IF($E11="kWh",VLOOKUP(F$4,'4. Billing Determinants'!$B$19:$P$41,4,0)/'4. Billing Determinants'!$E$41*$D11,IF($E11="kW",VLOOKUP(F$4,'4. Billing Determinants'!$B$19:$P$41,5,0)/'4. Billing Determinants'!$F$41*$D11,IF($E11="Non-RPP kWh",VLOOKUP(F$4,'4. Billing Determinants'!$B$19:$P$41,6,0)/'4. Billing Determinants'!$G$41*$D11,IF($E11="Distribution Rev.",VLOOKUP(F$4,'4. Billing Determinants'!$B$19:$P$41,8,0)/'4. Billing Determinants'!$I$41*$D11, VLOOKUP(F$4,'4. Billing Determinants'!$B$19:$P$41,3,0)/'4. Billing Determinants'!$D$41*$D11))))),0)</f>
        <v>74796.991134517419</v>
      </c>
      <c r="G11" s="70">
        <f>IFERROR(IF(G$4="",0,IF($E11="kWh",VLOOKUP(G$4,'4. Billing Determinants'!$B$19:$P$41,4,0)/'4. Billing Determinants'!$E$41*$D11,IF($E11="kW",VLOOKUP(G$4,'4. Billing Determinants'!$B$19:$P$41,5,0)/'4. Billing Determinants'!$F$41*$D11,IF($E11="Non-RPP kWh",VLOOKUP(G$4,'4. Billing Determinants'!$B$19:$P$41,6,0)/'4. Billing Determinants'!$G$41*$D11,IF($E11="Distribution Rev.",VLOOKUP(G$4,'4. Billing Determinants'!$B$19:$P$41,8,0)/'4. Billing Determinants'!$I$41*$D11, VLOOKUP(G$4,'4. Billing Determinants'!$B$19:$P$41,3,0)/'4. Billing Determinants'!$D$41*$D11))))),0)</f>
        <v>40890.132523907261</v>
      </c>
      <c r="H11" s="70">
        <f>IFERROR(IF(H$4="",0,IF($E11="kWh",VLOOKUP(H$4,'4. Billing Determinants'!$B$19:$P$41,4,0)/'4. Billing Determinants'!$E$41*$D11,IF($E11="kW",VLOOKUP(H$4,'4. Billing Determinants'!$B$19:$P$41,5,0)/'4. Billing Determinants'!$F$41*$D11,IF($E11="Non-RPP kWh",VLOOKUP(H$4,'4. Billing Determinants'!$B$19:$P$41,6,0)/'4. Billing Determinants'!$G$41*$D11,IF($E11="Distribution Rev.",VLOOKUP(H$4,'4. Billing Determinants'!$B$19:$P$41,8,0)/'4. Billing Determinants'!$I$41*$D11, VLOOKUP(H$4,'4. Billing Determinants'!$B$19:$P$41,3,0)/'4. Billing Determinants'!$D$41*$D11))))),0)</f>
        <v>1449692.9994950823</v>
      </c>
      <c r="I11" s="70">
        <f>IFERROR(IF(I$4="",0,IF($E11="kWh",VLOOKUP(I$4,'4. Billing Determinants'!$B$19:$P$41,4,0)/'4. Billing Determinants'!$E$41*$D11,IF($E11="kW",VLOOKUP(I$4,'4. Billing Determinants'!$B$19:$P$41,5,0)/'4. Billing Determinants'!$F$41*$D11,IF($E11="Non-RPP kWh",VLOOKUP(I$4,'4. Billing Determinants'!$B$19:$P$41,6,0)/'4. Billing Determinants'!$G$41*$D11,IF($E11="Distribution Rev.",VLOOKUP(I$4,'4. Billing Determinants'!$B$19:$P$41,8,0)/'4. Billing Determinants'!$I$41*$D11, VLOOKUP(I$4,'4. Billing Determinants'!$B$19:$P$41,3,0)/'4. Billing Determinants'!$D$41*$D11))))),0)</f>
        <v>0</v>
      </c>
      <c r="J11" s="70">
        <f>IFERROR(IF(J$4="",0,IF($E11="kWh",VLOOKUP(J$4,'4. Billing Determinants'!$B$19:$P$41,4,0)/'4. Billing Determinants'!$E$41*$D11,IF($E11="kW",VLOOKUP(J$4,'4. Billing Determinants'!$B$19:$P$41,5,0)/'4. Billing Determinants'!$F$41*$D11,IF($E11="Non-RPP kWh",VLOOKUP(J$4,'4. Billing Determinants'!$B$19:$P$41,6,0)/'4. Billing Determinants'!$G$41*$D11,IF($E11="Distribution Rev.",VLOOKUP(J$4,'4. Billing Determinants'!$B$19:$P$41,8,0)/'4. Billing Determinants'!$I$41*$D11, VLOOKUP(J$4,'4. Billing Determinants'!$B$19:$P$41,3,0)/'4. Billing Determinants'!$D$41*$D11))))),0)</f>
        <v>118.29690292641583</v>
      </c>
      <c r="K11" s="70">
        <f>IFERROR(IF(K$4="",0,IF($E11="kWh",VLOOKUP(K$4,'4. Billing Determinants'!$B$19:$P$41,4,0)/'4. Billing Determinants'!$E$41*$D11,IF($E11="kW",VLOOKUP(K$4,'4. Billing Determinants'!$B$19:$P$41,5,0)/'4. Billing Determinants'!$F$41*$D11,IF($E11="Non-RPP kWh",VLOOKUP(K$4,'4. Billing Determinants'!$B$19:$P$41,6,0)/'4. Billing Determinants'!$G$41*$D11,IF($E11="Distribution Rev.",VLOOKUP(K$4,'4. Billing Determinants'!$B$19:$P$41,8,0)/'4. Billing Determinants'!$I$41*$D11, VLOOKUP(K$4,'4. Billing Determinants'!$B$19:$P$41,3,0)/'4. Billing Determinants'!$D$41*$D11))))),0)</f>
        <v>16962.530607565808</v>
      </c>
      <c r="L11" s="70">
        <f>IFERROR(IF(L$4="",0,IF($E11="kWh",VLOOKUP(L$4,'4. Billing Determinants'!$B$19:$P$41,4,0)/'4. Billing Determinants'!$E$41*$D11,IF($E11="kW",VLOOKUP(L$4,'4. Billing Determinants'!$B$19:$P$41,5,0)/'4. Billing Determinants'!$F$41*$D11,IF($E11="Non-RPP kWh",VLOOKUP(L$4,'4. Billing Determinants'!$B$19:$P$41,6,0)/'4. Billing Determinants'!$G$41*$D11,IF($E11="Distribution Rev.",VLOOKUP(L$4,'4. Billing Determinants'!$B$19:$P$41,8,0)/'4. Billing Determinants'!$I$41*$D11, VLOOKUP(L$4,'4. Billing Determinants'!$B$19:$P$41,3,0)/'4. Billing Determinants'!$D$41*$D11))))),0)</f>
        <v>0</v>
      </c>
      <c r="M11" s="70">
        <f>IFERROR(IF(M$4="",0,IF($E11="kWh",VLOOKUP(M$4,'4. Billing Determinants'!$B$19:$P$41,4,0)/'4. Billing Determinants'!$E$41*$D11,IF($E11="kW",VLOOKUP(M$4,'4. Billing Determinants'!$B$19:$P$41,5,0)/'4. Billing Determinants'!$F$41*$D11,IF($E11="Non-RPP kWh",VLOOKUP(M$4,'4. Billing Determinants'!$B$19:$P$41,6,0)/'4. Billing Determinants'!$G$41*$D11,IF($E11="Distribution Rev.",VLOOKUP(M$4,'4. Billing Determinants'!$B$19:$P$41,8,0)/'4. Billing Determinants'!$I$41*$D11, VLOOKUP(M$4,'4. Billing Determinants'!$B$19:$P$41,3,0)/'4. Billing Determinants'!$D$41*$D11))))),0)</f>
        <v>0</v>
      </c>
      <c r="N11" s="70">
        <f>IFERROR(IF(N$4="",0,IF($E11="kWh",VLOOKUP(N$4,'4. Billing Determinants'!$B$19:$P$41,4,0)/'4. Billing Determinants'!$E$41*$D11,IF($E11="kW",VLOOKUP(N$4,'4. Billing Determinants'!$B$19:$P$41,5,0)/'4. Billing Determinants'!$F$41*$D11,IF($E11="Non-RPP kWh",VLOOKUP(N$4,'4. Billing Determinants'!$B$19:$P$41,6,0)/'4. Billing Determinants'!$G$41*$D11,IF($E11="Distribution Rev.",VLOOKUP(N$4,'4. Billing Determinants'!$B$19:$P$41,8,0)/'4. Billing Determinants'!$I$41*$D11, VLOOKUP(N$4,'4. Billing Determinants'!$B$19:$P$41,3,0)/'4. Billing Determinants'!$D$41*$D11))))),0)</f>
        <v>0</v>
      </c>
      <c r="O11" s="70">
        <f>IFERROR(IF(O$4="",0,IF($E11="kWh",VLOOKUP(O$4,'4. Billing Determinants'!$B$19:$P$41,4,0)/'4. Billing Determinants'!$E$41*$D11,IF($E11="kW",VLOOKUP(O$4,'4. Billing Determinants'!$B$19:$P$41,5,0)/'4. Billing Determinants'!$F$41*$D11,IF($E11="Non-RPP kWh",VLOOKUP(O$4,'4. Billing Determinants'!$B$19:$P$41,6,0)/'4. Billing Determinants'!$G$41*$D11,IF($E11="Distribution Rev.",VLOOKUP(O$4,'4. Billing Determinants'!$B$19:$P$41,8,0)/'4. Billing Determinants'!$I$41*$D11, VLOOKUP(O$4,'4. Billing Determinants'!$B$19:$P$41,3,0)/'4. Billing Determinants'!$D$41*$D11))))),0)</f>
        <v>0</v>
      </c>
      <c r="P11" s="70">
        <f>IFERROR(IF(P$4="",0,IF($E11="kWh",VLOOKUP(P$4,'4. Billing Determinants'!$B$19:$P$41,4,0)/'4. Billing Determinants'!$E$41*$D11,IF($E11="kW",VLOOKUP(P$4,'4. Billing Determinants'!$B$19:$P$41,5,0)/'4. Billing Determinants'!$F$41*$D11,IF($E11="Non-RPP kWh",VLOOKUP(P$4,'4. Billing Determinants'!$B$19:$P$41,6,0)/'4. Billing Determinants'!$G$41*$D11,IF($E11="Distribution Rev.",VLOOKUP(P$4,'4. Billing Determinants'!$B$19:$P$41,8,0)/'4. Billing Determinants'!$I$41*$D11, VLOOKUP(P$4,'4. Billing Determinants'!$B$19:$P$41,3,0)/'4. Billing Determinants'!$D$41*$D11))))),0)</f>
        <v>0</v>
      </c>
      <c r="Q11" s="70">
        <f>IFERROR(IF(Q$4="",0,IF($E11="kWh",VLOOKUP(Q$4,'4. Billing Determinants'!$B$19:$P$41,4,0)/'4. Billing Determinants'!$E$41*$D11,IF($E11="kW",VLOOKUP(Q$4,'4. Billing Determinants'!$B$19:$P$41,5,0)/'4. Billing Determinants'!$F$41*$D11,IF($E11="Non-RPP kWh",VLOOKUP(Q$4,'4. Billing Determinants'!$B$19:$P$41,6,0)/'4. Billing Determinants'!$G$41*$D11,IF($E11="Distribution Rev.",VLOOKUP(Q$4,'4. Billing Determinants'!$B$19:$P$41,8,0)/'4. Billing Determinants'!$I$41*$D11, VLOOKUP(Q$4,'4. Billing Determinants'!$B$19:$P$41,3,0)/'4. Billing Determinants'!$D$41*$D11))))),0)</f>
        <v>0</v>
      </c>
      <c r="R11" s="70">
        <f>IFERROR(IF(R$4="",0,IF($E11="kWh",VLOOKUP(R$4,'4. Billing Determinants'!$B$19:$P$41,4,0)/'4. Billing Determinants'!$E$41*$D11,IF($E11="kW",VLOOKUP(R$4,'4. Billing Determinants'!$B$19:$P$41,5,0)/'4. Billing Determinants'!$F$41*$D11,IF($E11="Non-RPP kWh",VLOOKUP(R$4,'4. Billing Determinants'!$B$19:$P$41,6,0)/'4. Billing Determinants'!$G$41*$D11,IF($E11="Distribution Rev.",VLOOKUP(R$4,'4. Billing Determinants'!$B$19:$P$41,8,0)/'4. Billing Determinants'!$I$41*$D11, VLOOKUP(R$4,'4. Billing Determinants'!$B$19:$P$41,3,0)/'4. Billing Determinants'!$D$41*$D11))))),0)</f>
        <v>0</v>
      </c>
      <c r="S11" s="70">
        <f>IFERROR(IF(S$4="",0,IF($E11="kWh",VLOOKUP(S$4,'4. Billing Determinants'!$B$19:$P$41,4,0)/'4. Billing Determinants'!$E$41*$D11,IF($E11="kW",VLOOKUP(S$4,'4. Billing Determinants'!$B$19:$P$41,5,0)/'4. Billing Determinants'!$F$41*$D11,IF($E11="Non-RPP kWh",VLOOKUP(S$4,'4. Billing Determinants'!$B$19:$P$41,6,0)/'4. Billing Determinants'!$G$41*$D11,IF($E11="Distribution Rev.",VLOOKUP(S$4,'4. Billing Determinants'!$B$19:$P$41,8,0)/'4. Billing Determinants'!$I$41*$D11, VLOOKUP(S$4,'4. Billing Determinants'!$B$19:$P$41,3,0)/'4. Billing Determinants'!$D$41*$D11))))),0)</f>
        <v>0</v>
      </c>
      <c r="T11" s="70">
        <f>IFERROR(IF(T$4="",0,IF($E11="kWh",VLOOKUP(T$4,'4. Billing Determinants'!$B$19:$P$41,4,0)/'4. Billing Determinants'!$E$41*$D11,IF($E11="kW",VLOOKUP(T$4,'4. Billing Determinants'!$B$19:$P$41,5,0)/'4. Billing Determinants'!$F$41*$D11,IF($E11="Non-RPP kWh",VLOOKUP(T$4,'4. Billing Determinants'!$B$19:$P$41,6,0)/'4. Billing Determinants'!$G$41*$D11,IF($E11="Distribution Rev.",VLOOKUP(T$4,'4. Billing Determinants'!$B$19:$P$41,8,0)/'4. Billing Determinants'!$I$41*$D11, VLOOKUP(T$4,'4. Billing Determinants'!$B$19:$P$41,3,0)/'4. Billing Determinants'!$D$41*$D11))))),0)</f>
        <v>0</v>
      </c>
      <c r="U11" s="70">
        <f>IFERROR(IF(U$4="",0,IF($E11="kWh",VLOOKUP(U$4,'4. Billing Determinants'!$B$19:$P$41,4,0)/'4. Billing Determinants'!$E$41*$D11,IF($E11="kW",VLOOKUP(U$4,'4. Billing Determinants'!$B$19:$P$41,5,0)/'4. Billing Determinants'!$F$41*$D11,IF($E11="Non-RPP kWh",VLOOKUP(U$4,'4. Billing Determinants'!$B$19:$P$41,6,0)/'4. Billing Determinants'!$G$41*$D11,IF($E11="Distribution Rev.",VLOOKUP(U$4,'4. Billing Determinants'!$B$19:$P$41,8,0)/'4. Billing Determinants'!$I$41*$D11, VLOOKUP(U$4,'4. Billing Determinants'!$B$19:$P$41,3,0)/'4. Billing Determinants'!$D$41*$D11))))),0)</f>
        <v>0</v>
      </c>
      <c r="V11" s="70">
        <f>IFERROR(IF(V$4="",0,IF($E11="kWh",VLOOKUP(V$4,'4. Billing Determinants'!$B$19:$P$41,4,0)/'4. Billing Determinants'!$E$41*$D11,IF($E11="kW",VLOOKUP(V$4,'4. Billing Determinants'!$B$19:$P$41,5,0)/'4. Billing Determinants'!$F$41*$D11,IF($E11="Non-RPP kWh",VLOOKUP(V$4,'4. Billing Determinants'!$B$19:$P$41,6,0)/'4. Billing Determinants'!$G$41*$D11,IF($E11="Distribution Rev.",VLOOKUP(V$4,'4. Billing Determinants'!$B$19:$P$41,8,0)/'4. Billing Determinants'!$I$41*$D11, VLOOKUP(V$4,'4. Billing Determinants'!$B$19:$P$41,3,0)/'4. Billing Determinants'!$D$41*$D11))))),0)</f>
        <v>0</v>
      </c>
      <c r="W11" s="70">
        <f>IFERROR(IF(W$4="",0,IF($E11="kWh",VLOOKUP(W$4,'4. Billing Determinants'!$B$19:$P$41,4,0)/'4. Billing Determinants'!$E$41*$D11,IF($E11="kW",VLOOKUP(W$4,'4. Billing Determinants'!$B$19:$P$41,5,0)/'4. Billing Determinants'!$F$41*$D11,IF($E11="Non-RPP kWh",VLOOKUP(W$4,'4. Billing Determinants'!$B$19:$P$41,6,0)/'4. Billing Determinants'!$G$41*$D11,IF($E11="Distribution Rev.",VLOOKUP(W$4,'4. Billing Determinants'!$B$19:$P$41,8,0)/'4. Billing Determinants'!$I$41*$D11, VLOOKUP(W$4,'4. Billing Determinants'!$B$19:$P$41,3,0)/'4. Billing Determinants'!$D$41*$D11))))),0)</f>
        <v>0</v>
      </c>
      <c r="X11" s="70">
        <f>IFERROR(IF(X$4="",0,IF($E11="kWh",VLOOKUP(X$4,'4. Billing Determinants'!$B$19:$P$41,4,0)/'4. Billing Determinants'!$E$41*$D11,IF($E11="kW",VLOOKUP(X$4,'4. Billing Determinants'!$B$19:$P$41,5,0)/'4. Billing Determinants'!$F$41*$D11,IF($E11="Non-RPP kWh",VLOOKUP(X$4,'4. Billing Determinants'!$B$19:$P$41,6,0)/'4. Billing Determinants'!$G$41*$D11,IF($E11="Distribution Rev.",VLOOKUP(X$4,'4. Billing Determinants'!$B$19:$P$41,8,0)/'4. Billing Determinants'!$I$41*$D11, VLOOKUP(X$4,'4. Billing Determinants'!$B$19:$P$41,3,0)/'4. Billing Determinants'!$D$41*$D11))))),0)</f>
        <v>0</v>
      </c>
      <c r="Y11" s="70">
        <f>IFERROR(IF(Y$4="",0,IF($E11="kWh",VLOOKUP(Y$4,'4. Billing Determinants'!$B$19:$P$41,4,0)/'4. Billing Determinants'!$E$41*$D11,IF($E11="kW",VLOOKUP(Y$4,'4. Billing Determinants'!$B$19:$P$41,5,0)/'4. Billing Determinants'!$F$41*$D11,IF($E11="Non-RPP kWh",VLOOKUP(Y$4,'4. Billing Determinants'!$B$19:$P$41,6,0)/'4. Billing Determinants'!$G$41*$D11,IF($E11="Distribution Rev.",VLOOKUP(Y$4,'4. Billing Determinants'!$B$19:$P$41,8,0)/'4. Billing Determinants'!$I$41*$D11, VLOOKUP(Y$4,'4. Billing Determinants'!$B$19:$P$41,3,0)/'4. Billing Determinants'!$D$41*$D11))))),0)</f>
        <v>0</v>
      </c>
    </row>
    <row r="12" spans="2:25" x14ac:dyDescent="0.2">
      <c r="B12" s="72" t="s">
        <v>108</v>
      </c>
      <c r="C12" s="69">
        <v>1595</v>
      </c>
      <c r="D12" s="70">
        <f>'2. 2014 Continuity Schedule'!BO31</f>
        <v>0</v>
      </c>
      <c r="E12" s="130"/>
      <c r="F12" s="70">
        <f>IFERROR(IF(F$4="",0,IF($E12="kWh",VLOOKUP(F$4,'4. Billing Determinants'!$B$19:$P$41,4,0)/'4. Billing Determinants'!$E$41*$D12,IF($E12="kW",VLOOKUP(F$4,'4. Billing Determinants'!$B$19:$P$41,5,0)/'4. Billing Determinants'!$F$41*$D12,IF($E12="Non-RPP kWh",VLOOKUP(F$4,'4. Billing Determinants'!$B$19:$P$41,6,0)/'4. Billing Determinants'!$G$41*$D12,IF($E12="Distribution Rev.",VLOOKUP(F$4,'4. Billing Determinants'!$B$19:$P$41,8,0)/'4. Billing Determinants'!$I$41*$D12, VLOOKUP(F$4,'4. Billing Determinants'!$B$19:$P$41,3,0)/'4. Billing Determinants'!$D$41*$D12))))),0)</f>
        <v>0</v>
      </c>
      <c r="G12" s="70">
        <f>IFERROR(IF(G$4="",0,IF($E12="kWh",VLOOKUP(G$4,'4. Billing Determinants'!$B$19:$P$41,4,0)/'4. Billing Determinants'!$E$41*$D12,IF($E12="kW",VLOOKUP(G$4,'4. Billing Determinants'!$B$19:$P$41,5,0)/'4. Billing Determinants'!$F$41*$D12,IF($E12="Non-RPP kWh",VLOOKUP(G$4,'4. Billing Determinants'!$B$19:$P$41,6,0)/'4. Billing Determinants'!$G$41*$D12,IF($E12="Distribution Rev.",VLOOKUP(G$4,'4. Billing Determinants'!$B$19:$P$41,8,0)/'4. Billing Determinants'!$I$41*$D12, VLOOKUP(G$4,'4. Billing Determinants'!$B$19:$P$41,3,0)/'4. Billing Determinants'!$D$41*$D12))))),0)</f>
        <v>0</v>
      </c>
      <c r="H12" s="70">
        <f>IFERROR(IF(H$4="",0,IF($E12="kWh",VLOOKUP(H$4,'4. Billing Determinants'!$B$19:$P$41,4,0)/'4. Billing Determinants'!$E$41*$D12,IF($E12="kW",VLOOKUP(H$4,'4. Billing Determinants'!$B$19:$P$41,5,0)/'4. Billing Determinants'!$F$41*$D12,IF($E12="Non-RPP kWh",VLOOKUP(H$4,'4. Billing Determinants'!$B$19:$P$41,6,0)/'4. Billing Determinants'!$G$41*$D12,IF($E12="Distribution Rev.",VLOOKUP(H$4,'4. Billing Determinants'!$B$19:$P$41,8,0)/'4. Billing Determinants'!$I$41*$D12, VLOOKUP(H$4,'4. Billing Determinants'!$B$19:$P$41,3,0)/'4. Billing Determinants'!$D$41*$D12))))),0)</f>
        <v>0</v>
      </c>
      <c r="I12" s="70">
        <f>IFERROR(IF(I$4="",0,IF($E12="kWh",VLOOKUP(I$4,'4. Billing Determinants'!$B$19:$P$41,4,0)/'4. Billing Determinants'!$E$41*$D12,IF($E12="kW",VLOOKUP(I$4,'4. Billing Determinants'!$B$19:$P$41,5,0)/'4. Billing Determinants'!$F$41*$D12,IF($E12="Non-RPP kWh",VLOOKUP(I$4,'4. Billing Determinants'!$B$19:$P$41,6,0)/'4. Billing Determinants'!$G$41*$D12,IF($E12="Distribution Rev.",VLOOKUP(I$4,'4. Billing Determinants'!$B$19:$P$41,8,0)/'4. Billing Determinants'!$I$41*$D12, VLOOKUP(I$4,'4. Billing Determinants'!$B$19:$P$41,3,0)/'4. Billing Determinants'!$D$41*$D12))))),0)</f>
        <v>0</v>
      </c>
      <c r="J12" s="70">
        <f>IFERROR(IF(J$4="",0,IF($E12="kWh",VLOOKUP(J$4,'4. Billing Determinants'!$B$19:$P$41,4,0)/'4. Billing Determinants'!$E$41*$D12,IF($E12="kW",VLOOKUP(J$4,'4. Billing Determinants'!$B$19:$P$41,5,0)/'4. Billing Determinants'!$F$41*$D12,IF($E12="Non-RPP kWh",VLOOKUP(J$4,'4. Billing Determinants'!$B$19:$P$41,6,0)/'4. Billing Determinants'!$G$41*$D12,IF($E12="Distribution Rev.",VLOOKUP(J$4,'4. Billing Determinants'!$B$19:$P$41,8,0)/'4. Billing Determinants'!$I$41*$D12, VLOOKUP(J$4,'4. Billing Determinants'!$B$19:$P$41,3,0)/'4. Billing Determinants'!$D$41*$D12))))),0)</f>
        <v>0</v>
      </c>
      <c r="K12" s="70">
        <f>IFERROR(IF(K$4="",0,IF($E12="kWh",VLOOKUP(K$4,'4. Billing Determinants'!$B$19:$P$41,4,0)/'4. Billing Determinants'!$E$41*$D12,IF($E12="kW",VLOOKUP(K$4,'4. Billing Determinants'!$B$19:$P$41,5,0)/'4. Billing Determinants'!$F$41*$D12,IF($E12="Non-RPP kWh",VLOOKUP(K$4,'4. Billing Determinants'!$B$19:$P$41,6,0)/'4. Billing Determinants'!$G$41*$D12,IF($E12="Distribution Rev.",VLOOKUP(K$4,'4. Billing Determinants'!$B$19:$P$41,8,0)/'4. Billing Determinants'!$I$41*$D12, VLOOKUP(K$4,'4. Billing Determinants'!$B$19:$P$41,3,0)/'4. Billing Determinants'!$D$41*$D12))))),0)</f>
        <v>0</v>
      </c>
      <c r="L12" s="70">
        <f>IFERROR(IF(L$4="",0,IF($E12="kWh",VLOOKUP(L$4,'4. Billing Determinants'!$B$19:$P$41,4,0)/'4. Billing Determinants'!$E$41*$D12,IF($E12="kW",VLOOKUP(L$4,'4. Billing Determinants'!$B$19:$P$41,5,0)/'4. Billing Determinants'!$F$41*$D12,IF($E12="Non-RPP kWh",VLOOKUP(L$4,'4. Billing Determinants'!$B$19:$P$41,6,0)/'4. Billing Determinants'!$G$41*$D12,IF($E12="Distribution Rev.",VLOOKUP(L$4,'4. Billing Determinants'!$B$19:$P$41,8,0)/'4. Billing Determinants'!$I$41*$D12, VLOOKUP(L$4,'4. Billing Determinants'!$B$19:$P$41,3,0)/'4. Billing Determinants'!$D$41*$D12))))),0)</f>
        <v>0</v>
      </c>
      <c r="M12" s="70">
        <f>IFERROR(IF(M$4="",0,IF($E12="kWh",VLOOKUP(M$4,'4. Billing Determinants'!$B$19:$P$41,4,0)/'4. Billing Determinants'!$E$41*$D12,IF($E12="kW",VLOOKUP(M$4,'4. Billing Determinants'!$B$19:$P$41,5,0)/'4. Billing Determinants'!$F$41*$D12,IF($E12="Non-RPP kWh",VLOOKUP(M$4,'4. Billing Determinants'!$B$19:$P$41,6,0)/'4. Billing Determinants'!$G$41*$D12,IF($E12="Distribution Rev.",VLOOKUP(M$4,'4. Billing Determinants'!$B$19:$P$41,8,0)/'4. Billing Determinants'!$I$41*$D12, VLOOKUP(M$4,'4. Billing Determinants'!$B$19:$P$41,3,0)/'4. Billing Determinants'!$D$41*$D12))))),0)</f>
        <v>0</v>
      </c>
      <c r="N12" s="70">
        <f>IFERROR(IF(N$4="",0,IF($E12="kWh",VLOOKUP(N$4,'4. Billing Determinants'!$B$19:$P$41,4,0)/'4. Billing Determinants'!$E$41*$D12,IF($E12="kW",VLOOKUP(N$4,'4. Billing Determinants'!$B$19:$P$41,5,0)/'4. Billing Determinants'!$F$41*$D12,IF($E12="Non-RPP kWh",VLOOKUP(N$4,'4. Billing Determinants'!$B$19:$P$41,6,0)/'4. Billing Determinants'!$G$41*$D12,IF($E12="Distribution Rev.",VLOOKUP(N$4,'4. Billing Determinants'!$B$19:$P$41,8,0)/'4. Billing Determinants'!$I$41*$D12, VLOOKUP(N$4,'4. Billing Determinants'!$B$19:$P$41,3,0)/'4. Billing Determinants'!$D$41*$D12))))),0)</f>
        <v>0</v>
      </c>
      <c r="O12" s="70">
        <f>IFERROR(IF(O$4="",0,IF($E12="kWh",VLOOKUP(O$4,'4. Billing Determinants'!$B$19:$P$41,4,0)/'4. Billing Determinants'!$E$41*$D12,IF($E12="kW",VLOOKUP(O$4,'4. Billing Determinants'!$B$19:$P$41,5,0)/'4. Billing Determinants'!$F$41*$D12,IF($E12="Non-RPP kWh",VLOOKUP(O$4,'4. Billing Determinants'!$B$19:$P$41,6,0)/'4. Billing Determinants'!$G$41*$D12,IF($E12="Distribution Rev.",VLOOKUP(O$4,'4. Billing Determinants'!$B$19:$P$41,8,0)/'4. Billing Determinants'!$I$41*$D12, VLOOKUP(O$4,'4. Billing Determinants'!$B$19:$P$41,3,0)/'4. Billing Determinants'!$D$41*$D12))))),0)</f>
        <v>0</v>
      </c>
      <c r="P12" s="70">
        <f>IFERROR(IF(P$4="",0,IF($E12="kWh",VLOOKUP(P$4,'4. Billing Determinants'!$B$19:$P$41,4,0)/'4. Billing Determinants'!$E$41*$D12,IF($E12="kW",VLOOKUP(P$4,'4. Billing Determinants'!$B$19:$P$41,5,0)/'4. Billing Determinants'!$F$41*$D12,IF($E12="Non-RPP kWh",VLOOKUP(P$4,'4. Billing Determinants'!$B$19:$P$41,6,0)/'4. Billing Determinants'!$G$41*$D12,IF($E12="Distribution Rev.",VLOOKUP(P$4,'4. Billing Determinants'!$B$19:$P$41,8,0)/'4. Billing Determinants'!$I$41*$D12, VLOOKUP(P$4,'4. Billing Determinants'!$B$19:$P$41,3,0)/'4. Billing Determinants'!$D$41*$D12))))),0)</f>
        <v>0</v>
      </c>
      <c r="Q12" s="70">
        <f>IFERROR(IF(Q$4="",0,IF($E12="kWh",VLOOKUP(Q$4,'4. Billing Determinants'!$B$19:$P$41,4,0)/'4. Billing Determinants'!$E$41*$D12,IF($E12="kW",VLOOKUP(Q$4,'4. Billing Determinants'!$B$19:$P$41,5,0)/'4. Billing Determinants'!$F$41*$D12,IF($E12="Non-RPP kWh",VLOOKUP(Q$4,'4. Billing Determinants'!$B$19:$P$41,6,0)/'4. Billing Determinants'!$G$41*$D12,IF($E12="Distribution Rev.",VLOOKUP(Q$4,'4. Billing Determinants'!$B$19:$P$41,8,0)/'4. Billing Determinants'!$I$41*$D12, VLOOKUP(Q$4,'4. Billing Determinants'!$B$19:$P$41,3,0)/'4. Billing Determinants'!$D$41*$D12))))),0)</f>
        <v>0</v>
      </c>
      <c r="R12" s="70">
        <f>IFERROR(IF(R$4="",0,IF($E12="kWh",VLOOKUP(R$4,'4. Billing Determinants'!$B$19:$P$41,4,0)/'4. Billing Determinants'!$E$41*$D12,IF($E12="kW",VLOOKUP(R$4,'4. Billing Determinants'!$B$19:$P$41,5,0)/'4. Billing Determinants'!$F$41*$D12,IF($E12="Non-RPP kWh",VLOOKUP(R$4,'4. Billing Determinants'!$B$19:$P$41,6,0)/'4. Billing Determinants'!$G$41*$D12,IF($E12="Distribution Rev.",VLOOKUP(R$4,'4. Billing Determinants'!$B$19:$P$41,8,0)/'4. Billing Determinants'!$I$41*$D12, VLOOKUP(R$4,'4. Billing Determinants'!$B$19:$P$41,3,0)/'4. Billing Determinants'!$D$41*$D12))))),0)</f>
        <v>0</v>
      </c>
      <c r="S12" s="70">
        <f>IFERROR(IF(S$4="",0,IF($E12="kWh",VLOOKUP(S$4,'4. Billing Determinants'!$B$19:$P$41,4,0)/'4. Billing Determinants'!$E$41*$D12,IF($E12="kW",VLOOKUP(S$4,'4. Billing Determinants'!$B$19:$P$41,5,0)/'4. Billing Determinants'!$F$41*$D12,IF($E12="Non-RPP kWh",VLOOKUP(S$4,'4. Billing Determinants'!$B$19:$P$41,6,0)/'4. Billing Determinants'!$G$41*$D12,IF($E12="Distribution Rev.",VLOOKUP(S$4,'4. Billing Determinants'!$B$19:$P$41,8,0)/'4. Billing Determinants'!$I$41*$D12, VLOOKUP(S$4,'4. Billing Determinants'!$B$19:$P$41,3,0)/'4. Billing Determinants'!$D$41*$D12))))),0)</f>
        <v>0</v>
      </c>
      <c r="T12" s="70">
        <f>IFERROR(IF(T$4="",0,IF($E12="kWh",VLOOKUP(T$4,'4. Billing Determinants'!$B$19:$P$41,4,0)/'4. Billing Determinants'!$E$41*$D12,IF($E12="kW",VLOOKUP(T$4,'4. Billing Determinants'!$B$19:$P$41,5,0)/'4. Billing Determinants'!$F$41*$D12,IF($E12="Non-RPP kWh",VLOOKUP(T$4,'4. Billing Determinants'!$B$19:$P$41,6,0)/'4. Billing Determinants'!$G$41*$D12,IF($E12="Distribution Rev.",VLOOKUP(T$4,'4. Billing Determinants'!$B$19:$P$41,8,0)/'4. Billing Determinants'!$I$41*$D12, VLOOKUP(T$4,'4. Billing Determinants'!$B$19:$P$41,3,0)/'4. Billing Determinants'!$D$41*$D12))))),0)</f>
        <v>0</v>
      </c>
      <c r="U12" s="70">
        <f>IFERROR(IF(U$4="",0,IF($E12="kWh",VLOOKUP(U$4,'4. Billing Determinants'!$B$19:$P$41,4,0)/'4. Billing Determinants'!$E$41*$D12,IF($E12="kW",VLOOKUP(U$4,'4. Billing Determinants'!$B$19:$P$41,5,0)/'4. Billing Determinants'!$F$41*$D12,IF($E12="Non-RPP kWh",VLOOKUP(U$4,'4. Billing Determinants'!$B$19:$P$41,6,0)/'4. Billing Determinants'!$G$41*$D12,IF($E12="Distribution Rev.",VLOOKUP(U$4,'4. Billing Determinants'!$B$19:$P$41,8,0)/'4. Billing Determinants'!$I$41*$D12, VLOOKUP(U$4,'4. Billing Determinants'!$B$19:$P$41,3,0)/'4. Billing Determinants'!$D$41*$D12))))),0)</f>
        <v>0</v>
      </c>
      <c r="V12" s="70">
        <f>IFERROR(IF(V$4="",0,IF($E12="kWh",VLOOKUP(V$4,'4. Billing Determinants'!$B$19:$P$41,4,0)/'4. Billing Determinants'!$E$41*$D12,IF($E12="kW",VLOOKUP(V$4,'4. Billing Determinants'!$B$19:$P$41,5,0)/'4. Billing Determinants'!$F$41*$D12,IF($E12="Non-RPP kWh",VLOOKUP(V$4,'4. Billing Determinants'!$B$19:$P$41,6,0)/'4. Billing Determinants'!$G$41*$D12,IF($E12="Distribution Rev.",VLOOKUP(V$4,'4. Billing Determinants'!$B$19:$P$41,8,0)/'4. Billing Determinants'!$I$41*$D12, VLOOKUP(V$4,'4. Billing Determinants'!$B$19:$P$41,3,0)/'4. Billing Determinants'!$D$41*$D12))))),0)</f>
        <v>0</v>
      </c>
      <c r="W12" s="70">
        <f>IFERROR(IF(W$4="",0,IF($E12="kWh",VLOOKUP(W$4,'4. Billing Determinants'!$B$19:$P$41,4,0)/'4. Billing Determinants'!$E$41*$D12,IF($E12="kW",VLOOKUP(W$4,'4. Billing Determinants'!$B$19:$P$41,5,0)/'4. Billing Determinants'!$F$41*$D12,IF($E12="Non-RPP kWh",VLOOKUP(W$4,'4. Billing Determinants'!$B$19:$P$41,6,0)/'4. Billing Determinants'!$G$41*$D12,IF($E12="Distribution Rev.",VLOOKUP(W$4,'4. Billing Determinants'!$B$19:$P$41,8,0)/'4. Billing Determinants'!$I$41*$D12, VLOOKUP(W$4,'4. Billing Determinants'!$B$19:$P$41,3,0)/'4. Billing Determinants'!$D$41*$D12))))),0)</f>
        <v>0</v>
      </c>
      <c r="X12" s="70">
        <f>IFERROR(IF(X$4="",0,IF($E12="kWh",VLOOKUP(X$4,'4. Billing Determinants'!$B$19:$P$41,4,0)/'4. Billing Determinants'!$E$41*$D12,IF($E12="kW",VLOOKUP(X$4,'4. Billing Determinants'!$B$19:$P$41,5,0)/'4. Billing Determinants'!$F$41*$D12,IF($E12="Non-RPP kWh",VLOOKUP(X$4,'4. Billing Determinants'!$B$19:$P$41,6,0)/'4. Billing Determinants'!$G$41*$D12,IF($E12="Distribution Rev.",VLOOKUP(X$4,'4. Billing Determinants'!$B$19:$P$41,8,0)/'4. Billing Determinants'!$I$41*$D12, VLOOKUP(X$4,'4. Billing Determinants'!$B$19:$P$41,3,0)/'4. Billing Determinants'!$D$41*$D12))))),0)</f>
        <v>0</v>
      </c>
      <c r="Y12" s="70">
        <f>IFERROR(IF(Y$4="",0,IF($E12="kWh",VLOOKUP(Y$4,'4. Billing Determinants'!$B$19:$P$41,4,0)/'4. Billing Determinants'!$E$41*$D12,IF($E12="kW",VLOOKUP(Y$4,'4. Billing Determinants'!$B$19:$P$41,5,0)/'4. Billing Determinants'!$F$41*$D12,IF($E12="Non-RPP kWh",VLOOKUP(Y$4,'4. Billing Determinants'!$B$19:$P$41,6,0)/'4. Billing Determinants'!$G$41*$D12,IF($E12="Distribution Rev.",VLOOKUP(Y$4,'4. Billing Determinants'!$B$19:$P$41,8,0)/'4. Billing Determinants'!$I$41*$D12, VLOOKUP(Y$4,'4. Billing Determinants'!$B$19:$P$41,3,0)/'4. Billing Determinants'!$D$41*$D12))))),0)</f>
        <v>0</v>
      </c>
    </row>
    <row r="13" spans="2:25" x14ac:dyDescent="0.2">
      <c r="B13" s="72" t="s">
        <v>109</v>
      </c>
      <c r="C13" s="69">
        <v>1595</v>
      </c>
      <c r="D13" s="70">
        <f>'2. 2014 Continuity Schedule'!BO32</f>
        <v>0</v>
      </c>
      <c r="E13" s="130"/>
      <c r="F13" s="70">
        <f>IFERROR(IF(F$4="",0,IF($E13="kWh",VLOOKUP(F$4,'4. Billing Determinants'!$B$19:$P$41,4,0)/'4. Billing Determinants'!$E$41*$D13,IF($E13="kW",VLOOKUP(F$4,'4. Billing Determinants'!$B$19:$P$41,5,0)/'4. Billing Determinants'!$F$41*$D13,IF($E13="Non-RPP kWh",VLOOKUP(F$4,'4. Billing Determinants'!$B$19:$P$41,6,0)/'4. Billing Determinants'!$G$41*$D13,IF($E13="Distribution Rev.",VLOOKUP(F$4,'4. Billing Determinants'!$B$19:$P$41,8,0)/'4. Billing Determinants'!$I$41*$D13, VLOOKUP(F$4,'4. Billing Determinants'!$B$19:$P$41,3,0)/'4. Billing Determinants'!$D$41*$D13))))),0)</f>
        <v>0</v>
      </c>
      <c r="G13" s="70">
        <f>IFERROR(IF(G$4="",0,IF($E13="kWh",VLOOKUP(G$4,'4. Billing Determinants'!$B$19:$P$41,4,0)/'4. Billing Determinants'!$E$41*$D13,IF($E13="kW",VLOOKUP(G$4,'4. Billing Determinants'!$B$19:$P$41,5,0)/'4. Billing Determinants'!$F$41*$D13,IF($E13="Non-RPP kWh",VLOOKUP(G$4,'4. Billing Determinants'!$B$19:$P$41,6,0)/'4. Billing Determinants'!$G$41*$D13,IF($E13="Distribution Rev.",VLOOKUP(G$4,'4. Billing Determinants'!$B$19:$P$41,8,0)/'4. Billing Determinants'!$I$41*$D13, VLOOKUP(G$4,'4. Billing Determinants'!$B$19:$P$41,3,0)/'4. Billing Determinants'!$D$41*$D13))))),0)</f>
        <v>0</v>
      </c>
      <c r="H13" s="70">
        <f>IFERROR(IF(H$4="",0,IF($E13="kWh",VLOOKUP(H$4,'4. Billing Determinants'!$B$19:$P$41,4,0)/'4. Billing Determinants'!$E$41*$D13,IF($E13="kW",VLOOKUP(H$4,'4. Billing Determinants'!$B$19:$P$41,5,0)/'4. Billing Determinants'!$F$41*$D13,IF($E13="Non-RPP kWh",VLOOKUP(H$4,'4. Billing Determinants'!$B$19:$P$41,6,0)/'4. Billing Determinants'!$G$41*$D13,IF($E13="Distribution Rev.",VLOOKUP(H$4,'4. Billing Determinants'!$B$19:$P$41,8,0)/'4. Billing Determinants'!$I$41*$D13, VLOOKUP(H$4,'4. Billing Determinants'!$B$19:$P$41,3,0)/'4. Billing Determinants'!$D$41*$D13))))),0)</f>
        <v>0</v>
      </c>
      <c r="I13" s="70">
        <f>IFERROR(IF(I$4="",0,IF($E13="kWh",VLOOKUP(I$4,'4. Billing Determinants'!$B$19:$P$41,4,0)/'4. Billing Determinants'!$E$41*$D13,IF($E13="kW",VLOOKUP(I$4,'4. Billing Determinants'!$B$19:$P$41,5,0)/'4. Billing Determinants'!$F$41*$D13,IF($E13="Non-RPP kWh",VLOOKUP(I$4,'4. Billing Determinants'!$B$19:$P$41,6,0)/'4. Billing Determinants'!$G$41*$D13,IF($E13="Distribution Rev.",VLOOKUP(I$4,'4. Billing Determinants'!$B$19:$P$41,8,0)/'4. Billing Determinants'!$I$41*$D13, VLOOKUP(I$4,'4. Billing Determinants'!$B$19:$P$41,3,0)/'4. Billing Determinants'!$D$41*$D13))))),0)</f>
        <v>0</v>
      </c>
      <c r="J13" s="70">
        <f>IFERROR(IF(J$4="",0,IF($E13="kWh",VLOOKUP(J$4,'4. Billing Determinants'!$B$19:$P$41,4,0)/'4. Billing Determinants'!$E$41*$D13,IF($E13="kW",VLOOKUP(J$4,'4. Billing Determinants'!$B$19:$P$41,5,0)/'4. Billing Determinants'!$F$41*$D13,IF($E13="Non-RPP kWh",VLOOKUP(J$4,'4. Billing Determinants'!$B$19:$P$41,6,0)/'4. Billing Determinants'!$G$41*$D13,IF($E13="Distribution Rev.",VLOOKUP(J$4,'4. Billing Determinants'!$B$19:$P$41,8,0)/'4. Billing Determinants'!$I$41*$D13, VLOOKUP(J$4,'4. Billing Determinants'!$B$19:$P$41,3,0)/'4. Billing Determinants'!$D$41*$D13))))),0)</f>
        <v>0</v>
      </c>
      <c r="K13" s="70">
        <f>IFERROR(IF(K$4="",0,IF($E13="kWh",VLOOKUP(K$4,'4. Billing Determinants'!$B$19:$P$41,4,0)/'4. Billing Determinants'!$E$41*$D13,IF($E13="kW",VLOOKUP(K$4,'4. Billing Determinants'!$B$19:$P$41,5,0)/'4. Billing Determinants'!$F$41*$D13,IF($E13="Non-RPP kWh",VLOOKUP(K$4,'4. Billing Determinants'!$B$19:$P$41,6,0)/'4. Billing Determinants'!$G$41*$D13,IF($E13="Distribution Rev.",VLOOKUP(K$4,'4. Billing Determinants'!$B$19:$P$41,8,0)/'4. Billing Determinants'!$I$41*$D13, VLOOKUP(K$4,'4. Billing Determinants'!$B$19:$P$41,3,0)/'4. Billing Determinants'!$D$41*$D13))))),0)</f>
        <v>0</v>
      </c>
      <c r="L13" s="70">
        <f>IFERROR(IF(L$4="",0,IF($E13="kWh",VLOOKUP(L$4,'4. Billing Determinants'!$B$19:$P$41,4,0)/'4. Billing Determinants'!$E$41*$D13,IF($E13="kW",VLOOKUP(L$4,'4. Billing Determinants'!$B$19:$P$41,5,0)/'4. Billing Determinants'!$F$41*$D13,IF($E13="Non-RPP kWh",VLOOKUP(L$4,'4. Billing Determinants'!$B$19:$P$41,6,0)/'4. Billing Determinants'!$G$41*$D13,IF($E13="Distribution Rev.",VLOOKUP(L$4,'4. Billing Determinants'!$B$19:$P$41,8,0)/'4. Billing Determinants'!$I$41*$D13, VLOOKUP(L$4,'4. Billing Determinants'!$B$19:$P$41,3,0)/'4. Billing Determinants'!$D$41*$D13))))),0)</f>
        <v>0</v>
      </c>
      <c r="M13" s="70">
        <f>IFERROR(IF(M$4="",0,IF($E13="kWh",VLOOKUP(M$4,'4. Billing Determinants'!$B$19:$P$41,4,0)/'4. Billing Determinants'!$E$41*$D13,IF($E13="kW",VLOOKUP(M$4,'4. Billing Determinants'!$B$19:$P$41,5,0)/'4. Billing Determinants'!$F$41*$D13,IF($E13="Non-RPP kWh",VLOOKUP(M$4,'4. Billing Determinants'!$B$19:$P$41,6,0)/'4. Billing Determinants'!$G$41*$D13,IF($E13="Distribution Rev.",VLOOKUP(M$4,'4. Billing Determinants'!$B$19:$P$41,8,0)/'4. Billing Determinants'!$I$41*$D13, VLOOKUP(M$4,'4. Billing Determinants'!$B$19:$P$41,3,0)/'4. Billing Determinants'!$D$41*$D13))))),0)</f>
        <v>0</v>
      </c>
      <c r="N13" s="70">
        <f>IFERROR(IF(N$4="",0,IF($E13="kWh",VLOOKUP(N$4,'4. Billing Determinants'!$B$19:$P$41,4,0)/'4. Billing Determinants'!$E$41*$D13,IF($E13="kW",VLOOKUP(N$4,'4. Billing Determinants'!$B$19:$P$41,5,0)/'4. Billing Determinants'!$F$41*$D13,IF($E13="Non-RPP kWh",VLOOKUP(N$4,'4. Billing Determinants'!$B$19:$P$41,6,0)/'4. Billing Determinants'!$G$41*$D13,IF($E13="Distribution Rev.",VLOOKUP(N$4,'4. Billing Determinants'!$B$19:$P$41,8,0)/'4. Billing Determinants'!$I$41*$D13, VLOOKUP(N$4,'4. Billing Determinants'!$B$19:$P$41,3,0)/'4. Billing Determinants'!$D$41*$D13))))),0)</f>
        <v>0</v>
      </c>
      <c r="O13" s="70">
        <f>IFERROR(IF(O$4="",0,IF($E13="kWh",VLOOKUP(O$4,'4. Billing Determinants'!$B$19:$P$41,4,0)/'4. Billing Determinants'!$E$41*$D13,IF($E13="kW",VLOOKUP(O$4,'4. Billing Determinants'!$B$19:$P$41,5,0)/'4. Billing Determinants'!$F$41*$D13,IF($E13="Non-RPP kWh",VLOOKUP(O$4,'4. Billing Determinants'!$B$19:$P$41,6,0)/'4. Billing Determinants'!$G$41*$D13,IF($E13="Distribution Rev.",VLOOKUP(O$4,'4. Billing Determinants'!$B$19:$P$41,8,0)/'4. Billing Determinants'!$I$41*$D13, VLOOKUP(O$4,'4. Billing Determinants'!$B$19:$P$41,3,0)/'4. Billing Determinants'!$D$41*$D13))))),0)</f>
        <v>0</v>
      </c>
      <c r="P13" s="70">
        <f>IFERROR(IF(P$4="",0,IF($E13="kWh",VLOOKUP(P$4,'4. Billing Determinants'!$B$19:$P$41,4,0)/'4. Billing Determinants'!$E$41*$D13,IF($E13="kW",VLOOKUP(P$4,'4. Billing Determinants'!$B$19:$P$41,5,0)/'4. Billing Determinants'!$F$41*$D13,IF($E13="Non-RPP kWh",VLOOKUP(P$4,'4. Billing Determinants'!$B$19:$P$41,6,0)/'4. Billing Determinants'!$G$41*$D13,IF($E13="Distribution Rev.",VLOOKUP(P$4,'4. Billing Determinants'!$B$19:$P$41,8,0)/'4. Billing Determinants'!$I$41*$D13, VLOOKUP(P$4,'4. Billing Determinants'!$B$19:$P$41,3,0)/'4. Billing Determinants'!$D$41*$D13))))),0)</f>
        <v>0</v>
      </c>
      <c r="Q13" s="70">
        <f>IFERROR(IF(Q$4="",0,IF($E13="kWh",VLOOKUP(Q$4,'4. Billing Determinants'!$B$19:$P$41,4,0)/'4. Billing Determinants'!$E$41*$D13,IF($E13="kW",VLOOKUP(Q$4,'4. Billing Determinants'!$B$19:$P$41,5,0)/'4. Billing Determinants'!$F$41*$D13,IF($E13="Non-RPP kWh",VLOOKUP(Q$4,'4. Billing Determinants'!$B$19:$P$41,6,0)/'4. Billing Determinants'!$G$41*$D13,IF($E13="Distribution Rev.",VLOOKUP(Q$4,'4. Billing Determinants'!$B$19:$P$41,8,0)/'4. Billing Determinants'!$I$41*$D13, VLOOKUP(Q$4,'4. Billing Determinants'!$B$19:$P$41,3,0)/'4. Billing Determinants'!$D$41*$D13))))),0)</f>
        <v>0</v>
      </c>
      <c r="R13" s="70">
        <f>IFERROR(IF(R$4="",0,IF($E13="kWh",VLOOKUP(R$4,'4. Billing Determinants'!$B$19:$P$41,4,0)/'4. Billing Determinants'!$E$41*$D13,IF($E13="kW",VLOOKUP(R$4,'4. Billing Determinants'!$B$19:$P$41,5,0)/'4. Billing Determinants'!$F$41*$D13,IF($E13="Non-RPP kWh",VLOOKUP(R$4,'4. Billing Determinants'!$B$19:$P$41,6,0)/'4. Billing Determinants'!$G$41*$D13,IF($E13="Distribution Rev.",VLOOKUP(R$4,'4. Billing Determinants'!$B$19:$P$41,8,0)/'4. Billing Determinants'!$I$41*$D13, VLOOKUP(R$4,'4. Billing Determinants'!$B$19:$P$41,3,0)/'4. Billing Determinants'!$D$41*$D13))))),0)</f>
        <v>0</v>
      </c>
      <c r="S13" s="70">
        <f>IFERROR(IF(S$4="",0,IF($E13="kWh",VLOOKUP(S$4,'4. Billing Determinants'!$B$19:$P$41,4,0)/'4. Billing Determinants'!$E$41*$D13,IF($E13="kW",VLOOKUP(S$4,'4. Billing Determinants'!$B$19:$P$41,5,0)/'4. Billing Determinants'!$F$41*$D13,IF($E13="Non-RPP kWh",VLOOKUP(S$4,'4. Billing Determinants'!$B$19:$P$41,6,0)/'4. Billing Determinants'!$G$41*$D13,IF($E13="Distribution Rev.",VLOOKUP(S$4,'4. Billing Determinants'!$B$19:$P$41,8,0)/'4. Billing Determinants'!$I$41*$D13, VLOOKUP(S$4,'4. Billing Determinants'!$B$19:$P$41,3,0)/'4. Billing Determinants'!$D$41*$D13))))),0)</f>
        <v>0</v>
      </c>
      <c r="T13" s="70">
        <f>IFERROR(IF(T$4="",0,IF($E13="kWh",VLOOKUP(T$4,'4. Billing Determinants'!$B$19:$P$41,4,0)/'4. Billing Determinants'!$E$41*$D13,IF($E13="kW",VLOOKUP(T$4,'4. Billing Determinants'!$B$19:$P$41,5,0)/'4. Billing Determinants'!$F$41*$D13,IF($E13="Non-RPP kWh",VLOOKUP(T$4,'4. Billing Determinants'!$B$19:$P$41,6,0)/'4. Billing Determinants'!$G$41*$D13,IF($E13="Distribution Rev.",VLOOKUP(T$4,'4. Billing Determinants'!$B$19:$P$41,8,0)/'4. Billing Determinants'!$I$41*$D13, VLOOKUP(T$4,'4. Billing Determinants'!$B$19:$P$41,3,0)/'4. Billing Determinants'!$D$41*$D13))))),0)</f>
        <v>0</v>
      </c>
      <c r="U13" s="70">
        <f>IFERROR(IF(U$4="",0,IF($E13="kWh",VLOOKUP(U$4,'4. Billing Determinants'!$B$19:$P$41,4,0)/'4. Billing Determinants'!$E$41*$D13,IF($E13="kW",VLOOKUP(U$4,'4. Billing Determinants'!$B$19:$P$41,5,0)/'4. Billing Determinants'!$F$41*$D13,IF($E13="Non-RPP kWh",VLOOKUP(U$4,'4. Billing Determinants'!$B$19:$P$41,6,0)/'4. Billing Determinants'!$G$41*$D13,IF($E13="Distribution Rev.",VLOOKUP(U$4,'4. Billing Determinants'!$B$19:$P$41,8,0)/'4. Billing Determinants'!$I$41*$D13, VLOOKUP(U$4,'4. Billing Determinants'!$B$19:$P$41,3,0)/'4. Billing Determinants'!$D$41*$D13))))),0)</f>
        <v>0</v>
      </c>
      <c r="V13" s="70">
        <f>IFERROR(IF(V$4="",0,IF($E13="kWh",VLOOKUP(V$4,'4. Billing Determinants'!$B$19:$P$41,4,0)/'4. Billing Determinants'!$E$41*$D13,IF($E13="kW",VLOOKUP(V$4,'4. Billing Determinants'!$B$19:$P$41,5,0)/'4. Billing Determinants'!$F$41*$D13,IF($E13="Non-RPP kWh",VLOOKUP(V$4,'4. Billing Determinants'!$B$19:$P$41,6,0)/'4. Billing Determinants'!$G$41*$D13,IF($E13="Distribution Rev.",VLOOKUP(V$4,'4. Billing Determinants'!$B$19:$P$41,8,0)/'4. Billing Determinants'!$I$41*$D13, VLOOKUP(V$4,'4. Billing Determinants'!$B$19:$P$41,3,0)/'4. Billing Determinants'!$D$41*$D13))))),0)</f>
        <v>0</v>
      </c>
      <c r="W13" s="70">
        <f>IFERROR(IF(W$4="",0,IF($E13="kWh",VLOOKUP(W$4,'4. Billing Determinants'!$B$19:$P$41,4,0)/'4. Billing Determinants'!$E$41*$D13,IF($E13="kW",VLOOKUP(W$4,'4. Billing Determinants'!$B$19:$P$41,5,0)/'4. Billing Determinants'!$F$41*$D13,IF($E13="Non-RPP kWh",VLOOKUP(W$4,'4. Billing Determinants'!$B$19:$P$41,6,0)/'4. Billing Determinants'!$G$41*$D13,IF($E13="Distribution Rev.",VLOOKUP(W$4,'4. Billing Determinants'!$B$19:$P$41,8,0)/'4. Billing Determinants'!$I$41*$D13, VLOOKUP(W$4,'4. Billing Determinants'!$B$19:$P$41,3,0)/'4. Billing Determinants'!$D$41*$D13))))),0)</f>
        <v>0</v>
      </c>
      <c r="X13" s="70">
        <f>IFERROR(IF(X$4="",0,IF($E13="kWh",VLOOKUP(X$4,'4. Billing Determinants'!$B$19:$P$41,4,0)/'4. Billing Determinants'!$E$41*$D13,IF($E13="kW",VLOOKUP(X$4,'4. Billing Determinants'!$B$19:$P$41,5,0)/'4. Billing Determinants'!$F$41*$D13,IF($E13="Non-RPP kWh",VLOOKUP(X$4,'4. Billing Determinants'!$B$19:$P$41,6,0)/'4. Billing Determinants'!$G$41*$D13,IF($E13="Distribution Rev.",VLOOKUP(X$4,'4. Billing Determinants'!$B$19:$P$41,8,0)/'4. Billing Determinants'!$I$41*$D13, VLOOKUP(X$4,'4. Billing Determinants'!$B$19:$P$41,3,0)/'4. Billing Determinants'!$D$41*$D13))))),0)</f>
        <v>0</v>
      </c>
      <c r="Y13" s="70">
        <f>IFERROR(IF(Y$4="",0,IF($E13="kWh",VLOOKUP(Y$4,'4. Billing Determinants'!$B$19:$P$41,4,0)/'4. Billing Determinants'!$E$41*$D13,IF($E13="kW",VLOOKUP(Y$4,'4. Billing Determinants'!$B$19:$P$41,5,0)/'4. Billing Determinants'!$F$41*$D13,IF($E13="Non-RPP kWh",VLOOKUP(Y$4,'4. Billing Determinants'!$B$19:$P$41,6,0)/'4. Billing Determinants'!$G$41*$D13,IF($E13="Distribution Rev.",VLOOKUP(Y$4,'4. Billing Determinants'!$B$19:$P$41,8,0)/'4. Billing Determinants'!$I$41*$D13, VLOOKUP(Y$4,'4. Billing Determinants'!$B$19:$P$41,3,0)/'4. Billing Determinants'!$D$41*$D13))))),0)</f>
        <v>0</v>
      </c>
    </row>
    <row r="14" spans="2:25" x14ac:dyDescent="0.2">
      <c r="B14" s="72" t="s">
        <v>110</v>
      </c>
      <c r="C14" s="69">
        <v>1595</v>
      </c>
      <c r="D14" s="70">
        <f>'2. 2014 Continuity Schedule'!BO33</f>
        <v>0</v>
      </c>
      <c r="E14" s="130"/>
      <c r="F14" s="70">
        <f>IFERROR(IF(F$4="",0,IF($E14="kWh",VLOOKUP(F$4,'4. Billing Determinants'!$B$19:$P$41,4,0)/'4. Billing Determinants'!$E$41*$D14,IF($E14="kW",VLOOKUP(F$4,'4. Billing Determinants'!$B$19:$P$41,5,0)/'4. Billing Determinants'!$F$41*$D14,IF($E14="Non-RPP kWh",VLOOKUP(F$4,'4. Billing Determinants'!$B$19:$P$41,6,0)/'4. Billing Determinants'!$G$41*$D14,IF($E14="Distribution Rev.",VLOOKUP(F$4,'4. Billing Determinants'!$B$19:$P$41,8,0)/'4. Billing Determinants'!$I$41*$D14, VLOOKUP(F$4,'4. Billing Determinants'!$B$19:$P$41,3,0)/'4. Billing Determinants'!$D$41*$D14))))),0)</f>
        <v>0</v>
      </c>
      <c r="G14" s="70">
        <f>IFERROR(IF(G$4="",0,IF($E14="kWh",VLOOKUP(G$4,'4. Billing Determinants'!$B$19:$P$41,4,0)/'4. Billing Determinants'!$E$41*$D14,IF($E14="kW",VLOOKUP(G$4,'4. Billing Determinants'!$B$19:$P$41,5,0)/'4. Billing Determinants'!$F$41*$D14,IF($E14="Non-RPP kWh",VLOOKUP(G$4,'4. Billing Determinants'!$B$19:$P$41,6,0)/'4. Billing Determinants'!$G$41*$D14,IF($E14="Distribution Rev.",VLOOKUP(G$4,'4. Billing Determinants'!$B$19:$P$41,8,0)/'4. Billing Determinants'!$I$41*$D14, VLOOKUP(G$4,'4. Billing Determinants'!$B$19:$P$41,3,0)/'4. Billing Determinants'!$D$41*$D14))))),0)</f>
        <v>0</v>
      </c>
      <c r="H14" s="70">
        <f>IFERROR(IF(H$4="",0,IF($E14="kWh",VLOOKUP(H$4,'4. Billing Determinants'!$B$19:$P$41,4,0)/'4. Billing Determinants'!$E$41*$D14,IF($E14="kW",VLOOKUP(H$4,'4. Billing Determinants'!$B$19:$P$41,5,0)/'4. Billing Determinants'!$F$41*$D14,IF($E14="Non-RPP kWh",VLOOKUP(H$4,'4. Billing Determinants'!$B$19:$P$41,6,0)/'4. Billing Determinants'!$G$41*$D14,IF($E14="Distribution Rev.",VLOOKUP(H$4,'4. Billing Determinants'!$B$19:$P$41,8,0)/'4. Billing Determinants'!$I$41*$D14, VLOOKUP(H$4,'4. Billing Determinants'!$B$19:$P$41,3,0)/'4. Billing Determinants'!$D$41*$D14))))),0)</f>
        <v>0</v>
      </c>
      <c r="I14" s="70">
        <f>IFERROR(IF(I$4="",0,IF($E14="kWh",VLOOKUP(I$4,'4. Billing Determinants'!$B$19:$P$41,4,0)/'4. Billing Determinants'!$E$41*$D14,IF($E14="kW",VLOOKUP(I$4,'4. Billing Determinants'!$B$19:$P$41,5,0)/'4. Billing Determinants'!$F$41*$D14,IF($E14="Non-RPP kWh",VLOOKUP(I$4,'4. Billing Determinants'!$B$19:$P$41,6,0)/'4. Billing Determinants'!$G$41*$D14,IF($E14="Distribution Rev.",VLOOKUP(I$4,'4. Billing Determinants'!$B$19:$P$41,8,0)/'4. Billing Determinants'!$I$41*$D14, VLOOKUP(I$4,'4. Billing Determinants'!$B$19:$P$41,3,0)/'4. Billing Determinants'!$D$41*$D14))))),0)</f>
        <v>0</v>
      </c>
      <c r="J14" s="70">
        <f>IFERROR(IF(J$4="",0,IF($E14="kWh",VLOOKUP(J$4,'4. Billing Determinants'!$B$19:$P$41,4,0)/'4. Billing Determinants'!$E$41*$D14,IF($E14="kW",VLOOKUP(J$4,'4. Billing Determinants'!$B$19:$P$41,5,0)/'4. Billing Determinants'!$F$41*$D14,IF($E14="Non-RPP kWh",VLOOKUP(J$4,'4. Billing Determinants'!$B$19:$P$41,6,0)/'4. Billing Determinants'!$G$41*$D14,IF($E14="Distribution Rev.",VLOOKUP(J$4,'4. Billing Determinants'!$B$19:$P$41,8,0)/'4. Billing Determinants'!$I$41*$D14, VLOOKUP(J$4,'4. Billing Determinants'!$B$19:$P$41,3,0)/'4. Billing Determinants'!$D$41*$D14))))),0)</f>
        <v>0</v>
      </c>
      <c r="K14" s="70">
        <f>IFERROR(IF(K$4="",0,IF($E14="kWh",VLOOKUP(K$4,'4. Billing Determinants'!$B$19:$P$41,4,0)/'4. Billing Determinants'!$E$41*$D14,IF($E14="kW",VLOOKUP(K$4,'4. Billing Determinants'!$B$19:$P$41,5,0)/'4. Billing Determinants'!$F$41*$D14,IF($E14="Non-RPP kWh",VLOOKUP(K$4,'4. Billing Determinants'!$B$19:$P$41,6,0)/'4. Billing Determinants'!$G$41*$D14,IF($E14="Distribution Rev.",VLOOKUP(K$4,'4. Billing Determinants'!$B$19:$P$41,8,0)/'4. Billing Determinants'!$I$41*$D14, VLOOKUP(K$4,'4. Billing Determinants'!$B$19:$P$41,3,0)/'4. Billing Determinants'!$D$41*$D14))))),0)</f>
        <v>0</v>
      </c>
      <c r="L14" s="70">
        <f>IFERROR(IF(L$4="",0,IF($E14="kWh",VLOOKUP(L$4,'4. Billing Determinants'!$B$19:$P$41,4,0)/'4. Billing Determinants'!$E$41*$D14,IF($E14="kW",VLOOKUP(L$4,'4. Billing Determinants'!$B$19:$P$41,5,0)/'4. Billing Determinants'!$F$41*$D14,IF($E14="Non-RPP kWh",VLOOKUP(L$4,'4. Billing Determinants'!$B$19:$P$41,6,0)/'4. Billing Determinants'!$G$41*$D14,IF($E14="Distribution Rev.",VLOOKUP(L$4,'4. Billing Determinants'!$B$19:$P$41,8,0)/'4. Billing Determinants'!$I$41*$D14, VLOOKUP(L$4,'4. Billing Determinants'!$B$19:$P$41,3,0)/'4. Billing Determinants'!$D$41*$D14))))),0)</f>
        <v>0</v>
      </c>
      <c r="M14" s="70">
        <f>IFERROR(IF(M$4="",0,IF($E14="kWh",VLOOKUP(M$4,'4. Billing Determinants'!$B$19:$P$41,4,0)/'4. Billing Determinants'!$E$41*$D14,IF($E14="kW",VLOOKUP(M$4,'4. Billing Determinants'!$B$19:$P$41,5,0)/'4. Billing Determinants'!$F$41*$D14,IF($E14="Non-RPP kWh",VLOOKUP(M$4,'4. Billing Determinants'!$B$19:$P$41,6,0)/'4. Billing Determinants'!$G$41*$D14,IF($E14="Distribution Rev.",VLOOKUP(M$4,'4. Billing Determinants'!$B$19:$P$41,8,0)/'4. Billing Determinants'!$I$41*$D14, VLOOKUP(M$4,'4. Billing Determinants'!$B$19:$P$41,3,0)/'4. Billing Determinants'!$D$41*$D14))))),0)</f>
        <v>0</v>
      </c>
      <c r="N14" s="70">
        <f>IFERROR(IF(N$4="",0,IF($E14="kWh",VLOOKUP(N$4,'4. Billing Determinants'!$B$19:$P$41,4,0)/'4. Billing Determinants'!$E$41*$D14,IF($E14="kW",VLOOKUP(N$4,'4. Billing Determinants'!$B$19:$P$41,5,0)/'4. Billing Determinants'!$F$41*$D14,IF($E14="Non-RPP kWh",VLOOKUP(N$4,'4. Billing Determinants'!$B$19:$P$41,6,0)/'4. Billing Determinants'!$G$41*$D14,IF($E14="Distribution Rev.",VLOOKUP(N$4,'4. Billing Determinants'!$B$19:$P$41,8,0)/'4. Billing Determinants'!$I$41*$D14, VLOOKUP(N$4,'4. Billing Determinants'!$B$19:$P$41,3,0)/'4. Billing Determinants'!$D$41*$D14))))),0)</f>
        <v>0</v>
      </c>
      <c r="O14" s="70">
        <f>IFERROR(IF(O$4="",0,IF($E14="kWh",VLOOKUP(O$4,'4. Billing Determinants'!$B$19:$P$41,4,0)/'4. Billing Determinants'!$E$41*$D14,IF($E14="kW",VLOOKUP(O$4,'4. Billing Determinants'!$B$19:$P$41,5,0)/'4. Billing Determinants'!$F$41*$D14,IF($E14="Non-RPP kWh",VLOOKUP(O$4,'4. Billing Determinants'!$B$19:$P$41,6,0)/'4. Billing Determinants'!$G$41*$D14,IF($E14="Distribution Rev.",VLOOKUP(O$4,'4. Billing Determinants'!$B$19:$P$41,8,0)/'4. Billing Determinants'!$I$41*$D14, VLOOKUP(O$4,'4. Billing Determinants'!$B$19:$P$41,3,0)/'4. Billing Determinants'!$D$41*$D14))))),0)</f>
        <v>0</v>
      </c>
      <c r="P14" s="70">
        <f>IFERROR(IF(P$4="",0,IF($E14="kWh",VLOOKUP(P$4,'4. Billing Determinants'!$B$19:$P$41,4,0)/'4. Billing Determinants'!$E$41*$D14,IF($E14="kW",VLOOKUP(P$4,'4. Billing Determinants'!$B$19:$P$41,5,0)/'4. Billing Determinants'!$F$41*$D14,IF($E14="Non-RPP kWh",VLOOKUP(P$4,'4. Billing Determinants'!$B$19:$P$41,6,0)/'4. Billing Determinants'!$G$41*$D14,IF($E14="Distribution Rev.",VLOOKUP(P$4,'4. Billing Determinants'!$B$19:$P$41,8,0)/'4. Billing Determinants'!$I$41*$D14, VLOOKUP(P$4,'4. Billing Determinants'!$B$19:$P$41,3,0)/'4. Billing Determinants'!$D$41*$D14))))),0)</f>
        <v>0</v>
      </c>
      <c r="Q14" s="70">
        <f>IFERROR(IF(Q$4="",0,IF($E14="kWh",VLOOKUP(Q$4,'4. Billing Determinants'!$B$19:$P$41,4,0)/'4. Billing Determinants'!$E$41*$D14,IF($E14="kW",VLOOKUP(Q$4,'4. Billing Determinants'!$B$19:$P$41,5,0)/'4. Billing Determinants'!$F$41*$D14,IF($E14="Non-RPP kWh",VLOOKUP(Q$4,'4. Billing Determinants'!$B$19:$P$41,6,0)/'4. Billing Determinants'!$G$41*$D14,IF($E14="Distribution Rev.",VLOOKUP(Q$4,'4. Billing Determinants'!$B$19:$P$41,8,0)/'4. Billing Determinants'!$I$41*$D14, VLOOKUP(Q$4,'4. Billing Determinants'!$B$19:$P$41,3,0)/'4. Billing Determinants'!$D$41*$D14))))),0)</f>
        <v>0</v>
      </c>
      <c r="R14" s="70">
        <f>IFERROR(IF(R$4="",0,IF($E14="kWh",VLOOKUP(R$4,'4. Billing Determinants'!$B$19:$P$41,4,0)/'4. Billing Determinants'!$E$41*$D14,IF($E14="kW",VLOOKUP(R$4,'4. Billing Determinants'!$B$19:$P$41,5,0)/'4. Billing Determinants'!$F$41*$D14,IF($E14="Non-RPP kWh",VLOOKUP(R$4,'4. Billing Determinants'!$B$19:$P$41,6,0)/'4. Billing Determinants'!$G$41*$D14,IF($E14="Distribution Rev.",VLOOKUP(R$4,'4. Billing Determinants'!$B$19:$P$41,8,0)/'4. Billing Determinants'!$I$41*$D14, VLOOKUP(R$4,'4. Billing Determinants'!$B$19:$P$41,3,0)/'4. Billing Determinants'!$D$41*$D14))))),0)</f>
        <v>0</v>
      </c>
      <c r="S14" s="70">
        <f>IFERROR(IF(S$4="",0,IF($E14="kWh",VLOOKUP(S$4,'4. Billing Determinants'!$B$19:$P$41,4,0)/'4. Billing Determinants'!$E$41*$D14,IF($E14="kW",VLOOKUP(S$4,'4. Billing Determinants'!$B$19:$P$41,5,0)/'4. Billing Determinants'!$F$41*$D14,IF($E14="Non-RPP kWh",VLOOKUP(S$4,'4. Billing Determinants'!$B$19:$P$41,6,0)/'4. Billing Determinants'!$G$41*$D14,IF($E14="Distribution Rev.",VLOOKUP(S$4,'4. Billing Determinants'!$B$19:$P$41,8,0)/'4. Billing Determinants'!$I$41*$D14, VLOOKUP(S$4,'4. Billing Determinants'!$B$19:$P$41,3,0)/'4. Billing Determinants'!$D$41*$D14))))),0)</f>
        <v>0</v>
      </c>
      <c r="T14" s="70">
        <f>IFERROR(IF(T$4="",0,IF($E14="kWh",VLOOKUP(T$4,'4. Billing Determinants'!$B$19:$P$41,4,0)/'4. Billing Determinants'!$E$41*$D14,IF($E14="kW",VLOOKUP(T$4,'4. Billing Determinants'!$B$19:$P$41,5,0)/'4. Billing Determinants'!$F$41*$D14,IF($E14="Non-RPP kWh",VLOOKUP(T$4,'4. Billing Determinants'!$B$19:$P$41,6,0)/'4. Billing Determinants'!$G$41*$D14,IF($E14="Distribution Rev.",VLOOKUP(T$4,'4. Billing Determinants'!$B$19:$P$41,8,0)/'4. Billing Determinants'!$I$41*$D14, VLOOKUP(T$4,'4. Billing Determinants'!$B$19:$P$41,3,0)/'4. Billing Determinants'!$D$41*$D14))))),0)</f>
        <v>0</v>
      </c>
      <c r="U14" s="70">
        <f>IFERROR(IF(U$4="",0,IF($E14="kWh",VLOOKUP(U$4,'4. Billing Determinants'!$B$19:$P$41,4,0)/'4. Billing Determinants'!$E$41*$D14,IF($E14="kW",VLOOKUP(U$4,'4. Billing Determinants'!$B$19:$P$41,5,0)/'4. Billing Determinants'!$F$41*$D14,IF($E14="Non-RPP kWh",VLOOKUP(U$4,'4. Billing Determinants'!$B$19:$P$41,6,0)/'4. Billing Determinants'!$G$41*$D14,IF($E14="Distribution Rev.",VLOOKUP(U$4,'4. Billing Determinants'!$B$19:$P$41,8,0)/'4. Billing Determinants'!$I$41*$D14, VLOOKUP(U$4,'4. Billing Determinants'!$B$19:$P$41,3,0)/'4. Billing Determinants'!$D$41*$D14))))),0)</f>
        <v>0</v>
      </c>
      <c r="V14" s="70">
        <f>IFERROR(IF(V$4="",0,IF($E14="kWh",VLOOKUP(V$4,'4. Billing Determinants'!$B$19:$P$41,4,0)/'4. Billing Determinants'!$E$41*$D14,IF($E14="kW",VLOOKUP(V$4,'4. Billing Determinants'!$B$19:$P$41,5,0)/'4. Billing Determinants'!$F$41*$D14,IF($E14="Non-RPP kWh",VLOOKUP(V$4,'4. Billing Determinants'!$B$19:$P$41,6,0)/'4. Billing Determinants'!$G$41*$D14,IF($E14="Distribution Rev.",VLOOKUP(V$4,'4. Billing Determinants'!$B$19:$P$41,8,0)/'4. Billing Determinants'!$I$41*$D14, VLOOKUP(V$4,'4. Billing Determinants'!$B$19:$P$41,3,0)/'4. Billing Determinants'!$D$41*$D14))))),0)</f>
        <v>0</v>
      </c>
      <c r="W14" s="70">
        <f>IFERROR(IF(W$4="",0,IF($E14="kWh",VLOOKUP(W$4,'4. Billing Determinants'!$B$19:$P$41,4,0)/'4. Billing Determinants'!$E$41*$D14,IF($E14="kW",VLOOKUP(W$4,'4. Billing Determinants'!$B$19:$P$41,5,0)/'4. Billing Determinants'!$F$41*$D14,IF($E14="Non-RPP kWh",VLOOKUP(W$4,'4. Billing Determinants'!$B$19:$P$41,6,0)/'4. Billing Determinants'!$G$41*$D14,IF($E14="Distribution Rev.",VLOOKUP(W$4,'4. Billing Determinants'!$B$19:$P$41,8,0)/'4. Billing Determinants'!$I$41*$D14, VLOOKUP(W$4,'4. Billing Determinants'!$B$19:$P$41,3,0)/'4. Billing Determinants'!$D$41*$D14))))),0)</f>
        <v>0</v>
      </c>
      <c r="X14" s="70">
        <f>IFERROR(IF(X$4="",0,IF($E14="kWh",VLOOKUP(X$4,'4. Billing Determinants'!$B$19:$P$41,4,0)/'4. Billing Determinants'!$E$41*$D14,IF($E14="kW",VLOOKUP(X$4,'4. Billing Determinants'!$B$19:$P$41,5,0)/'4. Billing Determinants'!$F$41*$D14,IF($E14="Non-RPP kWh",VLOOKUP(X$4,'4. Billing Determinants'!$B$19:$P$41,6,0)/'4. Billing Determinants'!$G$41*$D14,IF($E14="Distribution Rev.",VLOOKUP(X$4,'4. Billing Determinants'!$B$19:$P$41,8,0)/'4. Billing Determinants'!$I$41*$D14, VLOOKUP(X$4,'4. Billing Determinants'!$B$19:$P$41,3,0)/'4. Billing Determinants'!$D$41*$D14))))),0)</f>
        <v>0</v>
      </c>
      <c r="Y14" s="70">
        <f>IFERROR(IF(Y$4="",0,IF($E14="kWh",VLOOKUP(Y$4,'4. Billing Determinants'!$B$19:$P$41,4,0)/'4. Billing Determinants'!$E$41*$D14,IF($E14="kW",VLOOKUP(Y$4,'4. Billing Determinants'!$B$19:$P$41,5,0)/'4. Billing Determinants'!$F$41*$D14,IF($E14="Non-RPP kWh",VLOOKUP(Y$4,'4. Billing Determinants'!$B$19:$P$41,6,0)/'4. Billing Determinants'!$G$41*$D14,IF($E14="Distribution Rev.",VLOOKUP(Y$4,'4. Billing Determinants'!$B$19:$P$41,8,0)/'4. Billing Determinants'!$I$41*$D14, VLOOKUP(Y$4,'4. Billing Determinants'!$B$19:$P$41,3,0)/'4. Billing Determinants'!$D$41*$D14))))),0)</f>
        <v>0</v>
      </c>
    </row>
    <row r="15" spans="2:25" x14ac:dyDescent="0.2">
      <c r="B15" s="72" t="s">
        <v>227</v>
      </c>
      <c r="C15" s="69">
        <v>1595</v>
      </c>
      <c r="D15" s="70">
        <f>'2. 2014 Continuity Schedule'!BO34</f>
        <v>0.47000000002299203</v>
      </c>
      <c r="E15" s="130"/>
      <c r="F15" s="70">
        <f>IFERROR(IF(F$4="",0,IF($E15="kWh",VLOOKUP(F$4,'4. Billing Determinants'!$B$19:$P$41,4,0)/'4. Billing Determinants'!$E$41*$D15,IF($E15="kW",VLOOKUP(F$4,'4. Billing Determinants'!$B$19:$P$41,5,0)/'4. Billing Determinants'!$F$41*$D15,IF($E15="Non-RPP kWh",VLOOKUP(F$4,'4. Billing Determinants'!$B$19:$P$41,6,0)/'4. Billing Determinants'!$G$41*$D15,IF($E15="Distribution Rev.",VLOOKUP(F$4,'4. Billing Determinants'!$B$19:$P$41,8,0)/'4. Billing Determinants'!$I$41*$D15, VLOOKUP(F$4,'4. Billing Determinants'!$B$19:$P$41,3,0)/'4. Billing Determinants'!$D$41*$D15))))),0)</f>
        <v>0.41977147711999252</v>
      </c>
      <c r="G15" s="70">
        <f>IFERROR(IF(G$4="",0,IF($E15="kWh",VLOOKUP(G$4,'4. Billing Determinants'!$B$19:$P$41,4,0)/'4. Billing Determinants'!$E$41*$D15,IF($E15="kW",VLOOKUP(G$4,'4. Billing Determinants'!$B$19:$P$41,5,0)/'4. Billing Determinants'!$F$41*$D15,IF($E15="Non-RPP kWh",VLOOKUP(G$4,'4. Billing Determinants'!$B$19:$P$41,6,0)/'4. Billing Determinants'!$G$41*$D15,IF($E15="Distribution Rev.",VLOOKUP(G$4,'4. Billing Determinants'!$B$19:$P$41,8,0)/'4. Billing Determinants'!$I$41*$D15, VLOOKUP(G$4,'4. Billing Determinants'!$B$19:$P$41,3,0)/'4. Billing Determinants'!$D$41*$D15))))),0)</f>
        <v>3.9143232134087561E-2</v>
      </c>
      <c r="H15" s="70">
        <f>IFERROR(IF(H$4="",0,IF($E15="kWh",VLOOKUP(H$4,'4. Billing Determinants'!$B$19:$P$41,4,0)/'4. Billing Determinants'!$E$41*$D15,IF($E15="kW",VLOOKUP(H$4,'4. Billing Determinants'!$B$19:$P$41,5,0)/'4. Billing Determinants'!$F$41*$D15,IF($E15="Non-RPP kWh",VLOOKUP(H$4,'4. Billing Determinants'!$B$19:$P$41,6,0)/'4. Billing Determinants'!$G$41*$D15,IF($E15="Distribution Rev.",VLOOKUP(H$4,'4. Billing Determinants'!$B$19:$P$41,8,0)/'4. Billing Determinants'!$I$41*$D15, VLOOKUP(H$4,'4. Billing Determinants'!$B$19:$P$41,3,0)/'4. Billing Determinants'!$D$41*$D15))))),0)</f>
        <v>7.8286464268175118E-3</v>
      </c>
      <c r="I15" s="70">
        <f>IFERROR(IF(I$4="",0,IF($E15="kWh",VLOOKUP(I$4,'4. Billing Determinants'!$B$19:$P$41,4,0)/'4. Billing Determinants'!$E$41*$D15,IF($E15="kW",VLOOKUP(I$4,'4. Billing Determinants'!$B$19:$P$41,5,0)/'4. Billing Determinants'!$F$41*$D15,IF($E15="Non-RPP kWh",VLOOKUP(I$4,'4. Billing Determinants'!$B$19:$P$41,6,0)/'4. Billing Determinants'!$G$41*$D15,IF($E15="Distribution Rev.",VLOOKUP(I$4,'4. Billing Determinants'!$B$19:$P$41,8,0)/'4. Billing Determinants'!$I$41*$D15, VLOOKUP(I$4,'4. Billing Determinants'!$B$19:$P$41,3,0)/'4. Billing Determinants'!$D$41*$D15))))),0)</f>
        <v>1.5421435603232643E-4</v>
      </c>
      <c r="J15" s="70">
        <f>IFERROR(IF(J$4="",0,IF($E15="kWh",VLOOKUP(J$4,'4. Billing Determinants'!$B$19:$P$41,4,0)/'4. Billing Determinants'!$E$41*$D15,IF($E15="kW",VLOOKUP(J$4,'4. Billing Determinants'!$B$19:$P$41,5,0)/'4. Billing Determinants'!$F$41*$D15,IF($E15="Non-RPP kWh",VLOOKUP(J$4,'4. Billing Determinants'!$B$19:$P$41,6,0)/'4. Billing Determinants'!$G$41*$D15,IF($E15="Distribution Rev.",VLOOKUP(J$4,'4. Billing Determinants'!$B$19:$P$41,8,0)/'4. Billing Determinants'!$I$41*$D15, VLOOKUP(J$4,'4. Billing Determinants'!$B$19:$P$41,3,0)/'4. Billing Determinants'!$D$41*$D15))))),0)</f>
        <v>3.0570728225231768E-3</v>
      </c>
      <c r="K15" s="70">
        <f>IFERROR(IF(K$4="",0,IF($E15="kWh",VLOOKUP(K$4,'4. Billing Determinants'!$B$19:$P$41,4,0)/'4. Billing Determinants'!$E$41*$D15,IF($E15="kW",VLOOKUP(K$4,'4. Billing Determinants'!$B$19:$P$41,5,0)/'4. Billing Determinants'!$F$41*$D15,IF($E15="Non-RPP kWh",VLOOKUP(K$4,'4. Billing Determinants'!$B$19:$P$41,6,0)/'4. Billing Determinants'!$G$41*$D15,IF($E15="Distribution Rev.",VLOOKUP(K$4,'4. Billing Determinants'!$B$19:$P$41,8,0)/'4. Billing Determinants'!$I$41*$D15, VLOOKUP(K$4,'4. Billing Determinants'!$B$19:$P$41,3,0)/'4. Billing Determinants'!$D$41*$D15))))),0)</f>
        <v>4.5357163538919534E-5</v>
      </c>
      <c r="L15" s="70">
        <f>IFERROR(IF(L$4="",0,IF($E15="kWh",VLOOKUP(L$4,'4. Billing Determinants'!$B$19:$P$41,4,0)/'4. Billing Determinants'!$E$41*$D15,IF($E15="kW",VLOOKUP(L$4,'4. Billing Determinants'!$B$19:$P$41,5,0)/'4. Billing Determinants'!$F$41*$D15,IF($E15="Non-RPP kWh",VLOOKUP(L$4,'4. Billing Determinants'!$B$19:$P$41,6,0)/'4. Billing Determinants'!$G$41*$D15,IF($E15="Distribution Rev.",VLOOKUP(L$4,'4. Billing Determinants'!$B$19:$P$41,8,0)/'4. Billing Determinants'!$I$41*$D15, VLOOKUP(L$4,'4. Billing Determinants'!$B$19:$P$41,3,0)/'4. Billing Determinants'!$D$41*$D15))))),0)</f>
        <v>0</v>
      </c>
      <c r="M15" s="70">
        <f>IFERROR(IF(M$4="",0,IF($E15="kWh",VLOOKUP(M$4,'4. Billing Determinants'!$B$19:$P$41,4,0)/'4. Billing Determinants'!$E$41*$D15,IF($E15="kW",VLOOKUP(M$4,'4. Billing Determinants'!$B$19:$P$41,5,0)/'4. Billing Determinants'!$F$41*$D15,IF($E15="Non-RPP kWh",VLOOKUP(M$4,'4. Billing Determinants'!$B$19:$P$41,6,0)/'4. Billing Determinants'!$G$41*$D15,IF($E15="Distribution Rev.",VLOOKUP(M$4,'4. Billing Determinants'!$B$19:$P$41,8,0)/'4. Billing Determinants'!$I$41*$D15, VLOOKUP(M$4,'4. Billing Determinants'!$B$19:$P$41,3,0)/'4. Billing Determinants'!$D$41*$D15))))),0)</f>
        <v>0</v>
      </c>
      <c r="N15" s="70">
        <f>IFERROR(IF(N$4="",0,IF($E15="kWh",VLOOKUP(N$4,'4. Billing Determinants'!$B$19:$P$41,4,0)/'4. Billing Determinants'!$E$41*$D15,IF($E15="kW",VLOOKUP(N$4,'4. Billing Determinants'!$B$19:$P$41,5,0)/'4. Billing Determinants'!$F$41*$D15,IF($E15="Non-RPP kWh",VLOOKUP(N$4,'4. Billing Determinants'!$B$19:$P$41,6,0)/'4. Billing Determinants'!$G$41*$D15,IF($E15="Distribution Rev.",VLOOKUP(N$4,'4. Billing Determinants'!$B$19:$P$41,8,0)/'4. Billing Determinants'!$I$41*$D15, VLOOKUP(N$4,'4. Billing Determinants'!$B$19:$P$41,3,0)/'4. Billing Determinants'!$D$41*$D15))))),0)</f>
        <v>0</v>
      </c>
      <c r="O15" s="70">
        <f>IFERROR(IF(O$4="",0,IF($E15="kWh",VLOOKUP(O$4,'4. Billing Determinants'!$B$19:$P$41,4,0)/'4. Billing Determinants'!$E$41*$D15,IF($E15="kW",VLOOKUP(O$4,'4. Billing Determinants'!$B$19:$P$41,5,0)/'4. Billing Determinants'!$F$41*$D15,IF($E15="Non-RPP kWh",VLOOKUP(O$4,'4. Billing Determinants'!$B$19:$P$41,6,0)/'4. Billing Determinants'!$G$41*$D15,IF($E15="Distribution Rev.",VLOOKUP(O$4,'4. Billing Determinants'!$B$19:$P$41,8,0)/'4. Billing Determinants'!$I$41*$D15, VLOOKUP(O$4,'4. Billing Determinants'!$B$19:$P$41,3,0)/'4. Billing Determinants'!$D$41*$D15))))),0)</f>
        <v>0</v>
      </c>
      <c r="P15" s="70">
        <f>IFERROR(IF(P$4="",0,IF($E15="kWh",VLOOKUP(P$4,'4. Billing Determinants'!$B$19:$P$41,4,0)/'4. Billing Determinants'!$E$41*$D15,IF($E15="kW",VLOOKUP(P$4,'4. Billing Determinants'!$B$19:$P$41,5,0)/'4. Billing Determinants'!$F$41*$D15,IF($E15="Non-RPP kWh",VLOOKUP(P$4,'4. Billing Determinants'!$B$19:$P$41,6,0)/'4. Billing Determinants'!$G$41*$D15,IF($E15="Distribution Rev.",VLOOKUP(P$4,'4. Billing Determinants'!$B$19:$P$41,8,0)/'4. Billing Determinants'!$I$41*$D15, VLOOKUP(P$4,'4. Billing Determinants'!$B$19:$P$41,3,0)/'4. Billing Determinants'!$D$41*$D15))))),0)</f>
        <v>0</v>
      </c>
      <c r="Q15" s="70">
        <f>IFERROR(IF(Q$4="",0,IF($E15="kWh",VLOOKUP(Q$4,'4. Billing Determinants'!$B$19:$P$41,4,0)/'4. Billing Determinants'!$E$41*$D15,IF($E15="kW",VLOOKUP(Q$4,'4. Billing Determinants'!$B$19:$P$41,5,0)/'4. Billing Determinants'!$F$41*$D15,IF($E15="Non-RPP kWh",VLOOKUP(Q$4,'4. Billing Determinants'!$B$19:$P$41,6,0)/'4. Billing Determinants'!$G$41*$D15,IF($E15="Distribution Rev.",VLOOKUP(Q$4,'4. Billing Determinants'!$B$19:$P$41,8,0)/'4. Billing Determinants'!$I$41*$D15, VLOOKUP(Q$4,'4. Billing Determinants'!$B$19:$P$41,3,0)/'4. Billing Determinants'!$D$41*$D15))))),0)</f>
        <v>0</v>
      </c>
      <c r="R15" s="70">
        <f>IFERROR(IF(R$4="",0,IF($E15="kWh",VLOOKUP(R$4,'4. Billing Determinants'!$B$19:$P$41,4,0)/'4. Billing Determinants'!$E$41*$D15,IF($E15="kW",VLOOKUP(R$4,'4. Billing Determinants'!$B$19:$P$41,5,0)/'4. Billing Determinants'!$F$41*$D15,IF($E15="Non-RPP kWh",VLOOKUP(R$4,'4. Billing Determinants'!$B$19:$P$41,6,0)/'4. Billing Determinants'!$G$41*$D15,IF($E15="Distribution Rev.",VLOOKUP(R$4,'4. Billing Determinants'!$B$19:$P$41,8,0)/'4. Billing Determinants'!$I$41*$D15, VLOOKUP(R$4,'4. Billing Determinants'!$B$19:$P$41,3,0)/'4. Billing Determinants'!$D$41*$D15))))),0)</f>
        <v>0</v>
      </c>
      <c r="S15" s="70">
        <f>IFERROR(IF(S$4="",0,IF($E15="kWh",VLOOKUP(S$4,'4. Billing Determinants'!$B$19:$P$41,4,0)/'4. Billing Determinants'!$E$41*$D15,IF($E15="kW",VLOOKUP(S$4,'4. Billing Determinants'!$B$19:$P$41,5,0)/'4. Billing Determinants'!$F$41*$D15,IF($E15="Non-RPP kWh",VLOOKUP(S$4,'4. Billing Determinants'!$B$19:$P$41,6,0)/'4. Billing Determinants'!$G$41*$D15,IF($E15="Distribution Rev.",VLOOKUP(S$4,'4. Billing Determinants'!$B$19:$P$41,8,0)/'4. Billing Determinants'!$I$41*$D15, VLOOKUP(S$4,'4. Billing Determinants'!$B$19:$P$41,3,0)/'4. Billing Determinants'!$D$41*$D15))))),0)</f>
        <v>0</v>
      </c>
      <c r="T15" s="70">
        <f>IFERROR(IF(T$4="",0,IF($E15="kWh",VLOOKUP(T$4,'4. Billing Determinants'!$B$19:$P$41,4,0)/'4. Billing Determinants'!$E$41*$D15,IF($E15="kW",VLOOKUP(T$4,'4. Billing Determinants'!$B$19:$P$41,5,0)/'4. Billing Determinants'!$F$41*$D15,IF($E15="Non-RPP kWh",VLOOKUP(T$4,'4. Billing Determinants'!$B$19:$P$41,6,0)/'4. Billing Determinants'!$G$41*$D15,IF($E15="Distribution Rev.",VLOOKUP(T$4,'4. Billing Determinants'!$B$19:$P$41,8,0)/'4. Billing Determinants'!$I$41*$D15, VLOOKUP(T$4,'4. Billing Determinants'!$B$19:$P$41,3,0)/'4. Billing Determinants'!$D$41*$D15))))),0)</f>
        <v>0</v>
      </c>
      <c r="U15" s="70">
        <f>IFERROR(IF(U$4="",0,IF($E15="kWh",VLOOKUP(U$4,'4. Billing Determinants'!$B$19:$P$41,4,0)/'4. Billing Determinants'!$E$41*$D15,IF($E15="kW",VLOOKUP(U$4,'4. Billing Determinants'!$B$19:$P$41,5,0)/'4. Billing Determinants'!$F$41*$D15,IF($E15="Non-RPP kWh",VLOOKUP(U$4,'4. Billing Determinants'!$B$19:$P$41,6,0)/'4. Billing Determinants'!$G$41*$D15,IF($E15="Distribution Rev.",VLOOKUP(U$4,'4. Billing Determinants'!$B$19:$P$41,8,0)/'4. Billing Determinants'!$I$41*$D15, VLOOKUP(U$4,'4. Billing Determinants'!$B$19:$P$41,3,0)/'4. Billing Determinants'!$D$41*$D15))))),0)</f>
        <v>0</v>
      </c>
      <c r="V15" s="70">
        <f>IFERROR(IF(V$4="",0,IF($E15="kWh",VLOOKUP(V$4,'4. Billing Determinants'!$B$19:$P$41,4,0)/'4. Billing Determinants'!$E$41*$D15,IF($E15="kW",VLOOKUP(V$4,'4. Billing Determinants'!$B$19:$P$41,5,0)/'4. Billing Determinants'!$F$41*$D15,IF($E15="Non-RPP kWh",VLOOKUP(V$4,'4. Billing Determinants'!$B$19:$P$41,6,0)/'4. Billing Determinants'!$G$41*$D15,IF($E15="Distribution Rev.",VLOOKUP(V$4,'4. Billing Determinants'!$B$19:$P$41,8,0)/'4. Billing Determinants'!$I$41*$D15, VLOOKUP(V$4,'4. Billing Determinants'!$B$19:$P$41,3,0)/'4. Billing Determinants'!$D$41*$D15))))),0)</f>
        <v>0</v>
      </c>
      <c r="W15" s="70">
        <f>IFERROR(IF(W$4="",0,IF($E15="kWh",VLOOKUP(W$4,'4. Billing Determinants'!$B$19:$P$41,4,0)/'4. Billing Determinants'!$E$41*$D15,IF($E15="kW",VLOOKUP(W$4,'4. Billing Determinants'!$B$19:$P$41,5,0)/'4. Billing Determinants'!$F$41*$D15,IF($E15="Non-RPP kWh",VLOOKUP(W$4,'4. Billing Determinants'!$B$19:$P$41,6,0)/'4. Billing Determinants'!$G$41*$D15,IF($E15="Distribution Rev.",VLOOKUP(W$4,'4. Billing Determinants'!$B$19:$P$41,8,0)/'4. Billing Determinants'!$I$41*$D15, VLOOKUP(W$4,'4. Billing Determinants'!$B$19:$P$41,3,0)/'4. Billing Determinants'!$D$41*$D15))))),0)</f>
        <v>0</v>
      </c>
      <c r="X15" s="70">
        <f>IFERROR(IF(X$4="",0,IF($E15="kWh",VLOOKUP(X$4,'4. Billing Determinants'!$B$19:$P$41,4,0)/'4. Billing Determinants'!$E$41*$D15,IF($E15="kW",VLOOKUP(X$4,'4. Billing Determinants'!$B$19:$P$41,5,0)/'4. Billing Determinants'!$F$41*$D15,IF($E15="Non-RPP kWh",VLOOKUP(X$4,'4. Billing Determinants'!$B$19:$P$41,6,0)/'4. Billing Determinants'!$G$41*$D15,IF($E15="Distribution Rev.",VLOOKUP(X$4,'4. Billing Determinants'!$B$19:$P$41,8,0)/'4. Billing Determinants'!$I$41*$D15, VLOOKUP(X$4,'4. Billing Determinants'!$B$19:$P$41,3,0)/'4. Billing Determinants'!$D$41*$D15))))),0)</f>
        <v>0</v>
      </c>
      <c r="Y15" s="70">
        <f>IFERROR(IF(Y$4="",0,IF($E15="kWh",VLOOKUP(Y$4,'4. Billing Determinants'!$B$19:$P$41,4,0)/'4. Billing Determinants'!$E$41*$D15,IF($E15="kW",VLOOKUP(Y$4,'4. Billing Determinants'!$B$19:$P$41,5,0)/'4. Billing Determinants'!$F$41*$D15,IF($E15="Non-RPP kWh",VLOOKUP(Y$4,'4. Billing Determinants'!$B$19:$P$41,6,0)/'4. Billing Determinants'!$G$41*$D15,IF($E15="Distribution Rev.",VLOOKUP(Y$4,'4. Billing Determinants'!$B$19:$P$41,8,0)/'4. Billing Determinants'!$I$41*$D15, VLOOKUP(Y$4,'4. Billing Determinants'!$B$19:$P$41,3,0)/'4. Billing Determinants'!$D$41*$D15))))),0)</f>
        <v>0</v>
      </c>
    </row>
    <row r="16" spans="2:25" x14ac:dyDescent="0.2">
      <c r="B16" s="72" t="s">
        <v>274</v>
      </c>
      <c r="C16" s="69">
        <v>1595</v>
      </c>
      <c r="D16" s="70">
        <f>'2. 2014 Continuity Schedule'!BO35</f>
        <v>0</v>
      </c>
      <c r="E16" s="130"/>
      <c r="F16" s="70">
        <f>IFERROR(IF(F$4="",0,IF($E16="kWh",VLOOKUP(F$4,'4. Billing Determinants'!$B$19:$P$41,4,0)/'4. Billing Determinants'!$E$41*$D16,IF($E16="kW",VLOOKUP(F$4,'4. Billing Determinants'!$B$19:$P$41,5,0)/'4. Billing Determinants'!$F$41*$D16,IF($E16="Non-RPP kWh",VLOOKUP(F$4,'4. Billing Determinants'!$B$19:$P$41,6,0)/'4. Billing Determinants'!$G$41*$D16,IF($E16="Distribution Rev.",VLOOKUP(F$4,'4. Billing Determinants'!$B$19:$P$41,8,0)/'4. Billing Determinants'!$I$41*$D16, VLOOKUP(F$4,'4. Billing Determinants'!$B$19:$P$41,3,0)/'4. Billing Determinants'!$D$41*$D16))))),0)</f>
        <v>0</v>
      </c>
      <c r="G16" s="70">
        <f>IFERROR(IF(G$4="",0,IF($E16="kWh",VLOOKUP(G$4,'4. Billing Determinants'!$B$19:$P$41,4,0)/'4. Billing Determinants'!$E$41*$D16,IF($E16="kW",VLOOKUP(G$4,'4. Billing Determinants'!$B$19:$P$41,5,0)/'4. Billing Determinants'!$F$41*$D16,IF($E16="Non-RPP kWh",VLOOKUP(G$4,'4. Billing Determinants'!$B$19:$P$41,6,0)/'4. Billing Determinants'!$G$41*$D16,IF($E16="Distribution Rev.",VLOOKUP(G$4,'4. Billing Determinants'!$B$19:$P$41,8,0)/'4. Billing Determinants'!$I$41*$D16, VLOOKUP(G$4,'4. Billing Determinants'!$B$19:$P$41,3,0)/'4. Billing Determinants'!$D$41*$D16))))),0)</f>
        <v>0</v>
      </c>
      <c r="H16" s="70">
        <f>IFERROR(IF(H$4="",0,IF($E16="kWh",VLOOKUP(H$4,'4. Billing Determinants'!$B$19:$P$41,4,0)/'4. Billing Determinants'!$E$41*$D16,IF($E16="kW",VLOOKUP(H$4,'4. Billing Determinants'!$B$19:$P$41,5,0)/'4. Billing Determinants'!$F$41*$D16,IF($E16="Non-RPP kWh",VLOOKUP(H$4,'4. Billing Determinants'!$B$19:$P$41,6,0)/'4. Billing Determinants'!$G$41*$D16,IF($E16="Distribution Rev.",VLOOKUP(H$4,'4. Billing Determinants'!$B$19:$P$41,8,0)/'4. Billing Determinants'!$I$41*$D16, VLOOKUP(H$4,'4. Billing Determinants'!$B$19:$P$41,3,0)/'4. Billing Determinants'!$D$41*$D16))))),0)</f>
        <v>0</v>
      </c>
      <c r="I16" s="70">
        <f>IFERROR(IF(I$4="",0,IF($E16="kWh",VLOOKUP(I$4,'4. Billing Determinants'!$B$19:$P$41,4,0)/'4. Billing Determinants'!$E$41*$D16,IF($E16="kW",VLOOKUP(I$4,'4. Billing Determinants'!$B$19:$P$41,5,0)/'4. Billing Determinants'!$F$41*$D16,IF($E16="Non-RPP kWh",VLOOKUP(I$4,'4. Billing Determinants'!$B$19:$P$41,6,0)/'4. Billing Determinants'!$G$41*$D16,IF($E16="Distribution Rev.",VLOOKUP(I$4,'4. Billing Determinants'!$B$19:$P$41,8,0)/'4. Billing Determinants'!$I$41*$D16, VLOOKUP(I$4,'4. Billing Determinants'!$B$19:$P$41,3,0)/'4. Billing Determinants'!$D$41*$D16))))),0)</f>
        <v>0</v>
      </c>
      <c r="J16" s="70">
        <f>IFERROR(IF(J$4="",0,IF($E16="kWh",VLOOKUP(J$4,'4. Billing Determinants'!$B$19:$P$41,4,0)/'4. Billing Determinants'!$E$41*$D16,IF($E16="kW",VLOOKUP(J$4,'4. Billing Determinants'!$B$19:$P$41,5,0)/'4. Billing Determinants'!$F$41*$D16,IF($E16="Non-RPP kWh",VLOOKUP(J$4,'4. Billing Determinants'!$B$19:$P$41,6,0)/'4. Billing Determinants'!$G$41*$D16,IF($E16="Distribution Rev.",VLOOKUP(J$4,'4. Billing Determinants'!$B$19:$P$41,8,0)/'4. Billing Determinants'!$I$41*$D16, VLOOKUP(J$4,'4. Billing Determinants'!$B$19:$P$41,3,0)/'4. Billing Determinants'!$D$41*$D16))))),0)</f>
        <v>0</v>
      </c>
      <c r="K16" s="70">
        <f>IFERROR(IF(K$4="",0,IF($E16="kWh",VLOOKUP(K$4,'4. Billing Determinants'!$B$19:$P$41,4,0)/'4. Billing Determinants'!$E$41*$D16,IF($E16="kW",VLOOKUP(K$4,'4. Billing Determinants'!$B$19:$P$41,5,0)/'4. Billing Determinants'!$F$41*$D16,IF($E16="Non-RPP kWh",VLOOKUP(K$4,'4. Billing Determinants'!$B$19:$P$41,6,0)/'4. Billing Determinants'!$G$41*$D16,IF($E16="Distribution Rev.",VLOOKUP(K$4,'4. Billing Determinants'!$B$19:$P$41,8,0)/'4. Billing Determinants'!$I$41*$D16, VLOOKUP(K$4,'4. Billing Determinants'!$B$19:$P$41,3,0)/'4. Billing Determinants'!$D$41*$D16))))),0)</f>
        <v>0</v>
      </c>
      <c r="L16" s="70">
        <f>IFERROR(IF(L$4="",0,IF($E16="kWh",VLOOKUP(L$4,'4. Billing Determinants'!$B$19:$P$41,4,0)/'4. Billing Determinants'!$E$41*$D16,IF($E16="kW",VLOOKUP(L$4,'4. Billing Determinants'!$B$19:$P$41,5,0)/'4. Billing Determinants'!$F$41*$D16,IF($E16="Non-RPP kWh",VLOOKUP(L$4,'4. Billing Determinants'!$B$19:$P$41,6,0)/'4. Billing Determinants'!$G$41*$D16,IF($E16="Distribution Rev.",VLOOKUP(L$4,'4. Billing Determinants'!$B$19:$P$41,8,0)/'4. Billing Determinants'!$I$41*$D16, VLOOKUP(L$4,'4. Billing Determinants'!$B$19:$P$41,3,0)/'4. Billing Determinants'!$D$41*$D16))))),0)</f>
        <v>0</v>
      </c>
      <c r="M16" s="70">
        <f>IFERROR(IF(M$4="",0,IF($E16="kWh",VLOOKUP(M$4,'4. Billing Determinants'!$B$19:$P$41,4,0)/'4. Billing Determinants'!$E$41*$D16,IF($E16="kW",VLOOKUP(M$4,'4. Billing Determinants'!$B$19:$P$41,5,0)/'4. Billing Determinants'!$F$41*$D16,IF($E16="Non-RPP kWh",VLOOKUP(M$4,'4. Billing Determinants'!$B$19:$P$41,6,0)/'4. Billing Determinants'!$G$41*$D16,IF($E16="Distribution Rev.",VLOOKUP(M$4,'4. Billing Determinants'!$B$19:$P$41,8,0)/'4. Billing Determinants'!$I$41*$D16, VLOOKUP(M$4,'4. Billing Determinants'!$B$19:$P$41,3,0)/'4. Billing Determinants'!$D$41*$D16))))),0)</f>
        <v>0</v>
      </c>
      <c r="N16" s="70">
        <f>IFERROR(IF(N$4="",0,IF($E16="kWh",VLOOKUP(N$4,'4. Billing Determinants'!$B$19:$P$41,4,0)/'4. Billing Determinants'!$E$41*$D16,IF($E16="kW",VLOOKUP(N$4,'4. Billing Determinants'!$B$19:$P$41,5,0)/'4. Billing Determinants'!$F$41*$D16,IF($E16="Non-RPP kWh",VLOOKUP(N$4,'4. Billing Determinants'!$B$19:$P$41,6,0)/'4. Billing Determinants'!$G$41*$D16,IF($E16="Distribution Rev.",VLOOKUP(N$4,'4. Billing Determinants'!$B$19:$P$41,8,0)/'4. Billing Determinants'!$I$41*$D16, VLOOKUP(N$4,'4. Billing Determinants'!$B$19:$P$41,3,0)/'4. Billing Determinants'!$D$41*$D16))))),0)</f>
        <v>0</v>
      </c>
      <c r="O16" s="70">
        <f>IFERROR(IF(O$4="",0,IF($E16="kWh",VLOOKUP(O$4,'4. Billing Determinants'!$B$19:$P$41,4,0)/'4. Billing Determinants'!$E$41*$D16,IF($E16="kW",VLOOKUP(O$4,'4. Billing Determinants'!$B$19:$P$41,5,0)/'4. Billing Determinants'!$F$41*$D16,IF($E16="Non-RPP kWh",VLOOKUP(O$4,'4. Billing Determinants'!$B$19:$P$41,6,0)/'4. Billing Determinants'!$G$41*$D16,IF($E16="Distribution Rev.",VLOOKUP(O$4,'4. Billing Determinants'!$B$19:$P$41,8,0)/'4. Billing Determinants'!$I$41*$D16, VLOOKUP(O$4,'4. Billing Determinants'!$B$19:$P$41,3,0)/'4. Billing Determinants'!$D$41*$D16))))),0)</f>
        <v>0</v>
      </c>
      <c r="P16" s="70">
        <f>IFERROR(IF(P$4="",0,IF($E16="kWh",VLOOKUP(P$4,'4. Billing Determinants'!$B$19:$P$41,4,0)/'4. Billing Determinants'!$E$41*$D16,IF($E16="kW",VLOOKUP(P$4,'4. Billing Determinants'!$B$19:$P$41,5,0)/'4. Billing Determinants'!$F$41*$D16,IF($E16="Non-RPP kWh",VLOOKUP(P$4,'4. Billing Determinants'!$B$19:$P$41,6,0)/'4. Billing Determinants'!$G$41*$D16,IF($E16="Distribution Rev.",VLOOKUP(P$4,'4. Billing Determinants'!$B$19:$P$41,8,0)/'4. Billing Determinants'!$I$41*$D16, VLOOKUP(P$4,'4. Billing Determinants'!$B$19:$P$41,3,0)/'4. Billing Determinants'!$D$41*$D16))))),0)</f>
        <v>0</v>
      </c>
      <c r="Q16" s="70">
        <f>IFERROR(IF(Q$4="",0,IF($E16="kWh",VLOOKUP(Q$4,'4. Billing Determinants'!$B$19:$P$41,4,0)/'4. Billing Determinants'!$E$41*$D16,IF($E16="kW",VLOOKUP(Q$4,'4. Billing Determinants'!$B$19:$P$41,5,0)/'4. Billing Determinants'!$F$41*$D16,IF($E16="Non-RPP kWh",VLOOKUP(Q$4,'4. Billing Determinants'!$B$19:$P$41,6,0)/'4. Billing Determinants'!$G$41*$D16,IF($E16="Distribution Rev.",VLOOKUP(Q$4,'4. Billing Determinants'!$B$19:$P$41,8,0)/'4. Billing Determinants'!$I$41*$D16, VLOOKUP(Q$4,'4. Billing Determinants'!$B$19:$P$41,3,0)/'4. Billing Determinants'!$D$41*$D16))))),0)</f>
        <v>0</v>
      </c>
      <c r="R16" s="70">
        <f>IFERROR(IF(R$4="",0,IF($E16="kWh",VLOOKUP(R$4,'4. Billing Determinants'!$B$19:$P$41,4,0)/'4. Billing Determinants'!$E$41*$D16,IF($E16="kW",VLOOKUP(R$4,'4. Billing Determinants'!$B$19:$P$41,5,0)/'4. Billing Determinants'!$F$41*$D16,IF($E16="Non-RPP kWh",VLOOKUP(R$4,'4. Billing Determinants'!$B$19:$P$41,6,0)/'4. Billing Determinants'!$G$41*$D16,IF($E16="Distribution Rev.",VLOOKUP(R$4,'4. Billing Determinants'!$B$19:$P$41,8,0)/'4. Billing Determinants'!$I$41*$D16, VLOOKUP(R$4,'4. Billing Determinants'!$B$19:$P$41,3,0)/'4. Billing Determinants'!$D$41*$D16))))),0)</f>
        <v>0</v>
      </c>
      <c r="S16" s="70">
        <f>IFERROR(IF(S$4="",0,IF($E16="kWh",VLOOKUP(S$4,'4. Billing Determinants'!$B$19:$P$41,4,0)/'4. Billing Determinants'!$E$41*$D16,IF($E16="kW",VLOOKUP(S$4,'4. Billing Determinants'!$B$19:$P$41,5,0)/'4. Billing Determinants'!$F$41*$D16,IF($E16="Non-RPP kWh",VLOOKUP(S$4,'4. Billing Determinants'!$B$19:$P$41,6,0)/'4. Billing Determinants'!$G$41*$D16,IF($E16="Distribution Rev.",VLOOKUP(S$4,'4. Billing Determinants'!$B$19:$P$41,8,0)/'4. Billing Determinants'!$I$41*$D16, VLOOKUP(S$4,'4. Billing Determinants'!$B$19:$P$41,3,0)/'4. Billing Determinants'!$D$41*$D16))))),0)</f>
        <v>0</v>
      </c>
      <c r="T16" s="70">
        <f>IFERROR(IF(T$4="",0,IF($E16="kWh",VLOOKUP(T$4,'4. Billing Determinants'!$B$19:$P$41,4,0)/'4. Billing Determinants'!$E$41*$D16,IF($E16="kW",VLOOKUP(T$4,'4. Billing Determinants'!$B$19:$P$41,5,0)/'4. Billing Determinants'!$F$41*$D16,IF($E16="Non-RPP kWh",VLOOKUP(T$4,'4. Billing Determinants'!$B$19:$P$41,6,0)/'4. Billing Determinants'!$G$41*$D16,IF($E16="Distribution Rev.",VLOOKUP(T$4,'4. Billing Determinants'!$B$19:$P$41,8,0)/'4. Billing Determinants'!$I$41*$D16, VLOOKUP(T$4,'4. Billing Determinants'!$B$19:$P$41,3,0)/'4. Billing Determinants'!$D$41*$D16))))),0)</f>
        <v>0</v>
      </c>
      <c r="U16" s="70">
        <f>IFERROR(IF(U$4="",0,IF($E16="kWh",VLOOKUP(U$4,'4. Billing Determinants'!$B$19:$P$41,4,0)/'4. Billing Determinants'!$E$41*$D16,IF($E16="kW",VLOOKUP(U$4,'4. Billing Determinants'!$B$19:$P$41,5,0)/'4. Billing Determinants'!$F$41*$D16,IF($E16="Non-RPP kWh",VLOOKUP(U$4,'4. Billing Determinants'!$B$19:$P$41,6,0)/'4. Billing Determinants'!$G$41*$D16,IF($E16="Distribution Rev.",VLOOKUP(U$4,'4. Billing Determinants'!$B$19:$P$41,8,0)/'4. Billing Determinants'!$I$41*$D16, VLOOKUP(U$4,'4. Billing Determinants'!$B$19:$P$41,3,0)/'4. Billing Determinants'!$D$41*$D16))))),0)</f>
        <v>0</v>
      </c>
      <c r="V16" s="70">
        <f>IFERROR(IF(V$4="",0,IF($E16="kWh",VLOOKUP(V$4,'4. Billing Determinants'!$B$19:$P$41,4,0)/'4. Billing Determinants'!$E$41*$D16,IF($E16="kW",VLOOKUP(V$4,'4. Billing Determinants'!$B$19:$P$41,5,0)/'4. Billing Determinants'!$F$41*$D16,IF($E16="Non-RPP kWh",VLOOKUP(V$4,'4. Billing Determinants'!$B$19:$P$41,6,0)/'4. Billing Determinants'!$G$41*$D16,IF($E16="Distribution Rev.",VLOOKUP(V$4,'4. Billing Determinants'!$B$19:$P$41,8,0)/'4. Billing Determinants'!$I$41*$D16, VLOOKUP(V$4,'4. Billing Determinants'!$B$19:$P$41,3,0)/'4. Billing Determinants'!$D$41*$D16))))),0)</f>
        <v>0</v>
      </c>
      <c r="W16" s="70">
        <f>IFERROR(IF(W$4="",0,IF($E16="kWh",VLOOKUP(W$4,'4. Billing Determinants'!$B$19:$P$41,4,0)/'4. Billing Determinants'!$E$41*$D16,IF($E16="kW",VLOOKUP(W$4,'4. Billing Determinants'!$B$19:$P$41,5,0)/'4. Billing Determinants'!$F$41*$D16,IF($E16="Non-RPP kWh",VLOOKUP(W$4,'4. Billing Determinants'!$B$19:$P$41,6,0)/'4. Billing Determinants'!$G$41*$D16,IF($E16="Distribution Rev.",VLOOKUP(W$4,'4. Billing Determinants'!$B$19:$P$41,8,0)/'4. Billing Determinants'!$I$41*$D16, VLOOKUP(W$4,'4. Billing Determinants'!$B$19:$P$41,3,0)/'4. Billing Determinants'!$D$41*$D16))))),0)</f>
        <v>0</v>
      </c>
      <c r="X16" s="70">
        <f>IFERROR(IF(X$4="",0,IF($E16="kWh",VLOOKUP(X$4,'4. Billing Determinants'!$B$19:$P$41,4,0)/'4. Billing Determinants'!$E$41*$D16,IF($E16="kW",VLOOKUP(X$4,'4. Billing Determinants'!$B$19:$P$41,5,0)/'4. Billing Determinants'!$F$41*$D16,IF($E16="Non-RPP kWh",VLOOKUP(X$4,'4. Billing Determinants'!$B$19:$P$41,6,0)/'4. Billing Determinants'!$G$41*$D16,IF($E16="Distribution Rev.",VLOOKUP(X$4,'4. Billing Determinants'!$B$19:$P$41,8,0)/'4. Billing Determinants'!$I$41*$D16, VLOOKUP(X$4,'4. Billing Determinants'!$B$19:$P$41,3,0)/'4. Billing Determinants'!$D$41*$D16))))),0)</f>
        <v>0</v>
      </c>
      <c r="Y16" s="70">
        <f>IFERROR(IF(Y$4="",0,IF($E16="kWh",VLOOKUP(Y$4,'4. Billing Determinants'!$B$19:$P$41,4,0)/'4. Billing Determinants'!$E$41*$D16,IF($E16="kW",VLOOKUP(Y$4,'4. Billing Determinants'!$B$19:$P$41,5,0)/'4. Billing Determinants'!$F$41*$D16,IF($E16="Non-RPP kWh",VLOOKUP(Y$4,'4. Billing Determinants'!$B$19:$P$41,6,0)/'4. Billing Determinants'!$G$41*$D16,IF($E16="Distribution Rev.",VLOOKUP(Y$4,'4. Billing Determinants'!$B$19:$P$41,8,0)/'4. Billing Determinants'!$I$41*$D16, VLOOKUP(Y$4,'4. Billing Determinants'!$B$19:$P$41,3,0)/'4. Billing Determinants'!$D$41*$D16))))),0)</f>
        <v>0</v>
      </c>
    </row>
    <row r="17" spans="2:25" s="57" customFormat="1" x14ac:dyDescent="0.2">
      <c r="B17" s="88" t="s">
        <v>148</v>
      </c>
      <c r="C17" s="88"/>
      <c r="D17" s="89">
        <f>SUM(D5:D16)-D11</f>
        <v>-1381324.1002719998</v>
      </c>
      <c r="E17" s="101"/>
      <c r="F17" s="89">
        <f>SUM(F5:F16)-F11</f>
        <v>-473687.71772681084</v>
      </c>
      <c r="G17" s="89">
        <f t="shared" ref="G17:Y17" si="0">SUM(G5:G16)-G11</f>
        <v>-142669.84587182084</v>
      </c>
      <c r="H17" s="89">
        <f t="shared" si="0"/>
        <v>-753640.39786188526</v>
      </c>
      <c r="I17" s="89">
        <f t="shared" si="0"/>
        <v>-2582.5783484667513</v>
      </c>
      <c r="J17" s="89">
        <f t="shared" si="0"/>
        <v>-305.16573966456707</v>
      </c>
      <c r="K17" s="89">
        <f t="shared" si="0"/>
        <v>-8438.3947233515555</v>
      </c>
      <c r="L17" s="89">
        <f t="shared" si="0"/>
        <v>0</v>
      </c>
      <c r="M17" s="89">
        <f t="shared" si="0"/>
        <v>0</v>
      </c>
      <c r="N17" s="89">
        <f t="shared" si="0"/>
        <v>0</v>
      </c>
      <c r="O17" s="89">
        <f t="shared" si="0"/>
        <v>0</v>
      </c>
      <c r="P17" s="89">
        <f t="shared" si="0"/>
        <v>0</v>
      </c>
      <c r="Q17" s="89">
        <f t="shared" si="0"/>
        <v>0</v>
      </c>
      <c r="R17" s="89">
        <f t="shared" si="0"/>
        <v>0</v>
      </c>
      <c r="S17" s="89">
        <f t="shared" si="0"/>
        <v>0</v>
      </c>
      <c r="T17" s="89">
        <f t="shared" si="0"/>
        <v>0</v>
      </c>
      <c r="U17" s="89">
        <f t="shared" si="0"/>
        <v>0</v>
      </c>
      <c r="V17" s="89">
        <f t="shared" si="0"/>
        <v>0</v>
      </c>
      <c r="W17" s="89">
        <f t="shared" si="0"/>
        <v>0</v>
      </c>
      <c r="X17" s="89">
        <f t="shared" si="0"/>
        <v>0</v>
      </c>
      <c r="Y17" s="89">
        <f t="shared" si="0"/>
        <v>0</v>
      </c>
    </row>
    <row r="18" spans="2:25" ht="8.4499999999999993" customHeight="1" x14ac:dyDescent="0.2">
      <c r="B18" s="73"/>
      <c r="C18" s="73"/>
      <c r="D18" s="74"/>
      <c r="E18" s="87"/>
    </row>
    <row r="19" spans="2:25" x14ac:dyDescent="0.2">
      <c r="B19" s="68" t="s">
        <v>44</v>
      </c>
      <c r="C19" s="69">
        <v>1508</v>
      </c>
      <c r="D19" s="70">
        <f>'2. 2014 Continuity Schedule'!BO42</f>
        <v>16991.555199999999</v>
      </c>
      <c r="E19" s="130" t="s">
        <v>297</v>
      </c>
      <c r="F19" s="70">
        <f>IFERROR(IF(F$4="",0,IF($E19="kWh",VLOOKUP(F$4,'4. Billing Determinants'!$B$19:$P$41,4,0)/'4. Billing Determinants'!$E$41*$D19,IF($E19="kW",VLOOKUP(F$4,'4. Billing Determinants'!$B$19:$P$41,5,0)/'4. Billing Determinants'!$F$41*$D19,IF($E19="Non-RPP kWh",VLOOKUP(F$4,'4. Billing Determinants'!$B$19:$P$41,6,0)/'4. Billing Determinants'!$G$41*$D19,IF($E19="Distribution Rev.",VLOOKUP(F$4,'4. Billing Determinants'!$B$19:$P$41,8,0)/'4. Billing Determinants'!$I$41*$D19, VLOOKUP(F$4,'4. Billing Determinants'!$B$19:$P$41,3,0)/'4. Billing Determinants'!$D$41*$D19))))),0)</f>
        <v>9543.5402406887897</v>
      </c>
      <c r="G19" s="70">
        <f>IFERROR(IF(G$4="",0,IF($E19="kWh",VLOOKUP(G$4,'4. Billing Determinants'!$B$19:$P$41,4,0)/'4. Billing Determinants'!$E$41*$D19,IF($E19="kW",VLOOKUP(G$4,'4. Billing Determinants'!$B$19:$P$41,5,0)/'4. Billing Determinants'!$F$41*$D19,IF($E19="Non-RPP kWh",VLOOKUP(G$4,'4. Billing Determinants'!$B$19:$P$41,6,0)/'4. Billing Determinants'!$G$41*$D19,IF($E19="Distribution Rev.",VLOOKUP(G$4,'4. Billing Determinants'!$B$19:$P$41,8,0)/'4. Billing Determinants'!$I$41*$D19, VLOOKUP(G$4,'4. Billing Determinants'!$B$19:$P$41,3,0)/'4. Billing Determinants'!$D$41*$D19))))),0)</f>
        <v>2088.4570362914483</v>
      </c>
      <c r="H19" s="70">
        <f>IFERROR(IF(H$4="",0,IF($E19="kWh",VLOOKUP(H$4,'4. Billing Determinants'!$B$19:$P$41,4,0)/'4. Billing Determinants'!$E$41*$D19,IF($E19="kW",VLOOKUP(H$4,'4. Billing Determinants'!$B$19:$P$41,5,0)/'4. Billing Determinants'!$F$41*$D19,IF($E19="Non-RPP kWh",VLOOKUP(H$4,'4. Billing Determinants'!$B$19:$P$41,6,0)/'4. Billing Determinants'!$G$41*$D19,IF($E19="Distribution Rev.",VLOOKUP(H$4,'4. Billing Determinants'!$B$19:$P$41,8,0)/'4. Billing Determinants'!$I$41*$D19, VLOOKUP(H$4,'4. Billing Determinants'!$B$19:$P$41,3,0)/'4. Billing Determinants'!$D$41*$D19))))),0)</f>
        <v>5145.3254584800261</v>
      </c>
      <c r="I19" s="70">
        <f>IFERROR(IF(I$4="",0,IF($E19="kWh",VLOOKUP(I$4,'4. Billing Determinants'!$B$19:$P$41,4,0)/'4. Billing Determinants'!$E$41*$D19,IF($E19="kW",VLOOKUP(I$4,'4. Billing Determinants'!$B$19:$P$41,5,0)/'4. Billing Determinants'!$F$41*$D19,IF($E19="Non-RPP kWh",VLOOKUP(I$4,'4. Billing Determinants'!$B$19:$P$41,6,0)/'4. Billing Determinants'!$G$41*$D19,IF($E19="Distribution Rev.",VLOOKUP(I$4,'4. Billing Determinants'!$B$19:$P$41,8,0)/'4. Billing Determinants'!$I$41*$D19, VLOOKUP(I$4,'4. Billing Determinants'!$B$19:$P$41,3,0)/'4. Billing Determinants'!$D$41*$D19))))),0)</f>
        <v>80.548943396944154</v>
      </c>
      <c r="J19" s="70">
        <f>IFERROR(IF(J$4="",0,IF($E19="kWh",VLOOKUP(J$4,'4. Billing Determinants'!$B$19:$P$41,4,0)/'4. Billing Determinants'!$E$41*$D19,IF($E19="kW",VLOOKUP(J$4,'4. Billing Determinants'!$B$19:$P$41,5,0)/'4. Billing Determinants'!$F$41*$D19,IF($E19="Non-RPP kWh",VLOOKUP(J$4,'4. Billing Determinants'!$B$19:$P$41,6,0)/'4. Billing Determinants'!$G$41*$D19,IF($E19="Distribution Rev.",VLOOKUP(J$4,'4. Billing Determinants'!$B$19:$P$41,8,0)/'4. Billing Determinants'!$I$41*$D19, VLOOKUP(J$4,'4. Billing Determinants'!$B$19:$P$41,3,0)/'4. Billing Determinants'!$D$41*$D19))))),0)</f>
        <v>31.225765480669029</v>
      </c>
      <c r="K19" s="70">
        <f>IFERROR(IF(K$4="",0,IF($E19="kWh",VLOOKUP(K$4,'4. Billing Determinants'!$B$19:$P$41,4,0)/'4. Billing Determinants'!$E$41*$D19,IF($E19="kW",VLOOKUP(K$4,'4. Billing Determinants'!$B$19:$P$41,5,0)/'4. Billing Determinants'!$F$41*$D19,IF($E19="Non-RPP kWh",VLOOKUP(K$4,'4. Billing Determinants'!$B$19:$P$41,6,0)/'4. Billing Determinants'!$G$41*$D19,IF($E19="Distribution Rev.",VLOOKUP(K$4,'4. Billing Determinants'!$B$19:$P$41,8,0)/'4. Billing Determinants'!$I$41*$D19, VLOOKUP(K$4,'4. Billing Determinants'!$B$19:$P$41,3,0)/'4. Billing Determinants'!$D$41*$D19))))),0)</f>
        <v>102.45775566212168</v>
      </c>
      <c r="L19" s="70">
        <f>IFERROR(IF(L$4="",0,IF($E19="kWh",VLOOKUP(L$4,'4. Billing Determinants'!$B$19:$P$41,4,0)/'4. Billing Determinants'!$E$41*$D19,IF($E19="kW",VLOOKUP(L$4,'4. Billing Determinants'!$B$19:$P$41,5,0)/'4. Billing Determinants'!$F$41*$D19,IF($E19="Non-RPP kWh",VLOOKUP(L$4,'4. Billing Determinants'!$B$19:$P$41,6,0)/'4. Billing Determinants'!$G$41*$D19,IF($E19="Distribution Rev.",VLOOKUP(L$4,'4. Billing Determinants'!$B$19:$P$41,8,0)/'4. Billing Determinants'!$I$41*$D19, VLOOKUP(L$4,'4. Billing Determinants'!$B$19:$P$41,3,0)/'4. Billing Determinants'!$D$41*$D19))))),0)</f>
        <v>0</v>
      </c>
      <c r="M19" s="70">
        <f>IFERROR(IF(M$4="",0,IF($E19="kWh",VLOOKUP(M$4,'4. Billing Determinants'!$B$19:$P$41,4,0)/'4. Billing Determinants'!$E$41*$D19,IF($E19="kW",VLOOKUP(M$4,'4. Billing Determinants'!$B$19:$P$41,5,0)/'4. Billing Determinants'!$F$41*$D19,IF($E19="Non-RPP kWh",VLOOKUP(M$4,'4. Billing Determinants'!$B$19:$P$41,6,0)/'4. Billing Determinants'!$G$41*$D19,IF($E19="Distribution Rev.",VLOOKUP(M$4,'4. Billing Determinants'!$B$19:$P$41,8,0)/'4. Billing Determinants'!$I$41*$D19, VLOOKUP(M$4,'4. Billing Determinants'!$B$19:$P$41,3,0)/'4. Billing Determinants'!$D$41*$D19))))),0)</f>
        <v>0</v>
      </c>
      <c r="N19" s="70">
        <f>IFERROR(IF(N$4="",0,IF($E19="kWh",VLOOKUP(N$4,'4. Billing Determinants'!$B$19:$P$41,4,0)/'4. Billing Determinants'!$E$41*$D19,IF($E19="kW",VLOOKUP(N$4,'4. Billing Determinants'!$B$19:$P$41,5,0)/'4. Billing Determinants'!$F$41*$D19,IF($E19="Non-RPP kWh",VLOOKUP(N$4,'4. Billing Determinants'!$B$19:$P$41,6,0)/'4. Billing Determinants'!$G$41*$D19,IF($E19="Distribution Rev.",VLOOKUP(N$4,'4. Billing Determinants'!$B$19:$P$41,8,0)/'4. Billing Determinants'!$I$41*$D19, VLOOKUP(N$4,'4. Billing Determinants'!$B$19:$P$41,3,0)/'4. Billing Determinants'!$D$41*$D19))))),0)</f>
        <v>0</v>
      </c>
      <c r="O19" s="70">
        <f>IFERROR(IF(O$4="",0,IF($E19="kWh",VLOOKUP(O$4,'4. Billing Determinants'!$B$19:$P$41,4,0)/'4. Billing Determinants'!$E$41*$D19,IF($E19="kW",VLOOKUP(O$4,'4. Billing Determinants'!$B$19:$P$41,5,0)/'4. Billing Determinants'!$F$41*$D19,IF($E19="Non-RPP kWh",VLOOKUP(O$4,'4. Billing Determinants'!$B$19:$P$41,6,0)/'4. Billing Determinants'!$G$41*$D19,IF($E19="Distribution Rev.",VLOOKUP(O$4,'4. Billing Determinants'!$B$19:$P$41,8,0)/'4. Billing Determinants'!$I$41*$D19, VLOOKUP(O$4,'4. Billing Determinants'!$B$19:$P$41,3,0)/'4. Billing Determinants'!$D$41*$D19))))),0)</f>
        <v>0</v>
      </c>
      <c r="P19" s="70">
        <f>IFERROR(IF(P$4="",0,IF($E19="kWh",VLOOKUP(P$4,'4. Billing Determinants'!$B$19:$P$41,4,0)/'4. Billing Determinants'!$E$41*$D19,IF($E19="kW",VLOOKUP(P$4,'4. Billing Determinants'!$B$19:$P$41,5,0)/'4. Billing Determinants'!$F$41*$D19,IF($E19="Non-RPP kWh",VLOOKUP(P$4,'4. Billing Determinants'!$B$19:$P$41,6,0)/'4. Billing Determinants'!$G$41*$D19,IF($E19="Distribution Rev.",VLOOKUP(P$4,'4. Billing Determinants'!$B$19:$P$41,8,0)/'4. Billing Determinants'!$I$41*$D19, VLOOKUP(P$4,'4. Billing Determinants'!$B$19:$P$41,3,0)/'4. Billing Determinants'!$D$41*$D19))))),0)</f>
        <v>0</v>
      </c>
      <c r="Q19" s="70">
        <f>IFERROR(IF(Q$4="",0,IF($E19="kWh",VLOOKUP(Q$4,'4. Billing Determinants'!$B$19:$P$41,4,0)/'4. Billing Determinants'!$E$41*$D19,IF($E19="kW",VLOOKUP(Q$4,'4. Billing Determinants'!$B$19:$P$41,5,0)/'4. Billing Determinants'!$F$41*$D19,IF($E19="Non-RPP kWh",VLOOKUP(Q$4,'4. Billing Determinants'!$B$19:$P$41,6,0)/'4. Billing Determinants'!$G$41*$D19,IF($E19="Distribution Rev.",VLOOKUP(Q$4,'4. Billing Determinants'!$B$19:$P$41,8,0)/'4. Billing Determinants'!$I$41*$D19, VLOOKUP(Q$4,'4. Billing Determinants'!$B$19:$P$41,3,0)/'4. Billing Determinants'!$D$41*$D19))))),0)</f>
        <v>0</v>
      </c>
      <c r="R19" s="70">
        <f>IFERROR(IF(R$4="",0,IF($E19="kWh",VLOOKUP(R$4,'4. Billing Determinants'!$B$19:$P$41,4,0)/'4. Billing Determinants'!$E$41*$D19,IF($E19="kW",VLOOKUP(R$4,'4. Billing Determinants'!$B$19:$P$41,5,0)/'4. Billing Determinants'!$F$41*$D19,IF($E19="Non-RPP kWh",VLOOKUP(R$4,'4. Billing Determinants'!$B$19:$P$41,6,0)/'4. Billing Determinants'!$G$41*$D19,IF($E19="Distribution Rev.",VLOOKUP(R$4,'4. Billing Determinants'!$B$19:$P$41,8,0)/'4. Billing Determinants'!$I$41*$D19, VLOOKUP(R$4,'4. Billing Determinants'!$B$19:$P$41,3,0)/'4. Billing Determinants'!$D$41*$D19))))),0)</f>
        <v>0</v>
      </c>
      <c r="S19" s="70">
        <f>IFERROR(IF(S$4="",0,IF($E19="kWh",VLOOKUP(S$4,'4. Billing Determinants'!$B$19:$P$41,4,0)/'4. Billing Determinants'!$E$41*$D19,IF($E19="kW",VLOOKUP(S$4,'4. Billing Determinants'!$B$19:$P$41,5,0)/'4. Billing Determinants'!$F$41*$D19,IF($E19="Non-RPP kWh",VLOOKUP(S$4,'4. Billing Determinants'!$B$19:$P$41,6,0)/'4. Billing Determinants'!$G$41*$D19,IF($E19="Distribution Rev.",VLOOKUP(S$4,'4. Billing Determinants'!$B$19:$P$41,8,0)/'4. Billing Determinants'!$I$41*$D19, VLOOKUP(S$4,'4. Billing Determinants'!$B$19:$P$41,3,0)/'4. Billing Determinants'!$D$41*$D19))))),0)</f>
        <v>0</v>
      </c>
      <c r="T19" s="70">
        <f>IFERROR(IF(T$4="",0,IF($E19="kWh",VLOOKUP(T$4,'4. Billing Determinants'!$B$19:$P$41,4,0)/'4. Billing Determinants'!$E$41*$D19,IF($E19="kW",VLOOKUP(T$4,'4. Billing Determinants'!$B$19:$P$41,5,0)/'4. Billing Determinants'!$F$41*$D19,IF($E19="Non-RPP kWh",VLOOKUP(T$4,'4. Billing Determinants'!$B$19:$P$41,6,0)/'4. Billing Determinants'!$G$41*$D19,IF($E19="Distribution Rev.",VLOOKUP(T$4,'4. Billing Determinants'!$B$19:$P$41,8,0)/'4. Billing Determinants'!$I$41*$D19, VLOOKUP(T$4,'4. Billing Determinants'!$B$19:$P$41,3,0)/'4. Billing Determinants'!$D$41*$D19))))),0)</f>
        <v>0</v>
      </c>
      <c r="U19" s="70">
        <f>IFERROR(IF(U$4="",0,IF($E19="kWh",VLOOKUP(U$4,'4. Billing Determinants'!$B$19:$P$41,4,0)/'4. Billing Determinants'!$E$41*$D19,IF($E19="kW",VLOOKUP(U$4,'4. Billing Determinants'!$B$19:$P$41,5,0)/'4. Billing Determinants'!$F$41*$D19,IF($E19="Non-RPP kWh",VLOOKUP(U$4,'4. Billing Determinants'!$B$19:$P$41,6,0)/'4. Billing Determinants'!$G$41*$D19,IF($E19="Distribution Rev.",VLOOKUP(U$4,'4. Billing Determinants'!$B$19:$P$41,8,0)/'4. Billing Determinants'!$I$41*$D19, VLOOKUP(U$4,'4. Billing Determinants'!$B$19:$P$41,3,0)/'4. Billing Determinants'!$D$41*$D19))))),0)</f>
        <v>0</v>
      </c>
      <c r="V19" s="70">
        <f>IFERROR(IF(V$4="",0,IF($E19="kWh",VLOOKUP(V$4,'4. Billing Determinants'!$B$19:$P$41,4,0)/'4. Billing Determinants'!$E$41*$D19,IF($E19="kW",VLOOKUP(V$4,'4. Billing Determinants'!$B$19:$P$41,5,0)/'4. Billing Determinants'!$F$41*$D19,IF($E19="Non-RPP kWh",VLOOKUP(V$4,'4. Billing Determinants'!$B$19:$P$41,6,0)/'4. Billing Determinants'!$G$41*$D19,IF($E19="Distribution Rev.",VLOOKUP(V$4,'4. Billing Determinants'!$B$19:$P$41,8,0)/'4. Billing Determinants'!$I$41*$D19, VLOOKUP(V$4,'4. Billing Determinants'!$B$19:$P$41,3,0)/'4. Billing Determinants'!$D$41*$D19))))),0)</f>
        <v>0</v>
      </c>
      <c r="W19" s="70">
        <f>IFERROR(IF(W$4="",0,IF($E19="kWh",VLOOKUP(W$4,'4. Billing Determinants'!$B$19:$P$41,4,0)/'4. Billing Determinants'!$E$41*$D19,IF($E19="kW",VLOOKUP(W$4,'4. Billing Determinants'!$B$19:$P$41,5,0)/'4. Billing Determinants'!$F$41*$D19,IF($E19="Non-RPP kWh",VLOOKUP(W$4,'4. Billing Determinants'!$B$19:$P$41,6,0)/'4. Billing Determinants'!$G$41*$D19,IF($E19="Distribution Rev.",VLOOKUP(W$4,'4. Billing Determinants'!$B$19:$P$41,8,0)/'4. Billing Determinants'!$I$41*$D19, VLOOKUP(W$4,'4. Billing Determinants'!$B$19:$P$41,3,0)/'4. Billing Determinants'!$D$41*$D19))))),0)</f>
        <v>0</v>
      </c>
      <c r="X19" s="70">
        <f>IFERROR(IF(X$4="",0,IF($E19="kWh",VLOOKUP(X$4,'4. Billing Determinants'!$B$19:$P$41,4,0)/'4. Billing Determinants'!$E$41*$D19,IF($E19="kW",VLOOKUP(X$4,'4. Billing Determinants'!$B$19:$P$41,5,0)/'4. Billing Determinants'!$F$41*$D19,IF($E19="Non-RPP kWh",VLOOKUP(X$4,'4. Billing Determinants'!$B$19:$P$41,6,0)/'4. Billing Determinants'!$G$41*$D19,IF($E19="Distribution Rev.",VLOOKUP(X$4,'4. Billing Determinants'!$B$19:$P$41,8,0)/'4. Billing Determinants'!$I$41*$D19, VLOOKUP(X$4,'4. Billing Determinants'!$B$19:$P$41,3,0)/'4. Billing Determinants'!$D$41*$D19))))),0)</f>
        <v>0</v>
      </c>
      <c r="Y19" s="70">
        <f>IFERROR(IF(Y$4="",0,IF($E19="kWh",VLOOKUP(Y$4,'4. Billing Determinants'!$B$19:$P$41,4,0)/'4. Billing Determinants'!$E$41*$D19,IF($E19="kW",VLOOKUP(Y$4,'4. Billing Determinants'!$B$19:$P$41,5,0)/'4. Billing Determinants'!$F$41*$D19,IF($E19="Non-RPP kWh",VLOOKUP(Y$4,'4. Billing Determinants'!$B$19:$P$41,6,0)/'4. Billing Determinants'!$G$41*$D19,IF($E19="Distribution Rev.",VLOOKUP(Y$4,'4. Billing Determinants'!$B$19:$P$41,8,0)/'4. Billing Determinants'!$I$41*$D19, VLOOKUP(Y$4,'4. Billing Determinants'!$B$19:$P$41,3,0)/'4. Billing Determinants'!$D$41*$D19))))),0)</f>
        <v>0</v>
      </c>
    </row>
    <row r="20" spans="2:25" x14ac:dyDescent="0.2">
      <c r="B20" s="68" t="s">
        <v>45</v>
      </c>
      <c r="C20" s="69">
        <v>1508</v>
      </c>
      <c r="D20" s="70">
        <f>'2. 2014 Continuity Schedule'!BO43</f>
        <v>6868.9907720000001</v>
      </c>
      <c r="E20" s="130" t="s">
        <v>297</v>
      </c>
      <c r="F20" s="70">
        <f>IFERROR(IF(F$4="",0,IF($E20="kWh",VLOOKUP(F$4,'4. Billing Determinants'!$B$19:$P$41,4,0)/'4. Billing Determinants'!$E$41*$D20,IF($E20="kW",VLOOKUP(F$4,'4. Billing Determinants'!$B$19:$P$41,5,0)/'4. Billing Determinants'!$F$41*$D20,IF($E20="Non-RPP kWh",VLOOKUP(F$4,'4. Billing Determinants'!$B$19:$P$41,6,0)/'4. Billing Determinants'!$G$41*$D20,IF($E20="Distribution Rev.",VLOOKUP(F$4,'4. Billing Determinants'!$B$19:$P$41,8,0)/'4. Billing Determinants'!$I$41*$D20, VLOOKUP(F$4,'4. Billing Determinants'!$B$19:$P$41,3,0)/'4. Billing Determinants'!$D$41*$D20))))),0)</f>
        <v>3858.0629656255337</v>
      </c>
      <c r="G20" s="70">
        <f>IFERROR(IF(G$4="",0,IF($E20="kWh",VLOOKUP(G$4,'4. Billing Determinants'!$B$19:$P$41,4,0)/'4. Billing Determinants'!$E$41*$D20,IF($E20="kW",VLOOKUP(G$4,'4. Billing Determinants'!$B$19:$P$41,5,0)/'4. Billing Determinants'!$F$41*$D20,IF($E20="Non-RPP kWh",VLOOKUP(G$4,'4. Billing Determinants'!$B$19:$P$41,6,0)/'4. Billing Determinants'!$G$41*$D20,IF($E20="Distribution Rev.",VLOOKUP(G$4,'4. Billing Determinants'!$B$19:$P$41,8,0)/'4. Billing Determinants'!$I$41*$D20, VLOOKUP(G$4,'4. Billing Determinants'!$B$19:$P$41,3,0)/'4. Billing Determinants'!$D$41*$D20))))),0)</f>
        <v>844.27775687092071</v>
      </c>
      <c r="H20" s="70">
        <f>IFERROR(IF(H$4="",0,IF($E20="kWh",VLOOKUP(H$4,'4. Billing Determinants'!$B$19:$P$41,4,0)/'4. Billing Determinants'!$E$41*$D20,IF($E20="kW",VLOOKUP(H$4,'4. Billing Determinants'!$B$19:$P$41,5,0)/'4. Billing Determinants'!$F$41*$D20,IF($E20="Non-RPP kWh",VLOOKUP(H$4,'4. Billing Determinants'!$B$19:$P$41,6,0)/'4. Billing Determinants'!$G$41*$D20,IF($E20="Distribution Rev.",VLOOKUP(H$4,'4. Billing Determinants'!$B$19:$P$41,8,0)/'4. Billing Determinants'!$I$41*$D20, VLOOKUP(H$4,'4. Billing Determinants'!$B$19:$P$41,3,0)/'4. Billing Determinants'!$D$41*$D20))))),0)</f>
        <v>2080.0446267117427</v>
      </c>
      <c r="I20" s="70">
        <f>IFERROR(IF(I$4="",0,IF($E20="kWh",VLOOKUP(I$4,'4. Billing Determinants'!$B$19:$P$41,4,0)/'4. Billing Determinants'!$E$41*$D20,IF($E20="kW",VLOOKUP(I$4,'4. Billing Determinants'!$B$19:$P$41,5,0)/'4. Billing Determinants'!$F$41*$D20,IF($E20="Non-RPP kWh",VLOOKUP(I$4,'4. Billing Determinants'!$B$19:$P$41,6,0)/'4. Billing Determinants'!$G$41*$D20,IF($E20="Distribution Rev.",VLOOKUP(I$4,'4. Billing Determinants'!$B$19:$P$41,8,0)/'4. Billing Determinants'!$I$41*$D20, VLOOKUP(I$4,'4. Billing Determinants'!$B$19:$P$41,3,0)/'4. Billing Determinants'!$D$41*$D20))))),0)</f>
        <v>32.562643170412073</v>
      </c>
      <c r="J20" s="70">
        <f>IFERROR(IF(J$4="",0,IF($E20="kWh",VLOOKUP(J$4,'4. Billing Determinants'!$B$19:$P$41,4,0)/'4. Billing Determinants'!$E$41*$D20,IF($E20="kW",VLOOKUP(J$4,'4. Billing Determinants'!$B$19:$P$41,5,0)/'4. Billing Determinants'!$F$41*$D20,IF($E20="Non-RPP kWh",VLOOKUP(J$4,'4. Billing Determinants'!$B$19:$P$41,6,0)/'4. Billing Determinants'!$G$41*$D20,IF($E20="Distribution Rev.",VLOOKUP(J$4,'4. Billing Determinants'!$B$19:$P$41,8,0)/'4. Billing Determinants'!$I$41*$D20, VLOOKUP(J$4,'4. Billing Determinants'!$B$19:$P$41,3,0)/'4. Billing Determinants'!$D$41*$D20))))),0)</f>
        <v>12.623299775134869</v>
      </c>
      <c r="K20" s="70">
        <f>IFERROR(IF(K$4="",0,IF($E20="kWh",VLOOKUP(K$4,'4. Billing Determinants'!$B$19:$P$41,4,0)/'4. Billing Determinants'!$E$41*$D20,IF($E20="kW",VLOOKUP(K$4,'4. Billing Determinants'!$B$19:$P$41,5,0)/'4. Billing Determinants'!$F$41*$D20,IF($E20="Non-RPP kWh",VLOOKUP(K$4,'4. Billing Determinants'!$B$19:$P$41,6,0)/'4. Billing Determinants'!$G$41*$D20,IF($E20="Distribution Rev.",VLOOKUP(K$4,'4. Billing Determinants'!$B$19:$P$41,8,0)/'4. Billing Determinants'!$I$41*$D20, VLOOKUP(K$4,'4. Billing Determinants'!$B$19:$P$41,3,0)/'4. Billing Determinants'!$D$41*$D20))))),0)</f>
        <v>41.419479846255904</v>
      </c>
      <c r="L20" s="70">
        <f>IFERROR(IF(L$4="",0,IF($E20="kWh",VLOOKUP(L$4,'4. Billing Determinants'!$B$19:$P$41,4,0)/'4. Billing Determinants'!$E$41*$D20,IF($E20="kW",VLOOKUP(L$4,'4. Billing Determinants'!$B$19:$P$41,5,0)/'4. Billing Determinants'!$F$41*$D20,IF($E20="Non-RPP kWh",VLOOKUP(L$4,'4. Billing Determinants'!$B$19:$P$41,6,0)/'4. Billing Determinants'!$G$41*$D20,IF($E20="Distribution Rev.",VLOOKUP(L$4,'4. Billing Determinants'!$B$19:$P$41,8,0)/'4. Billing Determinants'!$I$41*$D20, VLOOKUP(L$4,'4. Billing Determinants'!$B$19:$P$41,3,0)/'4. Billing Determinants'!$D$41*$D20))))),0)</f>
        <v>0</v>
      </c>
      <c r="M20" s="70">
        <f>IFERROR(IF(M$4="",0,IF($E20="kWh",VLOOKUP(M$4,'4. Billing Determinants'!$B$19:$P$41,4,0)/'4. Billing Determinants'!$E$41*$D20,IF($E20="kW",VLOOKUP(M$4,'4. Billing Determinants'!$B$19:$P$41,5,0)/'4. Billing Determinants'!$F$41*$D20,IF($E20="Non-RPP kWh",VLOOKUP(M$4,'4. Billing Determinants'!$B$19:$P$41,6,0)/'4. Billing Determinants'!$G$41*$D20,IF($E20="Distribution Rev.",VLOOKUP(M$4,'4. Billing Determinants'!$B$19:$P$41,8,0)/'4. Billing Determinants'!$I$41*$D20, VLOOKUP(M$4,'4. Billing Determinants'!$B$19:$P$41,3,0)/'4. Billing Determinants'!$D$41*$D20))))),0)</f>
        <v>0</v>
      </c>
      <c r="N20" s="70">
        <f>IFERROR(IF(N$4="",0,IF($E20="kWh",VLOOKUP(N$4,'4. Billing Determinants'!$B$19:$P$41,4,0)/'4. Billing Determinants'!$E$41*$D20,IF($E20="kW",VLOOKUP(N$4,'4. Billing Determinants'!$B$19:$P$41,5,0)/'4. Billing Determinants'!$F$41*$D20,IF($E20="Non-RPP kWh",VLOOKUP(N$4,'4. Billing Determinants'!$B$19:$P$41,6,0)/'4. Billing Determinants'!$G$41*$D20,IF($E20="Distribution Rev.",VLOOKUP(N$4,'4. Billing Determinants'!$B$19:$P$41,8,0)/'4. Billing Determinants'!$I$41*$D20, VLOOKUP(N$4,'4. Billing Determinants'!$B$19:$P$41,3,0)/'4. Billing Determinants'!$D$41*$D20))))),0)</f>
        <v>0</v>
      </c>
      <c r="O20" s="70">
        <f>IFERROR(IF(O$4="",0,IF($E20="kWh",VLOOKUP(O$4,'4. Billing Determinants'!$B$19:$P$41,4,0)/'4. Billing Determinants'!$E$41*$D20,IF($E20="kW",VLOOKUP(O$4,'4. Billing Determinants'!$B$19:$P$41,5,0)/'4. Billing Determinants'!$F$41*$D20,IF($E20="Non-RPP kWh",VLOOKUP(O$4,'4. Billing Determinants'!$B$19:$P$41,6,0)/'4. Billing Determinants'!$G$41*$D20,IF($E20="Distribution Rev.",VLOOKUP(O$4,'4. Billing Determinants'!$B$19:$P$41,8,0)/'4. Billing Determinants'!$I$41*$D20, VLOOKUP(O$4,'4. Billing Determinants'!$B$19:$P$41,3,0)/'4. Billing Determinants'!$D$41*$D20))))),0)</f>
        <v>0</v>
      </c>
      <c r="P20" s="70">
        <f>IFERROR(IF(P$4="",0,IF($E20="kWh",VLOOKUP(P$4,'4. Billing Determinants'!$B$19:$P$41,4,0)/'4. Billing Determinants'!$E$41*$D20,IF($E20="kW",VLOOKUP(P$4,'4. Billing Determinants'!$B$19:$P$41,5,0)/'4. Billing Determinants'!$F$41*$D20,IF($E20="Non-RPP kWh",VLOOKUP(P$4,'4. Billing Determinants'!$B$19:$P$41,6,0)/'4. Billing Determinants'!$G$41*$D20,IF($E20="Distribution Rev.",VLOOKUP(P$4,'4. Billing Determinants'!$B$19:$P$41,8,0)/'4. Billing Determinants'!$I$41*$D20, VLOOKUP(P$4,'4. Billing Determinants'!$B$19:$P$41,3,0)/'4. Billing Determinants'!$D$41*$D20))))),0)</f>
        <v>0</v>
      </c>
      <c r="Q20" s="70">
        <f>IFERROR(IF(Q$4="",0,IF($E20="kWh",VLOOKUP(Q$4,'4. Billing Determinants'!$B$19:$P$41,4,0)/'4. Billing Determinants'!$E$41*$D20,IF($E20="kW",VLOOKUP(Q$4,'4. Billing Determinants'!$B$19:$P$41,5,0)/'4. Billing Determinants'!$F$41*$D20,IF($E20="Non-RPP kWh",VLOOKUP(Q$4,'4. Billing Determinants'!$B$19:$P$41,6,0)/'4. Billing Determinants'!$G$41*$D20,IF($E20="Distribution Rev.",VLOOKUP(Q$4,'4. Billing Determinants'!$B$19:$P$41,8,0)/'4. Billing Determinants'!$I$41*$D20, VLOOKUP(Q$4,'4. Billing Determinants'!$B$19:$P$41,3,0)/'4. Billing Determinants'!$D$41*$D20))))),0)</f>
        <v>0</v>
      </c>
      <c r="R20" s="70">
        <f>IFERROR(IF(R$4="",0,IF($E20="kWh",VLOOKUP(R$4,'4. Billing Determinants'!$B$19:$P$41,4,0)/'4. Billing Determinants'!$E$41*$D20,IF($E20="kW",VLOOKUP(R$4,'4. Billing Determinants'!$B$19:$P$41,5,0)/'4. Billing Determinants'!$F$41*$D20,IF($E20="Non-RPP kWh",VLOOKUP(R$4,'4. Billing Determinants'!$B$19:$P$41,6,0)/'4. Billing Determinants'!$G$41*$D20,IF($E20="Distribution Rev.",VLOOKUP(R$4,'4. Billing Determinants'!$B$19:$P$41,8,0)/'4. Billing Determinants'!$I$41*$D20, VLOOKUP(R$4,'4. Billing Determinants'!$B$19:$P$41,3,0)/'4. Billing Determinants'!$D$41*$D20))))),0)</f>
        <v>0</v>
      </c>
      <c r="S20" s="70">
        <f>IFERROR(IF(S$4="",0,IF($E20="kWh",VLOOKUP(S$4,'4. Billing Determinants'!$B$19:$P$41,4,0)/'4. Billing Determinants'!$E$41*$D20,IF($E20="kW",VLOOKUP(S$4,'4. Billing Determinants'!$B$19:$P$41,5,0)/'4. Billing Determinants'!$F$41*$D20,IF($E20="Non-RPP kWh",VLOOKUP(S$4,'4. Billing Determinants'!$B$19:$P$41,6,0)/'4. Billing Determinants'!$G$41*$D20,IF($E20="Distribution Rev.",VLOOKUP(S$4,'4. Billing Determinants'!$B$19:$P$41,8,0)/'4. Billing Determinants'!$I$41*$D20, VLOOKUP(S$4,'4. Billing Determinants'!$B$19:$P$41,3,0)/'4. Billing Determinants'!$D$41*$D20))))),0)</f>
        <v>0</v>
      </c>
      <c r="T20" s="70">
        <f>IFERROR(IF(T$4="",0,IF($E20="kWh",VLOOKUP(T$4,'4. Billing Determinants'!$B$19:$P$41,4,0)/'4. Billing Determinants'!$E$41*$D20,IF($E20="kW",VLOOKUP(T$4,'4. Billing Determinants'!$B$19:$P$41,5,0)/'4. Billing Determinants'!$F$41*$D20,IF($E20="Non-RPP kWh",VLOOKUP(T$4,'4. Billing Determinants'!$B$19:$P$41,6,0)/'4. Billing Determinants'!$G$41*$D20,IF($E20="Distribution Rev.",VLOOKUP(T$4,'4. Billing Determinants'!$B$19:$P$41,8,0)/'4. Billing Determinants'!$I$41*$D20, VLOOKUP(T$4,'4. Billing Determinants'!$B$19:$P$41,3,0)/'4. Billing Determinants'!$D$41*$D20))))),0)</f>
        <v>0</v>
      </c>
      <c r="U20" s="70">
        <f>IFERROR(IF(U$4="",0,IF($E20="kWh",VLOOKUP(U$4,'4. Billing Determinants'!$B$19:$P$41,4,0)/'4. Billing Determinants'!$E$41*$D20,IF($E20="kW",VLOOKUP(U$4,'4. Billing Determinants'!$B$19:$P$41,5,0)/'4. Billing Determinants'!$F$41*$D20,IF($E20="Non-RPP kWh",VLOOKUP(U$4,'4. Billing Determinants'!$B$19:$P$41,6,0)/'4. Billing Determinants'!$G$41*$D20,IF($E20="Distribution Rev.",VLOOKUP(U$4,'4. Billing Determinants'!$B$19:$P$41,8,0)/'4. Billing Determinants'!$I$41*$D20, VLOOKUP(U$4,'4. Billing Determinants'!$B$19:$P$41,3,0)/'4. Billing Determinants'!$D$41*$D20))))),0)</f>
        <v>0</v>
      </c>
      <c r="V20" s="70">
        <f>IFERROR(IF(V$4="",0,IF($E20="kWh",VLOOKUP(V$4,'4. Billing Determinants'!$B$19:$P$41,4,0)/'4. Billing Determinants'!$E$41*$D20,IF($E20="kW",VLOOKUP(V$4,'4. Billing Determinants'!$B$19:$P$41,5,0)/'4. Billing Determinants'!$F$41*$D20,IF($E20="Non-RPP kWh",VLOOKUP(V$4,'4. Billing Determinants'!$B$19:$P$41,6,0)/'4. Billing Determinants'!$G$41*$D20,IF($E20="Distribution Rev.",VLOOKUP(V$4,'4. Billing Determinants'!$B$19:$P$41,8,0)/'4. Billing Determinants'!$I$41*$D20, VLOOKUP(V$4,'4. Billing Determinants'!$B$19:$P$41,3,0)/'4. Billing Determinants'!$D$41*$D20))))),0)</f>
        <v>0</v>
      </c>
      <c r="W20" s="70">
        <f>IFERROR(IF(W$4="",0,IF($E20="kWh",VLOOKUP(W$4,'4. Billing Determinants'!$B$19:$P$41,4,0)/'4. Billing Determinants'!$E$41*$D20,IF($E20="kW",VLOOKUP(W$4,'4. Billing Determinants'!$B$19:$P$41,5,0)/'4. Billing Determinants'!$F$41*$D20,IF($E20="Non-RPP kWh",VLOOKUP(W$4,'4. Billing Determinants'!$B$19:$P$41,6,0)/'4. Billing Determinants'!$G$41*$D20,IF($E20="Distribution Rev.",VLOOKUP(W$4,'4. Billing Determinants'!$B$19:$P$41,8,0)/'4. Billing Determinants'!$I$41*$D20, VLOOKUP(W$4,'4. Billing Determinants'!$B$19:$P$41,3,0)/'4. Billing Determinants'!$D$41*$D20))))),0)</f>
        <v>0</v>
      </c>
      <c r="X20" s="70">
        <f>IFERROR(IF(X$4="",0,IF($E20="kWh",VLOOKUP(X$4,'4. Billing Determinants'!$B$19:$P$41,4,0)/'4. Billing Determinants'!$E$41*$D20,IF($E20="kW",VLOOKUP(X$4,'4. Billing Determinants'!$B$19:$P$41,5,0)/'4. Billing Determinants'!$F$41*$D20,IF($E20="Non-RPP kWh",VLOOKUP(X$4,'4. Billing Determinants'!$B$19:$P$41,6,0)/'4. Billing Determinants'!$G$41*$D20,IF($E20="Distribution Rev.",VLOOKUP(X$4,'4. Billing Determinants'!$B$19:$P$41,8,0)/'4. Billing Determinants'!$I$41*$D20, VLOOKUP(X$4,'4. Billing Determinants'!$B$19:$P$41,3,0)/'4. Billing Determinants'!$D$41*$D20))))),0)</f>
        <v>0</v>
      </c>
      <c r="Y20" s="70">
        <f>IFERROR(IF(Y$4="",0,IF($E20="kWh",VLOOKUP(Y$4,'4. Billing Determinants'!$B$19:$P$41,4,0)/'4. Billing Determinants'!$E$41*$D20,IF($E20="kW",VLOOKUP(Y$4,'4. Billing Determinants'!$B$19:$P$41,5,0)/'4. Billing Determinants'!$F$41*$D20,IF($E20="Non-RPP kWh",VLOOKUP(Y$4,'4. Billing Determinants'!$B$19:$P$41,6,0)/'4. Billing Determinants'!$G$41*$D20,IF($E20="Distribution Rev.",VLOOKUP(Y$4,'4. Billing Determinants'!$B$19:$P$41,8,0)/'4. Billing Determinants'!$I$41*$D20, VLOOKUP(Y$4,'4. Billing Determinants'!$B$19:$P$41,3,0)/'4. Billing Determinants'!$D$41*$D20))))),0)</f>
        <v>0</v>
      </c>
    </row>
    <row r="21" spans="2:25" ht="27" x14ac:dyDescent="0.2">
      <c r="B21" s="206" t="s">
        <v>284</v>
      </c>
      <c r="C21" s="69">
        <v>1508</v>
      </c>
      <c r="D21" s="70">
        <f>'2. 2014 Continuity Schedule'!BO44</f>
        <v>0</v>
      </c>
      <c r="E21" s="130"/>
      <c r="F21" s="70">
        <f>IFERROR(IF(F$4="",0,IF($E21="kWh",VLOOKUP(F$4,'4. Billing Determinants'!$B$19:$P$41,4,0)/'4. Billing Determinants'!$E$41*$D21,IF($E21="kW",VLOOKUP(F$4,'4. Billing Determinants'!$B$19:$P$41,5,0)/'4. Billing Determinants'!$F$41*$D21,IF($E21="Non-RPP kWh",VLOOKUP(F$4,'4. Billing Determinants'!$B$19:$P$41,6,0)/'4. Billing Determinants'!$G$41*$D21,IF($E21="Distribution Rev.",VLOOKUP(F$4,'4. Billing Determinants'!$B$19:$P$41,8,0)/'4. Billing Determinants'!$I$41*$D21, VLOOKUP(F$4,'4. Billing Determinants'!$B$19:$P$41,3,0)/'4. Billing Determinants'!$D$41*$D21))))),0)</f>
        <v>0</v>
      </c>
      <c r="G21" s="70">
        <f>IFERROR(IF(G$4="",0,IF($E21="kWh",VLOOKUP(G$4,'4. Billing Determinants'!$B$19:$P$41,4,0)/'4. Billing Determinants'!$E$41*$D21,IF($E21="kW",VLOOKUP(G$4,'4. Billing Determinants'!$B$19:$P$41,5,0)/'4. Billing Determinants'!$F$41*$D21,IF($E21="Non-RPP kWh",VLOOKUP(G$4,'4. Billing Determinants'!$B$19:$P$41,6,0)/'4. Billing Determinants'!$G$41*$D21,IF($E21="Distribution Rev.",VLOOKUP(G$4,'4. Billing Determinants'!$B$19:$P$41,8,0)/'4. Billing Determinants'!$I$41*$D21, VLOOKUP(G$4,'4. Billing Determinants'!$B$19:$P$41,3,0)/'4. Billing Determinants'!$D$41*$D21))))),0)</f>
        <v>0</v>
      </c>
      <c r="H21" s="70">
        <f>IFERROR(IF(H$4="",0,IF($E21="kWh",VLOOKUP(H$4,'4. Billing Determinants'!$B$19:$P$41,4,0)/'4. Billing Determinants'!$E$41*$D21,IF($E21="kW",VLOOKUP(H$4,'4. Billing Determinants'!$B$19:$P$41,5,0)/'4. Billing Determinants'!$F$41*$D21,IF($E21="Non-RPP kWh",VLOOKUP(H$4,'4. Billing Determinants'!$B$19:$P$41,6,0)/'4. Billing Determinants'!$G$41*$D21,IF($E21="Distribution Rev.",VLOOKUP(H$4,'4. Billing Determinants'!$B$19:$P$41,8,0)/'4. Billing Determinants'!$I$41*$D21, VLOOKUP(H$4,'4. Billing Determinants'!$B$19:$P$41,3,0)/'4. Billing Determinants'!$D$41*$D21))))),0)</f>
        <v>0</v>
      </c>
      <c r="I21" s="70">
        <f>IFERROR(IF(I$4="",0,IF($E21="kWh",VLOOKUP(I$4,'4. Billing Determinants'!$B$19:$P$41,4,0)/'4. Billing Determinants'!$E$41*$D21,IF($E21="kW",VLOOKUP(I$4,'4. Billing Determinants'!$B$19:$P$41,5,0)/'4. Billing Determinants'!$F$41*$D21,IF($E21="Non-RPP kWh",VLOOKUP(I$4,'4. Billing Determinants'!$B$19:$P$41,6,0)/'4. Billing Determinants'!$G$41*$D21,IF($E21="Distribution Rev.",VLOOKUP(I$4,'4. Billing Determinants'!$B$19:$P$41,8,0)/'4. Billing Determinants'!$I$41*$D21, VLOOKUP(I$4,'4. Billing Determinants'!$B$19:$P$41,3,0)/'4. Billing Determinants'!$D$41*$D21))))),0)</f>
        <v>0</v>
      </c>
      <c r="J21" s="70">
        <f>IFERROR(IF(J$4="",0,IF($E21="kWh",VLOOKUP(J$4,'4. Billing Determinants'!$B$19:$P$41,4,0)/'4. Billing Determinants'!$E$41*$D21,IF($E21="kW",VLOOKUP(J$4,'4. Billing Determinants'!$B$19:$P$41,5,0)/'4. Billing Determinants'!$F$41*$D21,IF($E21="Non-RPP kWh",VLOOKUP(J$4,'4. Billing Determinants'!$B$19:$P$41,6,0)/'4. Billing Determinants'!$G$41*$D21,IF($E21="Distribution Rev.",VLOOKUP(J$4,'4. Billing Determinants'!$B$19:$P$41,8,0)/'4. Billing Determinants'!$I$41*$D21, VLOOKUP(J$4,'4. Billing Determinants'!$B$19:$P$41,3,0)/'4. Billing Determinants'!$D$41*$D21))))),0)</f>
        <v>0</v>
      </c>
      <c r="K21" s="70">
        <f>IFERROR(IF(K$4="",0,IF($E21="kWh",VLOOKUP(K$4,'4. Billing Determinants'!$B$19:$P$41,4,0)/'4. Billing Determinants'!$E$41*$D21,IF($E21="kW",VLOOKUP(K$4,'4. Billing Determinants'!$B$19:$P$41,5,0)/'4. Billing Determinants'!$F$41*$D21,IF($E21="Non-RPP kWh",VLOOKUP(K$4,'4. Billing Determinants'!$B$19:$P$41,6,0)/'4. Billing Determinants'!$G$41*$D21,IF($E21="Distribution Rev.",VLOOKUP(K$4,'4. Billing Determinants'!$B$19:$P$41,8,0)/'4. Billing Determinants'!$I$41*$D21, VLOOKUP(K$4,'4. Billing Determinants'!$B$19:$P$41,3,0)/'4. Billing Determinants'!$D$41*$D21))))),0)</f>
        <v>0</v>
      </c>
      <c r="L21" s="70">
        <f>IFERROR(IF(L$4="",0,IF($E21="kWh",VLOOKUP(L$4,'4. Billing Determinants'!$B$19:$P$41,4,0)/'4. Billing Determinants'!$E$41*$D21,IF($E21="kW",VLOOKUP(L$4,'4. Billing Determinants'!$B$19:$P$41,5,0)/'4. Billing Determinants'!$F$41*$D21,IF($E21="Non-RPP kWh",VLOOKUP(L$4,'4. Billing Determinants'!$B$19:$P$41,6,0)/'4. Billing Determinants'!$G$41*$D21,IF($E21="Distribution Rev.",VLOOKUP(L$4,'4. Billing Determinants'!$B$19:$P$41,8,0)/'4. Billing Determinants'!$I$41*$D21, VLOOKUP(L$4,'4. Billing Determinants'!$B$19:$P$41,3,0)/'4. Billing Determinants'!$D$41*$D21))))),0)</f>
        <v>0</v>
      </c>
      <c r="M21" s="70">
        <f>IFERROR(IF(M$4="",0,IF($E21="kWh",VLOOKUP(M$4,'4. Billing Determinants'!$B$19:$P$41,4,0)/'4. Billing Determinants'!$E$41*$D21,IF($E21="kW",VLOOKUP(M$4,'4. Billing Determinants'!$B$19:$P$41,5,0)/'4. Billing Determinants'!$F$41*$D21,IF($E21="Non-RPP kWh",VLOOKUP(M$4,'4. Billing Determinants'!$B$19:$P$41,6,0)/'4. Billing Determinants'!$G$41*$D21,IF($E21="Distribution Rev.",VLOOKUP(M$4,'4. Billing Determinants'!$B$19:$P$41,8,0)/'4. Billing Determinants'!$I$41*$D21, VLOOKUP(M$4,'4. Billing Determinants'!$B$19:$P$41,3,0)/'4. Billing Determinants'!$D$41*$D21))))),0)</f>
        <v>0</v>
      </c>
      <c r="N21" s="70">
        <f>IFERROR(IF(N$4="",0,IF($E21="kWh",VLOOKUP(N$4,'4. Billing Determinants'!$B$19:$P$41,4,0)/'4. Billing Determinants'!$E$41*$D21,IF($E21="kW",VLOOKUP(N$4,'4. Billing Determinants'!$B$19:$P$41,5,0)/'4. Billing Determinants'!$F$41*$D21,IF($E21="Non-RPP kWh",VLOOKUP(N$4,'4. Billing Determinants'!$B$19:$P$41,6,0)/'4. Billing Determinants'!$G$41*$D21,IF($E21="Distribution Rev.",VLOOKUP(N$4,'4. Billing Determinants'!$B$19:$P$41,8,0)/'4. Billing Determinants'!$I$41*$D21, VLOOKUP(N$4,'4. Billing Determinants'!$B$19:$P$41,3,0)/'4. Billing Determinants'!$D$41*$D21))))),0)</f>
        <v>0</v>
      </c>
      <c r="O21" s="70">
        <f>IFERROR(IF(O$4="",0,IF($E21="kWh",VLOOKUP(O$4,'4. Billing Determinants'!$B$19:$P$41,4,0)/'4. Billing Determinants'!$E$41*$D21,IF($E21="kW",VLOOKUP(O$4,'4. Billing Determinants'!$B$19:$P$41,5,0)/'4. Billing Determinants'!$F$41*$D21,IF($E21="Non-RPP kWh",VLOOKUP(O$4,'4. Billing Determinants'!$B$19:$P$41,6,0)/'4. Billing Determinants'!$G$41*$D21,IF($E21="Distribution Rev.",VLOOKUP(O$4,'4. Billing Determinants'!$B$19:$P$41,8,0)/'4. Billing Determinants'!$I$41*$D21, VLOOKUP(O$4,'4. Billing Determinants'!$B$19:$P$41,3,0)/'4. Billing Determinants'!$D$41*$D21))))),0)</f>
        <v>0</v>
      </c>
      <c r="P21" s="70">
        <f>IFERROR(IF(P$4="",0,IF($E21="kWh",VLOOKUP(P$4,'4. Billing Determinants'!$B$19:$P$41,4,0)/'4. Billing Determinants'!$E$41*$D21,IF($E21="kW",VLOOKUP(P$4,'4. Billing Determinants'!$B$19:$P$41,5,0)/'4. Billing Determinants'!$F$41*$D21,IF($E21="Non-RPP kWh",VLOOKUP(P$4,'4. Billing Determinants'!$B$19:$P$41,6,0)/'4. Billing Determinants'!$G$41*$D21,IF($E21="Distribution Rev.",VLOOKUP(P$4,'4. Billing Determinants'!$B$19:$P$41,8,0)/'4. Billing Determinants'!$I$41*$D21, VLOOKUP(P$4,'4. Billing Determinants'!$B$19:$P$41,3,0)/'4. Billing Determinants'!$D$41*$D21))))),0)</f>
        <v>0</v>
      </c>
      <c r="Q21" s="70">
        <f>IFERROR(IF(Q$4="",0,IF($E21="kWh",VLOOKUP(Q$4,'4. Billing Determinants'!$B$19:$P$41,4,0)/'4. Billing Determinants'!$E$41*$D21,IF($E21="kW",VLOOKUP(Q$4,'4. Billing Determinants'!$B$19:$P$41,5,0)/'4. Billing Determinants'!$F$41*$D21,IF($E21="Non-RPP kWh",VLOOKUP(Q$4,'4. Billing Determinants'!$B$19:$P$41,6,0)/'4. Billing Determinants'!$G$41*$D21,IF($E21="Distribution Rev.",VLOOKUP(Q$4,'4. Billing Determinants'!$B$19:$P$41,8,0)/'4. Billing Determinants'!$I$41*$D21, VLOOKUP(Q$4,'4. Billing Determinants'!$B$19:$P$41,3,0)/'4. Billing Determinants'!$D$41*$D21))))),0)</f>
        <v>0</v>
      </c>
      <c r="R21" s="70">
        <f>IFERROR(IF(R$4="",0,IF($E21="kWh",VLOOKUP(R$4,'4. Billing Determinants'!$B$19:$P$41,4,0)/'4. Billing Determinants'!$E$41*$D21,IF($E21="kW",VLOOKUP(R$4,'4. Billing Determinants'!$B$19:$P$41,5,0)/'4. Billing Determinants'!$F$41*$D21,IF($E21="Non-RPP kWh",VLOOKUP(R$4,'4. Billing Determinants'!$B$19:$P$41,6,0)/'4. Billing Determinants'!$G$41*$D21,IF($E21="Distribution Rev.",VLOOKUP(R$4,'4. Billing Determinants'!$B$19:$P$41,8,0)/'4. Billing Determinants'!$I$41*$D21, VLOOKUP(R$4,'4. Billing Determinants'!$B$19:$P$41,3,0)/'4. Billing Determinants'!$D$41*$D21))))),0)</f>
        <v>0</v>
      </c>
      <c r="S21" s="70">
        <f>IFERROR(IF(S$4="",0,IF($E21="kWh",VLOOKUP(S$4,'4. Billing Determinants'!$B$19:$P$41,4,0)/'4. Billing Determinants'!$E$41*$D21,IF($E21="kW",VLOOKUP(S$4,'4. Billing Determinants'!$B$19:$P$41,5,0)/'4. Billing Determinants'!$F$41*$D21,IF($E21="Non-RPP kWh",VLOOKUP(S$4,'4. Billing Determinants'!$B$19:$P$41,6,0)/'4. Billing Determinants'!$G$41*$D21,IF($E21="Distribution Rev.",VLOOKUP(S$4,'4. Billing Determinants'!$B$19:$P$41,8,0)/'4. Billing Determinants'!$I$41*$D21, VLOOKUP(S$4,'4. Billing Determinants'!$B$19:$P$41,3,0)/'4. Billing Determinants'!$D$41*$D21))))),0)</f>
        <v>0</v>
      </c>
      <c r="T21" s="70">
        <f>IFERROR(IF(T$4="",0,IF($E21="kWh",VLOOKUP(T$4,'4. Billing Determinants'!$B$19:$P$41,4,0)/'4. Billing Determinants'!$E$41*$D21,IF($E21="kW",VLOOKUP(T$4,'4. Billing Determinants'!$B$19:$P$41,5,0)/'4. Billing Determinants'!$F$41*$D21,IF($E21="Non-RPP kWh",VLOOKUP(T$4,'4. Billing Determinants'!$B$19:$P$41,6,0)/'4. Billing Determinants'!$G$41*$D21,IF($E21="Distribution Rev.",VLOOKUP(T$4,'4. Billing Determinants'!$B$19:$P$41,8,0)/'4. Billing Determinants'!$I$41*$D21, VLOOKUP(T$4,'4. Billing Determinants'!$B$19:$P$41,3,0)/'4. Billing Determinants'!$D$41*$D21))))),0)</f>
        <v>0</v>
      </c>
      <c r="U21" s="70">
        <f>IFERROR(IF(U$4="",0,IF($E21="kWh",VLOOKUP(U$4,'4. Billing Determinants'!$B$19:$P$41,4,0)/'4. Billing Determinants'!$E$41*$D21,IF($E21="kW",VLOOKUP(U$4,'4. Billing Determinants'!$B$19:$P$41,5,0)/'4. Billing Determinants'!$F$41*$D21,IF($E21="Non-RPP kWh",VLOOKUP(U$4,'4. Billing Determinants'!$B$19:$P$41,6,0)/'4. Billing Determinants'!$G$41*$D21,IF($E21="Distribution Rev.",VLOOKUP(U$4,'4. Billing Determinants'!$B$19:$P$41,8,0)/'4. Billing Determinants'!$I$41*$D21, VLOOKUP(U$4,'4. Billing Determinants'!$B$19:$P$41,3,0)/'4. Billing Determinants'!$D$41*$D21))))),0)</f>
        <v>0</v>
      </c>
      <c r="V21" s="70">
        <f>IFERROR(IF(V$4="",0,IF($E21="kWh",VLOOKUP(V$4,'4. Billing Determinants'!$B$19:$P$41,4,0)/'4. Billing Determinants'!$E$41*$D21,IF($E21="kW",VLOOKUP(V$4,'4. Billing Determinants'!$B$19:$P$41,5,0)/'4. Billing Determinants'!$F$41*$D21,IF($E21="Non-RPP kWh",VLOOKUP(V$4,'4. Billing Determinants'!$B$19:$P$41,6,0)/'4. Billing Determinants'!$G$41*$D21,IF($E21="Distribution Rev.",VLOOKUP(V$4,'4. Billing Determinants'!$B$19:$P$41,8,0)/'4. Billing Determinants'!$I$41*$D21, VLOOKUP(V$4,'4. Billing Determinants'!$B$19:$P$41,3,0)/'4. Billing Determinants'!$D$41*$D21))))),0)</f>
        <v>0</v>
      </c>
      <c r="W21" s="70">
        <f>IFERROR(IF(W$4="",0,IF($E21="kWh",VLOOKUP(W$4,'4. Billing Determinants'!$B$19:$P$41,4,0)/'4. Billing Determinants'!$E$41*$D21,IF($E21="kW",VLOOKUP(W$4,'4. Billing Determinants'!$B$19:$P$41,5,0)/'4. Billing Determinants'!$F$41*$D21,IF($E21="Non-RPP kWh",VLOOKUP(W$4,'4. Billing Determinants'!$B$19:$P$41,6,0)/'4. Billing Determinants'!$G$41*$D21,IF($E21="Distribution Rev.",VLOOKUP(W$4,'4. Billing Determinants'!$B$19:$P$41,8,0)/'4. Billing Determinants'!$I$41*$D21, VLOOKUP(W$4,'4. Billing Determinants'!$B$19:$P$41,3,0)/'4. Billing Determinants'!$D$41*$D21))))),0)</f>
        <v>0</v>
      </c>
      <c r="X21" s="70">
        <f>IFERROR(IF(X$4="",0,IF($E21="kWh",VLOOKUP(X$4,'4. Billing Determinants'!$B$19:$P$41,4,0)/'4. Billing Determinants'!$E$41*$D21,IF($E21="kW",VLOOKUP(X$4,'4. Billing Determinants'!$B$19:$P$41,5,0)/'4. Billing Determinants'!$F$41*$D21,IF($E21="Non-RPP kWh",VLOOKUP(X$4,'4. Billing Determinants'!$B$19:$P$41,6,0)/'4. Billing Determinants'!$G$41*$D21,IF($E21="Distribution Rev.",VLOOKUP(X$4,'4. Billing Determinants'!$B$19:$P$41,8,0)/'4. Billing Determinants'!$I$41*$D21, VLOOKUP(X$4,'4. Billing Determinants'!$B$19:$P$41,3,0)/'4. Billing Determinants'!$D$41*$D21))))),0)</f>
        <v>0</v>
      </c>
      <c r="Y21" s="70">
        <f>IFERROR(IF(Y$4="",0,IF($E21="kWh",VLOOKUP(Y$4,'4. Billing Determinants'!$B$19:$P$41,4,0)/'4. Billing Determinants'!$E$41*$D21,IF($E21="kW",VLOOKUP(Y$4,'4. Billing Determinants'!$B$19:$P$41,5,0)/'4. Billing Determinants'!$F$41*$D21,IF($E21="Non-RPP kWh",VLOOKUP(Y$4,'4. Billing Determinants'!$B$19:$P$41,6,0)/'4. Billing Determinants'!$G$41*$D21,IF($E21="Distribution Rev.",VLOOKUP(Y$4,'4. Billing Determinants'!$B$19:$P$41,8,0)/'4. Billing Determinants'!$I$41*$D21, VLOOKUP(Y$4,'4. Billing Determinants'!$B$19:$P$41,3,0)/'4. Billing Determinants'!$D$41*$D21))))),0)</f>
        <v>0</v>
      </c>
    </row>
    <row r="22" spans="2:25" ht="25.5" x14ac:dyDescent="0.2">
      <c r="B22" s="206" t="s">
        <v>58</v>
      </c>
      <c r="C22" s="69">
        <v>1508</v>
      </c>
      <c r="D22" s="70">
        <f>'2. 2014 Continuity Schedule'!BO45</f>
        <v>0</v>
      </c>
      <c r="E22" s="130"/>
      <c r="F22" s="70">
        <f>IFERROR(IF(F$4="",0,IF($E22="kWh",VLOOKUP(F$4,'4. Billing Determinants'!$B$19:$P$41,4,0)/'4. Billing Determinants'!$E$41*$D22,IF($E22="kW",VLOOKUP(F$4,'4. Billing Determinants'!$B$19:$P$41,5,0)/'4. Billing Determinants'!$F$41*$D22,IF($E22="Non-RPP kWh",VLOOKUP(F$4,'4. Billing Determinants'!$B$19:$P$41,6,0)/'4. Billing Determinants'!$G$41*$D22,IF($E22="Distribution Rev.",VLOOKUP(F$4,'4. Billing Determinants'!$B$19:$P$41,8,0)/'4. Billing Determinants'!$I$41*$D22, VLOOKUP(F$4,'4. Billing Determinants'!$B$19:$P$41,3,0)/'4. Billing Determinants'!$D$41*$D22))))),0)</f>
        <v>0</v>
      </c>
      <c r="G22" s="70">
        <f>IFERROR(IF(G$4="",0,IF($E22="kWh",VLOOKUP(G$4,'4. Billing Determinants'!$B$19:$P$41,4,0)/'4. Billing Determinants'!$E$41*$D22,IF($E22="kW",VLOOKUP(G$4,'4. Billing Determinants'!$B$19:$P$41,5,0)/'4. Billing Determinants'!$F$41*$D22,IF($E22="Non-RPP kWh",VLOOKUP(G$4,'4. Billing Determinants'!$B$19:$P$41,6,0)/'4. Billing Determinants'!$G$41*$D22,IF($E22="Distribution Rev.",VLOOKUP(G$4,'4. Billing Determinants'!$B$19:$P$41,8,0)/'4. Billing Determinants'!$I$41*$D22, VLOOKUP(G$4,'4. Billing Determinants'!$B$19:$P$41,3,0)/'4. Billing Determinants'!$D$41*$D22))))),0)</f>
        <v>0</v>
      </c>
      <c r="H22" s="70">
        <f>IFERROR(IF(H$4="",0,IF($E22="kWh",VLOOKUP(H$4,'4. Billing Determinants'!$B$19:$P$41,4,0)/'4. Billing Determinants'!$E$41*$D22,IF($E22="kW",VLOOKUP(H$4,'4. Billing Determinants'!$B$19:$P$41,5,0)/'4. Billing Determinants'!$F$41*$D22,IF($E22="Non-RPP kWh",VLOOKUP(H$4,'4. Billing Determinants'!$B$19:$P$41,6,0)/'4. Billing Determinants'!$G$41*$D22,IF($E22="Distribution Rev.",VLOOKUP(H$4,'4. Billing Determinants'!$B$19:$P$41,8,0)/'4. Billing Determinants'!$I$41*$D22, VLOOKUP(H$4,'4. Billing Determinants'!$B$19:$P$41,3,0)/'4. Billing Determinants'!$D$41*$D22))))),0)</f>
        <v>0</v>
      </c>
      <c r="I22" s="70">
        <f>IFERROR(IF(I$4="",0,IF($E22="kWh",VLOOKUP(I$4,'4. Billing Determinants'!$B$19:$P$41,4,0)/'4. Billing Determinants'!$E$41*$D22,IF($E22="kW",VLOOKUP(I$4,'4. Billing Determinants'!$B$19:$P$41,5,0)/'4. Billing Determinants'!$F$41*$D22,IF($E22="Non-RPP kWh",VLOOKUP(I$4,'4. Billing Determinants'!$B$19:$P$41,6,0)/'4. Billing Determinants'!$G$41*$D22,IF($E22="Distribution Rev.",VLOOKUP(I$4,'4. Billing Determinants'!$B$19:$P$41,8,0)/'4. Billing Determinants'!$I$41*$D22, VLOOKUP(I$4,'4. Billing Determinants'!$B$19:$P$41,3,0)/'4. Billing Determinants'!$D$41*$D22))))),0)</f>
        <v>0</v>
      </c>
      <c r="J22" s="70">
        <f>IFERROR(IF(J$4="",0,IF($E22="kWh",VLOOKUP(J$4,'4. Billing Determinants'!$B$19:$P$41,4,0)/'4. Billing Determinants'!$E$41*$D22,IF($E22="kW",VLOOKUP(J$4,'4. Billing Determinants'!$B$19:$P$41,5,0)/'4. Billing Determinants'!$F$41*$D22,IF($E22="Non-RPP kWh",VLOOKUP(J$4,'4. Billing Determinants'!$B$19:$P$41,6,0)/'4. Billing Determinants'!$G$41*$D22,IF($E22="Distribution Rev.",VLOOKUP(J$4,'4. Billing Determinants'!$B$19:$P$41,8,0)/'4. Billing Determinants'!$I$41*$D22, VLOOKUP(J$4,'4. Billing Determinants'!$B$19:$P$41,3,0)/'4. Billing Determinants'!$D$41*$D22))))),0)</f>
        <v>0</v>
      </c>
      <c r="K22" s="70">
        <f>IFERROR(IF(K$4="",0,IF($E22="kWh",VLOOKUP(K$4,'4. Billing Determinants'!$B$19:$P$41,4,0)/'4. Billing Determinants'!$E$41*$D22,IF($E22="kW",VLOOKUP(K$4,'4. Billing Determinants'!$B$19:$P$41,5,0)/'4. Billing Determinants'!$F$41*$D22,IF($E22="Non-RPP kWh",VLOOKUP(K$4,'4. Billing Determinants'!$B$19:$P$41,6,0)/'4. Billing Determinants'!$G$41*$D22,IF($E22="Distribution Rev.",VLOOKUP(K$4,'4. Billing Determinants'!$B$19:$P$41,8,0)/'4. Billing Determinants'!$I$41*$D22, VLOOKUP(K$4,'4. Billing Determinants'!$B$19:$P$41,3,0)/'4. Billing Determinants'!$D$41*$D22))))),0)</f>
        <v>0</v>
      </c>
      <c r="L22" s="70">
        <f>IFERROR(IF(L$4="",0,IF($E22="kWh",VLOOKUP(L$4,'4. Billing Determinants'!$B$19:$P$41,4,0)/'4. Billing Determinants'!$E$41*$D22,IF($E22="kW",VLOOKUP(L$4,'4. Billing Determinants'!$B$19:$P$41,5,0)/'4. Billing Determinants'!$F$41*$D22,IF($E22="Non-RPP kWh",VLOOKUP(L$4,'4. Billing Determinants'!$B$19:$P$41,6,0)/'4. Billing Determinants'!$G$41*$D22,IF($E22="Distribution Rev.",VLOOKUP(L$4,'4. Billing Determinants'!$B$19:$P$41,8,0)/'4. Billing Determinants'!$I$41*$D22, VLOOKUP(L$4,'4. Billing Determinants'!$B$19:$P$41,3,0)/'4. Billing Determinants'!$D$41*$D22))))),0)</f>
        <v>0</v>
      </c>
      <c r="M22" s="70">
        <f>IFERROR(IF(M$4="",0,IF($E22="kWh",VLOOKUP(M$4,'4. Billing Determinants'!$B$19:$P$41,4,0)/'4. Billing Determinants'!$E$41*$D22,IF($E22="kW",VLOOKUP(M$4,'4. Billing Determinants'!$B$19:$P$41,5,0)/'4. Billing Determinants'!$F$41*$D22,IF($E22="Non-RPP kWh",VLOOKUP(M$4,'4. Billing Determinants'!$B$19:$P$41,6,0)/'4. Billing Determinants'!$G$41*$D22,IF($E22="Distribution Rev.",VLOOKUP(M$4,'4. Billing Determinants'!$B$19:$P$41,8,0)/'4. Billing Determinants'!$I$41*$D22, VLOOKUP(M$4,'4. Billing Determinants'!$B$19:$P$41,3,0)/'4. Billing Determinants'!$D$41*$D22))))),0)</f>
        <v>0</v>
      </c>
      <c r="N22" s="70">
        <f>IFERROR(IF(N$4="",0,IF($E22="kWh",VLOOKUP(N$4,'4. Billing Determinants'!$B$19:$P$41,4,0)/'4. Billing Determinants'!$E$41*$D22,IF($E22="kW",VLOOKUP(N$4,'4. Billing Determinants'!$B$19:$P$41,5,0)/'4. Billing Determinants'!$F$41*$D22,IF($E22="Non-RPP kWh",VLOOKUP(N$4,'4. Billing Determinants'!$B$19:$P$41,6,0)/'4. Billing Determinants'!$G$41*$D22,IF($E22="Distribution Rev.",VLOOKUP(N$4,'4. Billing Determinants'!$B$19:$P$41,8,0)/'4. Billing Determinants'!$I$41*$D22, VLOOKUP(N$4,'4. Billing Determinants'!$B$19:$P$41,3,0)/'4. Billing Determinants'!$D$41*$D22))))),0)</f>
        <v>0</v>
      </c>
      <c r="O22" s="70">
        <f>IFERROR(IF(O$4="",0,IF($E22="kWh",VLOOKUP(O$4,'4. Billing Determinants'!$B$19:$P$41,4,0)/'4. Billing Determinants'!$E$41*$D22,IF($E22="kW",VLOOKUP(O$4,'4. Billing Determinants'!$B$19:$P$41,5,0)/'4. Billing Determinants'!$F$41*$D22,IF($E22="Non-RPP kWh",VLOOKUP(O$4,'4. Billing Determinants'!$B$19:$P$41,6,0)/'4. Billing Determinants'!$G$41*$D22,IF($E22="Distribution Rev.",VLOOKUP(O$4,'4. Billing Determinants'!$B$19:$P$41,8,0)/'4. Billing Determinants'!$I$41*$D22, VLOOKUP(O$4,'4. Billing Determinants'!$B$19:$P$41,3,0)/'4. Billing Determinants'!$D$41*$D22))))),0)</f>
        <v>0</v>
      </c>
      <c r="P22" s="70">
        <f>IFERROR(IF(P$4="",0,IF($E22="kWh",VLOOKUP(P$4,'4. Billing Determinants'!$B$19:$P$41,4,0)/'4. Billing Determinants'!$E$41*$D22,IF($E22="kW",VLOOKUP(P$4,'4. Billing Determinants'!$B$19:$P$41,5,0)/'4. Billing Determinants'!$F$41*$D22,IF($E22="Non-RPP kWh",VLOOKUP(P$4,'4. Billing Determinants'!$B$19:$P$41,6,0)/'4. Billing Determinants'!$G$41*$D22,IF($E22="Distribution Rev.",VLOOKUP(P$4,'4. Billing Determinants'!$B$19:$P$41,8,0)/'4. Billing Determinants'!$I$41*$D22, VLOOKUP(P$4,'4. Billing Determinants'!$B$19:$P$41,3,0)/'4. Billing Determinants'!$D$41*$D22))))),0)</f>
        <v>0</v>
      </c>
      <c r="Q22" s="70">
        <f>IFERROR(IF(Q$4="",0,IF($E22="kWh",VLOOKUP(Q$4,'4. Billing Determinants'!$B$19:$P$41,4,0)/'4. Billing Determinants'!$E$41*$D22,IF($E22="kW",VLOOKUP(Q$4,'4. Billing Determinants'!$B$19:$P$41,5,0)/'4. Billing Determinants'!$F$41*$D22,IF($E22="Non-RPP kWh",VLOOKUP(Q$4,'4. Billing Determinants'!$B$19:$P$41,6,0)/'4. Billing Determinants'!$G$41*$D22,IF($E22="Distribution Rev.",VLOOKUP(Q$4,'4. Billing Determinants'!$B$19:$P$41,8,0)/'4. Billing Determinants'!$I$41*$D22, VLOOKUP(Q$4,'4. Billing Determinants'!$B$19:$P$41,3,0)/'4. Billing Determinants'!$D$41*$D22))))),0)</f>
        <v>0</v>
      </c>
      <c r="R22" s="70">
        <f>IFERROR(IF(R$4="",0,IF($E22="kWh",VLOOKUP(R$4,'4. Billing Determinants'!$B$19:$P$41,4,0)/'4. Billing Determinants'!$E$41*$D22,IF($E22="kW",VLOOKUP(R$4,'4. Billing Determinants'!$B$19:$P$41,5,0)/'4. Billing Determinants'!$F$41*$D22,IF($E22="Non-RPP kWh",VLOOKUP(R$4,'4. Billing Determinants'!$B$19:$P$41,6,0)/'4. Billing Determinants'!$G$41*$D22,IF($E22="Distribution Rev.",VLOOKUP(R$4,'4. Billing Determinants'!$B$19:$P$41,8,0)/'4. Billing Determinants'!$I$41*$D22, VLOOKUP(R$4,'4. Billing Determinants'!$B$19:$P$41,3,0)/'4. Billing Determinants'!$D$41*$D22))))),0)</f>
        <v>0</v>
      </c>
      <c r="S22" s="70">
        <f>IFERROR(IF(S$4="",0,IF($E22="kWh",VLOOKUP(S$4,'4. Billing Determinants'!$B$19:$P$41,4,0)/'4. Billing Determinants'!$E$41*$D22,IF($E22="kW",VLOOKUP(S$4,'4. Billing Determinants'!$B$19:$P$41,5,0)/'4. Billing Determinants'!$F$41*$D22,IF($E22="Non-RPP kWh",VLOOKUP(S$4,'4. Billing Determinants'!$B$19:$P$41,6,0)/'4. Billing Determinants'!$G$41*$D22,IF($E22="Distribution Rev.",VLOOKUP(S$4,'4. Billing Determinants'!$B$19:$P$41,8,0)/'4. Billing Determinants'!$I$41*$D22, VLOOKUP(S$4,'4. Billing Determinants'!$B$19:$P$41,3,0)/'4. Billing Determinants'!$D$41*$D22))))),0)</f>
        <v>0</v>
      </c>
      <c r="T22" s="70">
        <f>IFERROR(IF(T$4="",0,IF($E22="kWh",VLOOKUP(T$4,'4. Billing Determinants'!$B$19:$P$41,4,0)/'4. Billing Determinants'!$E$41*$D22,IF($E22="kW",VLOOKUP(T$4,'4. Billing Determinants'!$B$19:$P$41,5,0)/'4. Billing Determinants'!$F$41*$D22,IF($E22="Non-RPP kWh",VLOOKUP(T$4,'4. Billing Determinants'!$B$19:$P$41,6,0)/'4. Billing Determinants'!$G$41*$D22,IF($E22="Distribution Rev.",VLOOKUP(T$4,'4. Billing Determinants'!$B$19:$P$41,8,0)/'4. Billing Determinants'!$I$41*$D22, VLOOKUP(T$4,'4. Billing Determinants'!$B$19:$P$41,3,0)/'4. Billing Determinants'!$D$41*$D22))))),0)</f>
        <v>0</v>
      </c>
      <c r="U22" s="70">
        <f>IFERROR(IF(U$4="",0,IF($E22="kWh",VLOOKUP(U$4,'4. Billing Determinants'!$B$19:$P$41,4,0)/'4. Billing Determinants'!$E$41*$D22,IF($E22="kW",VLOOKUP(U$4,'4. Billing Determinants'!$B$19:$P$41,5,0)/'4. Billing Determinants'!$F$41*$D22,IF($E22="Non-RPP kWh",VLOOKUP(U$4,'4. Billing Determinants'!$B$19:$P$41,6,0)/'4. Billing Determinants'!$G$41*$D22,IF($E22="Distribution Rev.",VLOOKUP(U$4,'4. Billing Determinants'!$B$19:$P$41,8,0)/'4. Billing Determinants'!$I$41*$D22, VLOOKUP(U$4,'4. Billing Determinants'!$B$19:$P$41,3,0)/'4. Billing Determinants'!$D$41*$D22))))),0)</f>
        <v>0</v>
      </c>
      <c r="V22" s="70">
        <f>IFERROR(IF(V$4="",0,IF($E22="kWh",VLOOKUP(V$4,'4. Billing Determinants'!$B$19:$P$41,4,0)/'4. Billing Determinants'!$E$41*$D22,IF($E22="kW",VLOOKUP(V$4,'4. Billing Determinants'!$B$19:$P$41,5,0)/'4. Billing Determinants'!$F$41*$D22,IF($E22="Non-RPP kWh",VLOOKUP(V$4,'4. Billing Determinants'!$B$19:$P$41,6,0)/'4. Billing Determinants'!$G$41*$D22,IF($E22="Distribution Rev.",VLOOKUP(V$4,'4. Billing Determinants'!$B$19:$P$41,8,0)/'4. Billing Determinants'!$I$41*$D22, VLOOKUP(V$4,'4. Billing Determinants'!$B$19:$P$41,3,0)/'4. Billing Determinants'!$D$41*$D22))))),0)</f>
        <v>0</v>
      </c>
      <c r="W22" s="70">
        <f>IFERROR(IF(W$4="",0,IF($E22="kWh",VLOOKUP(W$4,'4. Billing Determinants'!$B$19:$P$41,4,0)/'4. Billing Determinants'!$E$41*$D22,IF($E22="kW",VLOOKUP(W$4,'4. Billing Determinants'!$B$19:$P$41,5,0)/'4. Billing Determinants'!$F$41*$D22,IF($E22="Non-RPP kWh",VLOOKUP(W$4,'4. Billing Determinants'!$B$19:$P$41,6,0)/'4. Billing Determinants'!$G$41*$D22,IF($E22="Distribution Rev.",VLOOKUP(W$4,'4. Billing Determinants'!$B$19:$P$41,8,0)/'4. Billing Determinants'!$I$41*$D22, VLOOKUP(W$4,'4. Billing Determinants'!$B$19:$P$41,3,0)/'4. Billing Determinants'!$D$41*$D22))))),0)</f>
        <v>0</v>
      </c>
      <c r="X22" s="70">
        <f>IFERROR(IF(X$4="",0,IF($E22="kWh",VLOOKUP(X$4,'4. Billing Determinants'!$B$19:$P$41,4,0)/'4. Billing Determinants'!$E$41*$D22,IF($E22="kW",VLOOKUP(X$4,'4. Billing Determinants'!$B$19:$P$41,5,0)/'4. Billing Determinants'!$F$41*$D22,IF($E22="Non-RPP kWh",VLOOKUP(X$4,'4. Billing Determinants'!$B$19:$P$41,6,0)/'4. Billing Determinants'!$G$41*$D22,IF($E22="Distribution Rev.",VLOOKUP(X$4,'4. Billing Determinants'!$B$19:$P$41,8,0)/'4. Billing Determinants'!$I$41*$D22, VLOOKUP(X$4,'4. Billing Determinants'!$B$19:$P$41,3,0)/'4. Billing Determinants'!$D$41*$D22))))),0)</f>
        <v>0</v>
      </c>
      <c r="Y22" s="70">
        <f>IFERROR(IF(Y$4="",0,IF($E22="kWh",VLOOKUP(Y$4,'4. Billing Determinants'!$B$19:$P$41,4,0)/'4. Billing Determinants'!$E$41*$D22,IF($E22="kW",VLOOKUP(Y$4,'4. Billing Determinants'!$B$19:$P$41,5,0)/'4. Billing Determinants'!$F$41*$D22,IF($E22="Non-RPP kWh",VLOOKUP(Y$4,'4. Billing Determinants'!$B$19:$P$41,6,0)/'4. Billing Determinants'!$G$41*$D22,IF($E22="Distribution Rev.",VLOOKUP(Y$4,'4. Billing Determinants'!$B$19:$P$41,8,0)/'4. Billing Determinants'!$I$41*$D22, VLOOKUP(Y$4,'4. Billing Determinants'!$B$19:$P$41,3,0)/'4. Billing Determinants'!$D$41*$D22))))),0)</f>
        <v>0</v>
      </c>
    </row>
    <row r="23" spans="2:25" ht="14.25" x14ac:dyDescent="0.2">
      <c r="B23" s="75" t="s">
        <v>283</v>
      </c>
      <c r="C23" s="69">
        <v>1508</v>
      </c>
      <c r="D23" s="70">
        <f>'2. 2014 Continuity Schedule'!BO46</f>
        <v>0</v>
      </c>
      <c r="E23" s="130"/>
      <c r="F23" s="70">
        <f>IFERROR(IF(F$4="",0,IF($E23="kWh",VLOOKUP(F$4,'4. Billing Determinants'!$B$19:$P$41,4,0)/'4. Billing Determinants'!$E$41*$D23,IF($E23="kW",VLOOKUP(F$4,'4. Billing Determinants'!$B$19:$P$41,5,0)/'4. Billing Determinants'!$F$41*$D23,IF($E23="Non-RPP kWh",VLOOKUP(F$4,'4. Billing Determinants'!$B$19:$P$41,6,0)/'4. Billing Determinants'!$G$41*$D23,IF($E23="Distribution Rev.",VLOOKUP(F$4,'4. Billing Determinants'!$B$19:$P$41,8,0)/'4. Billing Determinants'!$I$41*$D23, VLOOKUP(F$4,'4. Billing Determinants'!$B$19:$P$41,3,0)/'4. Billing Determinants'!$D$41*$D23))))),0)</f>
        <v>0</v>
      </c>
      <c r="G23" s="70">
        <f>IFERROR(IF(G$4="",0,IF($E23="kWh",VLOOKUP(G$4,'4. Billing Determinants'!$B$19:$P$41,4,0)/'4. Billing Determinants'!$E$41*$D23,IF($E23="kW",VLOOKUP(G$4,'4. Billing Determinants'!$B$19:$P$41,5,0)/'4. Billing Determinants'!$F$41*$D23,IF($E23="Non-RPP kWh",VLOOKUP(G$4,'4. Billing Determinants'!$B$19:$P$41,6,0)/'4. Billing Determinants'!$G$41*$D23,IF($E23="Distribution Rev.",VLOOKUP(G$4,'4. Billing Determinants'!$B$19:$P$41,8,0)/'4. Billing Determinants'!$I$41*$D23, VLOOKUP(G$4,'4. Billing Determinants'!$B$19:$P$41,3,0)/'4. Billing Determinants'!$D$41*$D23))))),0)</f>
        <v>0</v>
      </c>
      <c r="H23" s="70">
        <f>IFERROR(IF(H$4="",0,IF($E23="kWh",VLOOKUP(H$4,'4. Billing Determinants'!$B$19:$P$41,4,0)/'4. Billing Determinants'!$E$41*$D23,IF($E23="kW",VLOOKUP(H$4,'4. Billing Determinants'!$B$19:$P$41,5,0)/'4. Billing Determinants'!$F$41*$D23,IF($E23="Non-RPP kWh",VLOOKUP(H$4,'4. Billing Determinants'!$B$19:$P$41,6,0)/'4. Billing Determinants'!$G$41*$D23,IF($E23="Distribution Rev.",VLOOKUP(H$4,'4. Billing Determinants'!$B$19:$P$41,8,0)/'4. Billing Determinants'!$I$41*$D23, VLOOKUP(H$4,'4. Billing Determinants'!$B$19:$P$41,3,0)/'4. Billing Determinants'!$D$41*$D23))))),0)</f>
        <v>0</v>
      </c>
      <c r="I23" s="70">
        <f>IFERROR(IF(I$4="",0,IF($E23="kWh",VLOOKUP(I$4,'4. Billing Determinants'!$B$19:$P$41,4,0)/'4. Billing Determinants'!$E$41*$D23,IF($E23="kW",VLOOKUP(I$4,'4. Billing Determinants'!$B$19:$P$41,5,0)/'4. Billing Determinants'!$F$41*$D23,IF($E23="Non-RPP kWh",VLOOKUP(I$4,'4. Billing Determinants'!$B$19:$P$41,6,0)/'4. Billing Determinants'!$G$41*$D23,IF($E23="Distribution Rev.",VLOOKUP(I$4,'4. Billing Determinants'!$B$19:$P$41,8,0)/'4. Billing Determinants'!$I$41*$D23, VLOOKUP(I$4,'4. Billing Determinants'!$B$19:$P$41,3,0)/'4. Billing Determinants'!$D$41*$D23))))),0)</f>
        <v>0</v>
      </c>
      <c r="J23" s="70">
        <f>IFERROR(IF(J$4="",0,IF($E23="kWh",VLOOKUP(J$4,'4. Billing Determinants'!$B$19:$P$41,4,0)/'4. Billing Determinants'!$E$41*$D23,IF($E23="kW",VLOOKUP(J$4,'4. Billing Determinants'!$B$19:$P$41,5,0)/'4. Billing Determinants'!$F$41*$D23,IF($E23="Non-RPP kWh",VLOOKUP(J$4,'4. Billing Determinants'!$B$19:$P$41,6,0)/'4. Billing Determinants'!$G$41*$D23,IF($E23="Distribution Rev.",VLOOKUP(J$4,'4. Billing Determinants'!$B$19:$P$41,8,0)/'4. Billing Determinants'!$I$41*$D23, VLOOKUP(J$4,'4. Billing Determinants'!$B$19:$P$41,3,0)/'4. Billing Determinants'!$D$41*$D23))))),0)</f>
        <v>0</v>
      </c>
      <c r="K23" s="70">
        <f>IFERROR(IF(K$4="",0,IF($E23="kWh",VLOOKUP(K$4,'4. Billing Determinants'!$B$19:$P$41,4,0)/'4. Billing Determinants'!$E$41*$D23,IF($E23="kW",VLOOKUP(K$4,'4. Billing Determinants'!$B$19:$P$41,5,0)/'4. Billing Determinants'!$F$41*$D23,IF($E23="Non-RPP kWh",VLOOKUP(K$4,'4. Billing Determinants'!$B$19:$P$41,6,0)/'4. Billing Determinants'!$G$41*$D23,IF($E23="Distribution Rev.",VLOOKUP(K$4,'4. Billing Determinants'!$B$19:$P$41,8,0)/'4. Billing Determinants'!$I$41*$D23, VLOOKUP(K$4,'4. Billing Determinants'!$B$19:$P$41,3,0)/'4. Billing Determinants'!$D$41*$D23))))),0)</f>
        <v>0</v>
      </c>
      <c r="L23" s="70">
        <f>IFERROR(IF(L$4="",0,IF($E23="kWh",VLOOKUP(L$4,'4. Billing Determinants'!$B$19:$P$41,4,0)/'4. Billing Determinants'!$E$41*$D23,IF($E23="kW",VLOOKUP(L$4,'4. Billing Determinants'!$B$19:$P$41,5,0)/'4. Billing Determinants'!$F$41*$D23,IF($E23="Non-RPP kWh",VLOOKUP(L$4,'4. Billing Determinants'!$B$19:$P$41,6,0)/'4. Billing Determinants'!$G$41*$D23,IF($E23="Distribution Rev.",VLOOKUP(L$4,'4. Billing Determinants'!$B$19:$P$41,8,0)/'4. Billing Determinants'!$I$41*$D23, VLOOKUP(L$4,'4. Billing Determinants'!$B$19:$P$41,3,0)/'4. Billing Determinants'!$D$41*$D23))))),0)</f>
        <v>0</v>
      </c>
      <c r="M23" s="70">
        <f>IFERROR(IF(M$4="",0,IF($E23="kWh",VLOOKUP(M$4,'4. Billing Determinants'!$B$19:$P$41,4,0)/'4. Billing Determinants'!$E$41*$D23,IF($E23="kW",VLOOKUP(M$4,'4. Billing Determinants'!$B$19:$P$41,5,0)/'4. Billing Determinants'!$F$41*$D23,IF($E23="Non-RPP kWh",VLOOKUP(M$4,'4. Billing Determinants'!$B$19:$P$41,6,0)/'4. Billing Determinants'!$G$41*$D23,IF($E23="Distribution Rev.",VLOOKUP(M$4,'4. Billing Determinants'!$B$19:$P$41,8,0)/'4. Billing Determinants'!$I$41*$D23, VLOOKUP(M$4,'4. Billing Determinants'!$B$19:$P$41,3,0)/'4. Billing Determinants'!$D$41*$D23))))),0)</f>
        <v>0</v>
      </c>
      <c r="N23" s="70">
        <f>IFERROR(IF(N$4="",0,IF($E23="kWh",VLOOKUP(N$4,'4. Billing Determinants'!$B$19:$P$41,4,0)/'4. Billing Determinants'!$E$41*$D23,IF($E23="kW",VLOOKUP(N$4,'4. Billing Determinants'!$B$19:$P$41,5,0)/'4. Billing Determinants'!$F$41*$D23,IF($E23="Non-RPP kWh",VLOOKUP(N$4,'4. Billing Determinants'!$B$19:$P$41,6,0)/'4. Billing Determinants'!$G$41*$D23,IF($E23="Distribution Rev.",VLOOKUP(N$4,'4. Billing Determinants'!$B$19:$P$41,8,0)/'4. Billing Determinants'!$I$41*$D23, VLOOKUP(N$4,'4. Billing Determinants'!$B$19:$P$41,3,0)/'4. Billing Determinants'!$D$41*$D23))))),0)</f>
        <v>0</v>
      </c>
      <c r="O23" s="70">
        <f>IFERROR(IF(O$4="",0,IF($E23="kWh",VLOOKUP(O$4,'4. Billing Determinants'!$B$19:$P$41,4,0)/'4. Billing Determinants'!$E$41*$D23,IF($E23="kW",VLOOKUP(O$4,'4. Billing Determinants'!$B$19:$P$41,5,0)/'4. Billing Determinants'!$F$41*$D23,IF($E23="Non-RPP kWh",VLOOKUP(O$4,'4. Billing Determinants'!$B$19:$P$41,6,0)/'4. Billing Determinants'!$G$41*$D23,IF($E23="Distribution Rev.",VLOOKUP(O$4,'4. Billing Determinants'!$B$19:$P$41,8,0)/'4. Billing Determinants'!$I$41*$D23, VLOOKUP(O$4,'4. Billing Determinants'!$B$19:$P$41,3,0)/'4. Billing Determinants'!$D$41*$D23))))),0)</f>
        <v>0</v>
      </c>
      <c r="P23" s="70">
        <f>IFERROR(IF(P$4="",0,IF($E23="kWh",VLOOKUP(P$4,'4. Billing Determinants'!$B$19:$P$41,4,0)/'4. Billing Determinants'!$E$41*$D23,IF($E23="kW",VLOOKUP(P$4,'4. Billing Determinants'!$B$19:$P$41,5,0)/'4. Billing Determinants'!$F$41*$D23,IF($E23="Non-RPP kWh",VLOOKUP(P$4,'4. Billing Determinants'!$B$19:$P$41,6,0)/'4. Billing Determinants'!$G$41*$D23,IF($E23="Distribution Rev.",VLOOKUP(P$4,'4. Billing Determinants'!$B$19:$P$41,8,0)/'4. Billing Determinants'!$I$41*$D23, VLOOKUP(P$4,'4. Billing Determinants'!$B$19:$P$41,3,0)/'4. Billing Determinants'!$D$41*$D23))))),0)</f>
        <v>0</v>
      </c>
      <c r="Q23" s="70">
        <f>IFERROR(IF(Q$4="",0,IF($E23="kWh",VLOOKUP(Q$4,'4. Billing Determinants'!$B$19:$P$41,4,0)/'4. Billing Determinants'!$E$41*$D23,IF($E23="kW",VLOOKUP(Q$4,'4. Billing Determinants'!$B$19:$P$41,5,0)/'4. Billing Determinants'!$F$41*$D23,IF($E23="Non-RPP kWh",VLOOKUP(Q$4,'4. Billing Determinants'!$B$19:$P$41,6,0)/'4. Billing Determinants'!$G$41*$D23,IF($E23="Distribution Rev.",VLOOKUP(Q$4,'4. Billing Determinants'!$B$19:$P$41,8,0)/'4. Billing Determinants'!$I$41*$D23, VLOOKUP(Q$4,'4. Billing Determinants'!$B$19:$P$41,3,0)/'4. Billing Determinants'!$D$41*$D23))))),0)</f>
        <v>0</v>
      </c>
      <c r="R23" s="70">
        <f>IFERROR(IF(R$4="",0,IF($E23="kWh",VLOOKUP(R$4,'4. Billing Determinants'!$B$19:$P$41,4,0)/'4. Billing Determinants'!$E$41*$D23,IF($E23="kW",VLOOKUP(R$4,'4. Billing Determinants'!$B$19:$P$41,5,0)/'4. Billing Determinants'!$F$41*$D23,IF($E23="Non-RPP kWh",VLOOKUP(R$4,'4. Billing Determinants'!$B$19:$P$41,6,0)/'4. Billing Determinants'!$G$41*$D23,IF($E23="Distribution Rev.",VLOOKUP(R$4,'4. Billing Determinants'!$B$19:$P$41,8,0)/'4. Billing Determinants'!$I$41*$D23, VLOOKUP(R$4,'4. Billing Determinants'!$B$19:$P$41,3,0)/'4. Billing Determinants'!$D$41*$D23))))),0)</f>
        <v>0</v>
      </c>
      <c r="S23" s="70">
        <f>IFERROR(IF(S$4="",0,IF($E23="kWh",VLOOKUP(S$4,'4. Billing Determinants'!$B$19:$P$41,4,0)/'4. Billing Determinants'!$E$41*$D23,IF($E23="kW",VLOOKUP(S$4,'4. Billing Determinants'!$B$19:$P$41,5,0)/'4. Billing Determinants'!$F$41*$D23,IF($E23="Non-RPP kWh",VLOOKUP(S$4,'4. Billing Determinants'!$B$19:$P$41,6,0)/'4. Billing Determinants'!$G$41*$D23,IF($E23="Distribution Rev.",VLOOKUP(S$4,'4. Billing Determinants'!$B$19:$P$41,8,0)/'4. Billing Determinants'!$I$41*$D23, VLOOKUP(S$4,'4. Billing Determinants'!$B$19:$P$41,3,0)/'4. Billing Determinants'!$D$41*$D23))))),0)</f>
        <v>0</v>
      </c>
      <c r="T23" s="70">
        <f>IFERROR(IF(T$4="",0,IF($E23="kWh",VLOOKUP(T$4,'4. Billing Determinants'!$B$19:$P$41,4,0)/'4. Billing Determinants'!$E$41*$D23,IF($E23="kW",VLOOKUP(T$4,'4. Billing Determinants'!$B$19:$P$41,5,0)/'4. Billing Determinants'!$F$41*$D23,IF($E23="Non-RPP kWh",VLOOKUP(T$4,'4. Billing Determinants'!$B$19:$P$41,6,0)/'4. Billing Determinants'!$G$41*$D23,IF($E23="Distribution Rev.",VLOOKUP(T$4,'4. Billing Determinants'!$B$19:$P$41,8,0)/'4. Billing Determinants'!$I$41*$D23, VLOOKUP(T$4,'4. Billing Determinants'!$B$19:$P$41,3,0)/'4. Billing Determinants'!$D$41*$D23))))),0)</f>
        <v>0</v>
      </c>
      <c r="U23" s="70">
        <f>IFERROR(IF(U$4="",0,IF($E23="kWh",VLOOKUP(U$4,'4. Billing Determinants'!$B$19:$P$41,4,0)/'4. Billing Determinants'!$E$41*$D23,IF($E23="kW",VLOOKUP(U$4,'4. Billing Determinants'!$B$19:$P$41,5,0)/'4. Billing Determinants'!$F$41*$D23,IF($E23="Non-RPP kWh",VLOOKUP(U$4,'4. Billing Determinants'!$B$19:$P$41,6,0)/'4. Billing Determinants'!$G$41*$D23,IF($E23="Distribution Rev.",VLOOKUP(U$4,'4. Billing Determinants'!$B$19:$P$41,8,0)/'4. Billing Determinants'!$I$41*$D23, VLOOKUP(U$4,'4. Billing Determinants'!$B$19:$P$41,3,0)/'4. Billing Determinants'!$D$41*$D23))))),0)</f>
        <v>0</v>
      </c>
      <c r="V23" s="70">
        <f>IFERROR(IF(V$4="",0,IF($E23="kWh",VLOOKUP(V$4,'4. Billing Determinants'!$B$19:$P$41,4,0)/'4. Billing Determinants'!$E$41*$D23,IF($E23="kW",VLOOKUP(V$4,'4. Billing Determinants'!$B$19:$P$41,5,0)/'4. Billing Determinants'!$F$41*$D23,IF($E23="Non-RPP kWh",VLOOKUP(V$4,'4. Billing Determinants'!$B$19:$P$41,6,0)/'4. Billing Determinants'!$G$41*$D23,IF($E23="Distribution Rev.",VLOOKUP(V$4,'4. Billing Determinants'!$B$19:$P$41,8,0)/'4. Billing Determinants'!$I$41*$D23, VLOOKUP(V$4,'4. Billing Determinants'!$B$19:$P$41,3,0)/'4. Billing Determinants'!$D$41*$D23))))),0)</f>
        <v>0</v>
      </c>
      <c r="W23" s="70">
        <f>IFERROR(IF(W$4="",0,IF($E23="kWh",VLOOKUP(W$4,'4. Billing Determinants'!$B$19:$P$41,4,0)/'4. Billing Determinants'!$E$41*$D23,IF($E23="kW",VLOOKUP(W$4,'4. Billing Determinants'!$B$19:$P$41,5,0)/'4. Billing Determinants'!$F$41*$D23,IF($E23="Non-RPP kWh",VLOOKUP(W$4,'4. Billing Determinants'!$B$19:$P$41,6,0)/'4. Billing Determinants'!$G$41*$D23,IF($E23="Distribution Rev.",VLOOKUP(W$4,'4. Billing Determinants'!$B$19:$P$41,8,0)/'4. Billing Determinants'!$I$41*$D23, VLOOKUP(W$4,'4. Billing Determinants'!$B$19:$P$41,3,0)/'4. Billing Determinants'!$D$41*$D23))))),0)</f>
        <v>0</v>
      </c>
      <c r="X23" s="70">
        <f>IFERROR(IF(X$4="",0,IF($E23="kWh",VLOOKUP(X$4,'4. Billing Determinants'!$B$19:$P$41,4,0)/'4. Billing Determinants'!$E$41*$D23,IF($E23="kW",VLOOKUP(X$4,'4. Billing Determinants'!$B$19:$P$41,5,0)/'4. Billing Determinants'!$F$41*$D23,IF($E23="Non-RPP kWh",VLOOKUP(X$4,'4. Billing Determinants'!$B$19:$P$41,6,0)/'4. Billing Determinants'!$G$41*$D23,IF($E23="Distribution Rev.",VLOOKUP(X$4,'4. Billing Determinants'!$B$19:$P$41,8,0)/'4. Billing Determinants'!$I$41*$D23, VLOOKUP(X$4,'4. Billing Determinants'!$B$19:$P$41,3,0)/'4. Billing Determinants'!$D$41*$D23))))),0)</f>
        <v>0</v>
      </c>
      <c r="Y23" s="70">
        <f>IFERROR(IF(Y$4="",0,IF($E23="kWh",VLOOKUP(Y$4,'4. Billing Determinants'!$B$19:$P$41,4,0)/'4. Billing Determinants'!$E$41*$D23,IF($E23="kW",VLOOKUP(Y$4,'4. Billing Determinants'!$B$19:$P$41,5,0)/'4. Billing Determinants'!$F$41*$D23,IF($E23="Non-RPP kWh",VLOOKUP(Y$4,'4. Billing Determinants'!$B$19:$P$41,6,0)/'4. Billing Determinants'!$G$41*$D23,IF($E23="Distribution Rev.",VLOOKUP(Y$4,'4. Billing Determinants'!$B$19:$P$41,8,0)/'4. Billing Determinants'!$I$41*$D23, VLOOKUP(Y$4,'4. Billing Determinants'!$B$19:$P$41,3,0)/'4. Billing Determinants'!$D$41*$D23))))),0)</f>
        <v>0</v>
      </c>
    </row>
    <row r="24" spans="2:25" x14ac:dyDescent="0.2">
      <c r="B24" s="75" t="s">
        <v>4</v>
      </c>
      <c r="C24" s="69">
        <v>1518</v>
      </c>
      <c r="D24" s="70">
        <f>'2. 2014 Continuity Schedule'!BO47</f>
        <v>138753.22999999992</v>
      </c>
      <c r="E24" s="130" t="s">
        <v>115</v>
      </c>
      <c r="F24" s="70">
        <f>IFERROR(IF(F$4="",0,IF($E24="kWh",VLOOKUP(F$4,'4. Billing Determinants'!$B$19:$P$41,4,0)/'4. Billing Determinants'!$E$41*$D24,IF($E24="kW",VLOOKUP(F$4,'4. Billing Determinants'!$B$19:$P$41,5,0)/'4. Billing Determinants'!$F$41*$D24,IF($E24="Non-RPP kWh",VLOOKUP(F$4,'4. Billing Determinants'!$B$19:$P$41,6,0)/'4. Billing Determinants'!$G$41*$D24,IF($E24="Distribution Rev.",VLOOKUP(F$4,'4. Billing Determinants'!$B$19:$P$41,8,0)/'4. Billing Determinants'!$I$41*$D24, VLOOKUP(F$4,'4. Billing Determinants'!$B$19:$P$41,3,0)/'4. Billing Determinants'!$D$41*$D24))))),0)</f>
        <v>123924.78363706541</v>
      </c>
      <c r="G24" s="70">
        <f>IFERROR(IF(G$4="",0,IF($E24="kWh",VLOOKUP(G$4,'4. Billing Determinants'!$B$19:$P$41,4,0)/'4. Billing Determinants'!$E$41*$D24,IF($E24="kW",VLOOKUP(G$4,'4. Billing Determinants'!$B$19:$P$41,5,0)/'4. Billing Determinants'!$F$41*$D24,IF($E24="Non-RPP kWh",VLOOKUP(G$4,'4. Billing Determinants'!$B$19:$P$41,6,0)/'4. Billing Determinants'!$G$41*$D24,IF($E24="Distribution Rev.",VLOOKUP(G$4,'4. Billing Determinants'!$B$19:$P$41,8,0)/'4. Billing Determinants'!$I$41*$D24, VLOOKUP(G$4,'4. Billing Determinants'!$B$19:$P$41,3,0)/'4. Billing Determinants'!$D$41*$D24))))),0)</f>
        <v>11555.850831869673</v>
      </c>
      <c r="H24" s="70">
        <f>IFERROR(IF(H$4="",0,IF($E24="kWh",VLOOKUP(H$4,'4. Billing Determinants'!$B$19:$P$41,4,0)/'4. Billing Determinants'!$E$41*$D24,IF($E24="kW",VLOOKUP(H$4,'4. Billing Determinants'!$B$19:$P$41,5,0)/'4. Billing Determinants'!$F$41*$D24,IF($E24="Non-RPP kWh",VLOOKUP(H$4,'4. Billing Determinants'!$B$19:$P$41,6,0)/'4. Billing Determinants'!$G$41*$D24,IF($E24="Distribution Rev.",VLOOKUP(H$4,'4. Billing Determinants'!$B$19:$P$41,8,0)/'4. Billing Determinants'!$I$41*$D24, VLOOKUP(H$4,'4. Billing Determinants'!$B$19:$P$41,3,0)/'4. Billing Determinants'!$D$41*$D24))))),0)</f>
        <v>2311.1701663739345</v>
      </c>
      <c r="I24" s="70">
        <f>IFERROR(IF(I$4="",0,IF($E24="kWh",VLOOKUP(I$4,'4. Billing Determinants'!$B$19:$P$41,4,0)/'4. Billing Determinants'!$E$41*$D24,IF($E24="kW",VLOOKUP(I$4,'4. Billing Determinants'!$B$19:$P$41,5,0)/'4. Billing Determinants'!$F$41*$D24,IF($E24="Non-RPP kWh",VLOOKUP(I$4,'4. Billing Determinants'!$B$19:$P$41,6,0)/'4. Billing Determinants'!$G$41*$D24,IF($E24="Distribution Rev.",VLOOKUP(I$4,'4. Billing Determinants'!$B$19:$P$41,8,0)/'4. Billing Determinants'!$I$41*$D24, VLOOKUP(I$4,'4. Billing Determinants'!$B$19:$P$41,3,0)/'4. Billing Determinants'!$D$41*$D24))))),0)</f>
        <v>45.527106405975537</v>
      </c>
      <c r="J24" s="70">
        <f>IFERROR(IF(J$4="",0,IF($E24="kWh",VLOOKUP(J$4,'4. Billing Determinants'!$B$19:$P$41,4,0)/'4. Billing Determinants'!$E$41*$D24,IF($E24="kW",VLOOKUP(J$4,'4. Billing Determinants'!$B$19:$P$41,5,0)/'4. Billing Determinants'!$F$41*$D24,IF($E24="Non-RPP kWh",VLOOKUP(J$4,'4. Billing Determinants'!$B$19:$P$41,6,0)/'4. Billing Determinants'!$G$41*$D24,IF($E24="Distribution Rev.",VLOOKUP(J$4,'4. Billing Determinants'!$B$19:$P$41,8,0)/'4. Billing Determinants'!$I$41*$D24, VLOOKUP(J$4,'4. Billing Determinants'!$B$19:$P$41,3,0)/'4. Billing Determinants'!$D$41*$D24))))),0)</f>
        <v>902.50793287139754</v>
      </c>
      <c r="K24" s="70">
        <f>IFERROR(IF(K$4="",0,IF($E24="kWh",VLOOKUP(K$4,'4. Billing Determinants'!$B$19:$P$41,4,0)/'4. Billing Determinants'!$E$41*$D24,IF($E24="kW",VLOOKUP(K$4,'4. Billing Determinants'!$B$19:$P$41,5,0)/'4. Billing Determinants'!$F$41*$D24,IF($E24="Non-RPP kWh",VLOOKUP(K$4,'4. Billing Determinants'!$B$19:$P$41,6,0)/'4. Billing Determinants'!$G$41*$D24,IF($E24="Distribution Rev.",VLOOKUP(K$4,'4. Billing Determinants'!$B$19:$P$41,8,0)/'4. Billing Determinants'!$I$41*$D24, VLOOKUP(K$4,'4. Billing Determinants'!$B$19:$P$41,3,0)/'4. Billing Determinants'!$D$41*$D24))))),0)</f>
        <v>13.390325413522218</v>
      </c>
      <c r="L24" s="70">
        <f>IFERROR(IF(L$4="",0,IF($E24="kWh",VLOOKUP(L$4,'4. Billing Determinants'!$B$19:$P$41,4,0)/'4. Billing Determinants'!$E$41*$D24,IF($E24="kW",VLOOKUP(L$4,'4. Billing Determinants'!$B$19:$P$41,5,0)/'4. Billing Determinants'!$F$41*$D24,IF($E24="Non-RPP kWh",VLOOKUP(L$4,'4. Billing Determinants'!$B$19:$P$41,6,0)/'4. Billing Determinants'!$G$41*$D24,IF($E24="Distribution Rev.",VLOOKUP(L$4,'4. Billing Determinants'!$B$19:$P$41,8,0)/'4. Billing Determinants'!$I$41*$D24, VLOOKUP(L$4,'4. Billing Determinants'!$B$19:$P$41,3,0)/'4. Billing Determinants'!$D$41*$D24))))),0)</f>
        <v>0</v>
      </c>
      <c r="M24" s="70">
        <f>IFERROR(IF(M$4="",0,IF($E24="kWh",VLOOKUP(M$4,'4. Billing Determinants'!$B$19:$P$41,4,0)/'4. Billing Determinants'!$E$41*$D24,IF($E24="kW",VLOOKUP(M$4,'4. Billing Determinants'!$B$19:$P$41,5,0)/'4. Billing Determinants'!$F$41*$D24,IF($E24="Non-RPP kWh",VLOOKUP(M$4,'4. Billing Determinants'!$B$19:$P$41,6,0)/'4. Billing Determinants'!$G$41*$D24,IF($E24="Distribution Rev.",VLOOKUP(M$4,'4. Billing Determinants'!$B$19:$P$41,8,0)/'4. Billing Determinants'!$I$41*$D24, VLOOKUP(M$4,'4. Billing Determinants'!$B$19:$P$41,3,0)/'4. Billing Determinants'!$D$41*$D24))))),0)</f>
        <v>0</v>
      </c>
      <c r="N24" s="70">
        <f>IFERROR(IF(N$4="",0,IF($E24="kWh",VLOOKUP(N$4,'4. Billing Determinants'!$B$19:$P$41,4,0)/'4. Billing Determinants'!$E$41*$D24,IF($E24="kW",VLOOKUP(N$4,'4. Billing Determinants'!$B$19:$P$41,5,0)/'4. Billing Determinants'!$F$41*$D24,IF($E24="Non-RPP kWh",VLOOKUP(N$4,'4. Billing Determinants'!$B$19:$P$41,6,0)/'4. Billing Determinants'!$G$41*$D24,IF($E24="Distribution Rev.",VLOOKUP(N$4,'4. Billing Determinants'!$B$19:$P$41,8,0)/'4. Billing Determinants'!$I$41*$D24, VLOOKUP(N$4,'4. Billing Determinants'!$B$19:$P$41,3,0)/'4. Billing Determinants'!$D$41*$D24))))),0)</f>
        <v>0</v>
      </c>
      <c r="O24" s="70">
        <f>IFERROR(IF(O$4="",0,IF($E24="kWh",VLOOKUP(O$4,'4. Billing Determinants'!$B$19:$P$41,4,0)/'4. Billing Determinants'!$E$41*$D24,IF($E24="kW",VLOOKUP(O$4,'4. Billing Determinants'!$B$19:$P$41,5,0)/'4. Billing Determinants'!$F$41*$D24,IF($E24="Non-RPP kWh",VLOOKUP(O$4,'4. Billing Determinants'!$B$19:$P$41,6,0)/'4. Billing Determinants'!$G$41*$D24,IF($E24="Distribution Rev.",VLOOKUP(O$4,'4. Billing Determinants'!$B$19:$P$41,8,0)/'4. Billing Determinants'!$I$41*$D24, VLOOKUP(O$4,'4. Billing Determinants'!$B$19:$P$41,3,0)/'4. Billing Determinants'!$D$41*$D24))))),0)</f>
        <v>0</v>
      </c>
      <c r="P24" s="70">
        <f>IFERROR(IF(P$4="",0,IF($E24="kWh",VLOOKUP(P$4,'4. Billing Determinants'!$B$19:$P$41,4,0)/'4. Billing Determinants'!$E$41*$D24,IF($E24="kW",VLOOKUP(P$4,'4. Billing Determinants'!$B$19:$P$41,5,0)/'4. Billing Determinants'!$F$41*$D24,IF($E24="Non-RPP kWh",VLOOKUP(P$4,'4. Billing Determinants'!$B$19:$P$41,6,0)/'4. Billing Determinants'!$G$41*$D24,IF($E24="Distribution Rev.",VLOOKUP(P$4,'4. Billing Determinants'!$B$19:$P$41,8,0)/'4. Billing Determinants'!$I$41*$D24, VLOOKUP(P$4,'4. Billing Determinants'!$B$19:$P$41,3,0)/'4. Billing Determinants'!$D$41*$D24))))),0)</f>
        <v>0</v>
      </c>
      <c r="Q24" s="70">
        <f>IFERROR(IF(Q$4="",0,IF($E24="kWh",VLOOKUP(Q$4,'4. Billing Determinants'!$B$19:$P$41,4,0)/'4. Billing Determinants'!$E$41*$D24,IF($E24="kW",VLOOKUP(Q$4,'4. Billing Determinants'!$B$19:$P$41,5,0)/'4. Billing Determinants'!$F$41*$D24,IF($E24="Non-RPP kWh",VLOOKUP(Q$4,'4. Billing Determinants'!$B$19:$P$41,6,0)/'4. Billing Determinants'!$G$41*$D24,IF($E24="Distribution Rev.",VLOOKUP(Q$4,'4. Billing Determinants'!$B$19:$P$41,8,0)/'4. Billing Determinants'!$I$41*$D24, VLOOKUP(Q$4,'4. Billing Determinants'!$B$19:$P$41,3,0)/'4. Billing Determinants'!$D$41*$D24))))),0)</f>
        <v>0</v>
      </c>
      <c r="R24" s="70">
        <f>IFERROR(IF(R$4="",0,IF($E24="kWh",VLOOKUP(R$4,'4. Billing Determinants'!$B$19:$P$41,4,0)/'4. Billing Determinants'!$E$41*$D24,IF($E24="kW",VLOOKUP(R$4,'4. Billing Determinants'!$B$19:$P$41,5,0)/'4. Billing Determinants'!$F$41*$D24,IF($E24="Non-RPP kWh",VLOOKUP(R$4,'4. Billing Determinants'!$B$19:$P$41,6,0)/'4. Billing Determinants'!$G$41*$D24,IF($E24="Distribution Rev.",VLOOKUP(R$4,'4. Billing Determinants'!$B$19:$P$41,8,0)/'4. Billing Determinants'!$I$41*$D24, VLOOKUP(R$4,'4. Billing Determinants'!$B$19:$P$41,3,0)/'4. Billing Determinants'!$D$41*$D24))))),0)</f>
        <v>0</v>
      </c>
      <c r="S24" s="70">
        <f>IFERROR(IF(S$4="",0,IF($E24="kWh",VLOOKUP(S$4,'4. Billing Determinants'!$B$19:$P$41,4,0)/'4. Billing Determinants'!$E$41*$D24,IF($E24="kW",VLOOKUP(S$4,'4. Billing Determinants'!$B$19:$P$41,5,0)/'4. Billing Determinants'!$F$41*$D24,IF($E24="Non-RPP kWh",VLOOKUP(S$4,'4. Billing Determinants'!$B$19:$P$41,6,0)/'4. Billing Determinants'!$G$41*$D24,IF($E24="Distribution Rev.",VLOOKUP(S$4,'4. Billing Determinants'!$B$19:$P$41,8,0)/'4. Billing Determinants'!$I$41*$D24, VLOOKUP(S$4,'4. Billing Determinants'!$B$19:$P$41,3,0)/'4. Billing Determinants'!$D$41*$D24))))),0)</f>
        <v>0</v>
      </c>
      <c r="T24" s="70">
        <f>IFERROR(IF(T$4="",0,IF($E24="kWh",VLOOKUP(T$4,'4. Billing Determinants'!$B$19:$P$41,4,0)/'4. Billing Determinants'!$E$41*$D24,IF($E24="kW",VLOOKUP(T$4,'4. Billing Determinants'!$B$19:$P$41,5,0)/'4. Billing Determinants'!$F$41*$D24,IF($E24="Non-RPP kWh",VLOOKUP(T$4,'4. Billing Determinants'!$B$19:$P$41,6,0)/'4. Billing Determinants'!$G$41*$D24,IF($E24="Distribution Rev.",VLOOKUP(T$4,'4. Billing Determinants'!$B$19:$P$41,8,0)/'4. Billing Determinants'!$I$41*$D24, VLOOKUP(T$4,'4. Billing Determinants'!$B$19:$P$41,3,0)/'4. Billing Determinants'!$D$41*$D24))))),0)</f>
        <v>0</v>
      </c>
      <c r="U24" s="70">
        <f>IFERROR(IF(U$4="",0,IF($E24="kWh",VLOOKUP(U$4,'4. Billing Determinants'!$B$19:$P$41,4,0)/'4. Billing Determinants'!$E$41*$D24,IF($E24="kW",VLOOKUP(U$4,'4. Billing Determinants'!$B$19:$P$41,5,0)/'4. Billing Determinants'!$F$41*$D24,IF($E24="Non-RPP kWh",VLOOKUP(U$4,'4. Billing Determinants'!$B$19:$P$41,6,0)/'4. Billing Determinants'!$G$41*$D24,IF($E24="Distribution Rev.",VLOOKUP(U$4,'4. Billing Determinants'!$B$19:$P$41,8,0)/'4. Billing Determinants'!$I$41*$D24, VLOOKUP(U$4,'4. Billing Determinants'!$B$19:$P$41,3,0)/'4. Billing Determinants'!$D$41*$D24))))),0)</f>
        <v>0</v>
      </c>
      <c r="V24" s="70">
        <f>IFERROR(IF(V$4="",0,IF($E24="kWh",VLOOKUP(V$4,'4. Billing Determinants'!$B$19:$P$41,4,0)/'4. Billing Determinants'!$E$41*$D24,IF($E24="kW",VLOOKUP(V$4,'4. Billing Determinants'!$B$19:$P$41,5,0)/'4. Billing Determinants'!$F$41*$D24,IF($E24="Non-RPP kWh",VLOOKUP(V$4,'4. Billing Determinants'!$B$19:$P$41,6,0)/'4. Billing Determinants'!$G$41*$D24,IF($E24="Distribution Rev.",VLOOKUP(V$4,'4. Billing Determinants'!$B$19:$P$41,8,0)/'4. Billing Determinants'!$I$41*$D24, VLOOKUP(V$4,'4. Billing Determinants'!$B$19:$P$41,3,0)/'4. Billing Determinants'!$D$41*$D24))))),0)</f>
        <v>0</v>
      </c>
      <c r="W24" s="70">
        <f>IFERROR(IF(W$4="",0,IF($E24="kWh",VLOOKUP(W$4,'4. Billing Determinants'!$B$19:$P$41,4,0)/'4. Billing Determinants'!$E$41*$D24,IF($E24="kW",VLOOKUP(W$4,'4. Billing Determinants'!$B$19:$P$41,5,0)/'4. Billing Determinants'!$F$41*$D24,IF($E24="Non-RPP kWh",VLOOKUP(W$4,'4. Billing Determinants'!$B$19:$P$41,6,0)/'4. Billing Determinants'!$G$41*$D24,IF($E24="Distribution Rev.",VLOOKUP(W$4,'4. Billing Determinants'!$B$19:$P$41,8,0)/'4. Billing Determinants'!$I$41*$D24, VLOOKUP(W$4,'4. Billing Determinants'!$B$19:$P$41,3,0)/'4. Billing Determinants'!$D$41*$D24))))),0)</f>
        <v>0</v>
      </c>
      <c r="X24" s="70">
        <f>IFERROR(IF(X$4="",0,IF($E24="kWh",VLOOKUP(X$4,'4. Billing Determinants'!$B$19:$P$41,4,0)/'4. Billing Determinants'!$E$41*$D24,IF($E24="kW",VLOOKUP(X$4,'4. Billing Determinants'!$B$19:$P$41,5,0)/'4. Billing Determinants'!$F$41*$D24,IF($E24="Non-RPP kWh",VLOOKUP(X$4,'4. Billing Determinants'!$B$19:$P$41,6,0)/'4. Billing Determinants'!$G$41*$D24,IF($E24="Distribution Rev.",VLOOKUP(X$4,'4. Billing Determinants'!$B$19:$P$41,8,0)/'4. Billing Determinants'!$I$41*$D24, VLOOKUP(X$4,'4. Billing Determinants'!$B$19:$P$41,3,0)/'4. Billing Determinants'!$D$41*$D24))))),0)</f>
        <v>0</v>
      </c>
      <c r="Y24" s="70">
        <f>IFERROR(IF(Y$4="",0,IF($E24="kWh",VLOOKUP(Y$4,'4. Billing Determinants'!$B$19:$P$41,4,0)/'4. Billing Determinants'!$E$41*$D24,IF($E24="kW",VLOOKUP(Y$4,'4. Billing Determinants'!$B$19:$P$41,5,0)/'4. Billing Determinants'!$F$41*$D24,IF($E24="Non-RPP kWh",VLOOKUP(Y$4,'4. Billing Determinants'!$B$19:$P$41,6,0)/'4. Billing Determinants'!$G$41*$D24,IF($E24="Distribution Rev.",VLOOKUP(Y$4,'4. Billing Determinants'!$B$19:$P$41,8,0)/'4. Billing Determinants'!$I$41*$D24, VLOOKUP(Y$4,'4. Billing Determinants'!$B$19:$P$41,3,0)/'4. Billing Determinants'!$D$41*$D24))))),0)</f>
        <v>0</v>
      </c>
    </row>
    <row r="25" spans="2:25" x14ac:dyDescent="0.2">
      <c r="B25" s="68" t="s">
        <v>9</v>
      </c>
      <c r="C25" s="69">
        <v>1525</v>
      </c>
      <c r="D25" s="70">
        <f>'2. 2014 Continuity Schedule'!BO48</f>
        <v>0</v>
      </c>
      <c r="E25" s="130"/>
      <c r="F25" s="70">
        <f>IFERROR(IF(F$4="",0,IF($E25="kWh",VLOOKUP(F$4,'4. Billing Determinants'!$B$19:$P$41,4,0)/'4. Billing Determinants'!$E$41*$D25,IF($E25="kW",VLOOKUP(F$4,'4. Billing Determinants'!$B$19:$P$41,5,0)/'4. Billing Determinants'!$F$41*$D25,IF($E25="Non-RPP kWh",VLOOKUP(F$4,'4. Billing Determinants'!$B$19:$P$41,6,0)/'4. Billing Determinants'!$G$41*$D25,IF($E25="Distribution Rev.",VLOOKUP(F$4,'4. Billing Determinants'!$B$19:$P$41,8,0)/'4. Billing Determinants'!$I$41*$D25, VLOOKUP(F$4,'4. Billing Determinants'!$B$19:$P$41,3,0)/'4. Billing Determinants'!$D$41*$D25))))),0)</f>
        <v>0</v>
      </c>
      <c r="G25" s="70">
        <f>IFERROR(IF(G$4="",0,IF($E25="kWh",VLOOKUP(G$4,'4. Billing Determinants'!$B$19:$P$41,4,0)/'4. Billing Determinants'!$E$41*$D25,IF($E25="kW",VLOOKUP(G$4,'4. Billing Determinants'!$B$19:$P$41,5,0)/'4. Billing Determinants'!$F$41*$D25,IF($E25="Non-RPP kWh",VLOOKUP(G$4,'4. Billing Determinants'!$B$19:$P$41,6,0)/'4. Billing Determinants'!$G$41*$D25,IF($E25="Distribution Rev.",VLOOKUP(G$4,'4. Billing Determinants'!$B$19:$P$41,8,0)/'4. Billing Determinants'!$I$41*$D25, VLOOKUP(G$4,'4. Billing Determinants'!$B$19:$P$41,3,0)/'4. Billing Determinants'!$D$41*$D25))))),0)</f>
        <v>0</v>
      </c>
      <c r="H25" s="70">
        <f>IFERROR(IF(H$4="",0,IF($E25="kWh",VLOOKUP(H$4,'4. Billing Determinants'!$B$19:$P$41,4,0)/'4. Billing Determinants'!$E$41*$D25,IF($E25="kW",VLOOKUP(H$4,'4. Billing Determinants'!$B$19:$P$41,5,0)/'4. Billing Determinants'!$F$41*$D25,IF($E25="Non-RPP kWh",VLOOKUP(H$4,'4. Billing Determinants'!$B$19:$P$41,6,0)/'4. Billing Determinants'!$G$41*$D25,IF($E25="Distribution Rev.",VLOOKUP(H$4,'4. Billing Determinants'!$B$19:$P$41,8,0)/'4. Billing Determinants'!$I$41*$D25, VLOOKUP(H$4,'4. Billing Determinants'!$B$19:$P$41,3,0)/'4. Billing Determinants'!$D$41*$D25))))),0)</f>
        <v>0</v>
      </c>
      <c r="I25" s="70">
        <f>IFERROR(IF(I$4="",0,IF($E25="kWh",VLOOKUP(I$4,'4. Billing Determinants'!$B$19:$P$41,4,0)/'4. Billing Determinants'!$E$41*$D25,IF($E25="kW",VLOOKUP(I$4,'4. Billing Determinants'!$B$19:$P$41,5,0)/'4. Billing Determinants'!$F$41*$D25,IF($E25="Non-RPP kWh",VLOOKUP(I$4,'4. Billing Determinants'!$B$19:$P$41,6,0)/'4. Billing Determinants'!$G$41*$D25,IF($E25="Distribution Rev.",VLOOKUP(I$4,'4. Billing Determinants'!$B$19:$P$41,8,0)/'4. Billing Determinants'!$I$41*$D25, VLOOKUP(I$4,'4. Billing Determinants'!$B$19:$P$41,3,0)/'4. Billing Determinants'!$D$41*$D25))))),0)</f>
        <v>0</v>
      </c>
      <c r="J25" s="70">
        <f>IFERROR(IF(J$4="",0,IF($E25="kWh",VLOOKUP(J$4,'4. Billing Determinants'!$B$19:$P$41,4,0)/'4. Billing Determinants'!$E$41*$D25,IF($E25="kW",VLOOKUP(J$4,'4. Billing Determinants'!$B$19:$P$41,5,0)/'4. Billing Determinants'!$F$41*$D25,IF($E25="Non-RPP kWh",VLOOKUP(J$4,'4. Billing Determinants'!$B$19:$P$41,6,0)/'4. Billing Determinants'!$G$41*$D25,IF($E25="Distribution Rev.",VLOOKUP(J$4,'4. Billing Determinants'!$B$19:$P$41,8,0)/'4. Billing Determinants'!$I$41*$D25, VLOOKUP(J$4,'4. Billing Determinants'!$B$19:$P$41,3,0)/'4. Billing Determinants'!$D$41*$D25))))),0)</f>
        <v>0</v>
      </c>
      <c r="K25" s="70">
        <f>IFERROR(IF(K$4="",0,IF($E25="kWh",VLOOKUP(K$4,'4. Billing Determinants'!$B$19:$P$41,4,0)/'4. Billing Determinants'!$E$41*$D25,IF($E25="kW",VLOOKUP(K$4,'4. Billing Determinants'!$B$19:$P$41,5,0)/'4. Billing Determinants'!$F$41*$D25,IF($E25="Non-RPP kWh",VLOOKUP(K$4,'4. Billing Determinants'!$B$19:$P$41,6,0)/'4. Billing Determinants'!$G$41*$D25,IF($E25="Distribution Rev.",VLOOKUP(K$4,'4. Billing Determinants'!$B$19:$P$41,8,0)/'4. Billing Determinants'!$I$41*$D25, VLOOKUP(K$4,'4. Billing Determinants'!$B$19:$P$41,3,0)/'4. Billing Determinants'!$D$41*$D25))))),0)</f>
        <v>0</v>
      </c>
      <c r="L25" s="70">
        <f>IFERROR(IF(L$4="",0,IF($E25="kWh",VLOOKUP(L$4,'4. Billing Determinants'!$B$19:$P$41,4,0)/'4. Billing Determinants'!$E$41*$D25,IF($E25="kW",VLOOKUP(L$4,'4. Billing Determinants'!$B$19:$P$41,5,0)/'4. Billing Determinants'!$F$41*$D25,IF($E25="Non-RPP kWh",VLOOKUP(L$4,'4. Billing Determinants'!$B$19:$P$41,6,0)/'4. Billing Determinants'!$G$41*$D25,IF($E25="Distribution Rev.",VLOOKUP(L$4,'4. Billing Determinants'!$B$19:$P$41,8,0)/'4. Billing Determinants'!$I$41*$D25, VLOOKUP(L$4,'4. Billing Determinants'!$B$19:$P$41,3,0)/'4. Billing Determinants'!$D$41*$D25))))),0)</f>
        <v>0</v>
      </c>
      <c r="M25" s="70">
        <f>IFERROR(IF(M$4="",0,IF($E25="kWh",VLOOKUP(M$4,'4. Billing Determinants'!$B$19:$P$41,4,0)/'4. Billing Determinants'!$E$41*$D25,IF($E25="kW",VLOOKUP(M$4,'4. Billing Determinants'!$B$19:$P$41,5,0)/'4. Billing Determinants'!$F$41*$D25,IF($E25="Non-RPP kWh",VLOOKUP(M$4,'4. Billing Determinants'!$B$19:$P$41,6,0)/'4. Billing Determinants'!$G$41*$D25,IF($E25="Distribution Rev.",VLOOKUP(M$4,'4. Billing Determinants'!$B$19:$P$41,8,0)/'4. Billing Determinants'!$I$41*$D25, VLOOKUP(M$4,'4. Billing Determinants'!$B$19:$P$41,3,0)/'4. Billing Determinants'!$D$41*$D25))))),0)</f>
        <v>0</v>
      </c>
      <c r="N25" s="70">
        <f>IFERROR(IF(N$4="",0,IF($E25="kWh",VLOOKUP(N$4,'4. Billing Determinants'!$B$19:$P$41,4,0)/'4. Billing Determinants'!$E$41*$D25,IF($E25="kW",VLOOKUP(N$4,'4. Billing Determinants'!$B$19:$P$41,5,0)/'4. Billing Determinants'!$F$41*$D25,IF($E25="Non-RPP kWh",VLOOKUP(N$4,'4. Billing Determinants'!$B$19:$P$41,6,0)/'4. Billing Determinants'!$G$41*$D25,IF($E25="Distribution Rev.",VLOOKUP(N$4,'4. Billing Determinants'!$B$19:$P$41,8,0)/'4. Billing Determinants'!$I$41*$D25, VLOOKUP(N$4,'4. Billing Determinants'!$B$19:$P$41,3,0)/'4. Billing Determinants'!$D$41*$D25))))),0)</f>
        <v>0</v>
      </c>
      <c r="O25" s="70">
        <f>IFERROR(IF(O$4="",0,IF($E25="kWh",VLOOKUP(O$4,'4. Billing Determinants'!$B$19:$P$41,4,0)/'4. Billing Determinants'!$E$41*$D25,IF($E25="kW",VLOOKUP(O$4,'4. Billing Determinants'!$B$19:$P$41,5,0)/'4. Billing Determinants'!$F$41*$D25,IF($E25="Non-RPP kWh",VLOOKUP(O$4,'4. Billing Determinants'!$B$19:$P$41,6,0)/'4. Billing Determinants'!$G$41*$D25,IF($E25="Distribution Rev.",VLOOKUP(O$4,'4. Billing Determinants'!$B$19:$P$41,8,0)/'4. Billing Determinants'!$I$41*$D25, VLOOKUP(O$4,'4. Billing Determinants'!$B$19:$P$41,3,0)/'4. Billing Determinants'!$D$41*$D25))))),0)</f>
        <v>0</v>
      </c>
      <c r="P25" s="70">
        <f>IFERROR(IF(P$4="",0,IF($E25="kWh",VLOOKUP(P$4,'4. Billing Determinants'!$B$19:$P$41,4,0)/'4. Billing Determinants'!$E$41*$D25,IF($E25="kW",VLOOKUP(P$4,'4. Billing Determinants'!$B$19:$P$41,5,0)/'4. Billing Determinants'!$F$41*$D25,IF($E25="Non-RPP kWh",VLOOKUP(P$4,'4. Billing Determinants'!$B$19:$P$41,6,0)/'4. Billing Determinants'!$G$41*$D25,IF($E25="Distribution Rev.",VLOOKUP(P$4,'4. Billing Determinants'!$B$19:$P$41,8,0)/'4. Billing Determinants'!$I$41*$D25, VLOOKUP(P$4,'4. Billing Determinants'!$B$19:$P$41,3,0)/'4. Billing Determinants'!$D$41*$D25))))),0)</f>
        <v>0</v>
      </c>
      <c r="Q25" s="70">
        <f>IFERROR(IF(Q$4="",0,IF($E25="kWh",VLOOKUP(Q$4,'4. Billing Determinants'!$B$19:$P$41,4,0)/'4. Billing Determinants'!$E$41*$D25,IF($E25="kW",VLOOKUP(Q$4,'4. Billing Determinants'!$B$19:$P$41,5,0)/'4. Billing Determinants'!$F$41*$D25,IF($E25="Non-RPP kWh",VLOOKUP(Q$4,'4. Billing Determinants'!$B$19:$P$41,6,0)/'4. Billing Determinants'!$G$41*$D25,IF($E25="Distribution Rev.",VLOOKUP(Q$4,'4. Billing Determinants'!$B$19:$P$41,8,0)/'4. Billing Determinants'!$I$41*$D25, VLOOKUP(Q$4,'4. Billing Determinants'!$B$19:$P$41,3,0)/'4. Billing Determinants'!$D$41*$D25))))),0)</f>
        <v>0</v>
      </c>
      <c r="R25" s="70">
        <f>IFERROR(IF(R$4="",0,IF($E25="kWh",VLOOKUP(R$4,'4. Billing Determinants'!$B$19:$P$41,4,0)/'4. Billing Determinants'!$E$41*$D25,IF($E25="kW",VLOOKUP(R$4,'4. Billing Determinants'!$B$19:$P$41,5,0)/'4. Billing Determinants'!$F$41*$D25,IF($E25="Non-RPP kWh",VLOOKUP(R$4,'4. Billing Determinants'!$B$19:$P$41,6,0)/'4. Billing Determinants'!$G$41*$D25,IF($E25="Distribution Rev.",VLOOKUP(R$4,'4. Billing Determinants'!$B$19:$P$41,8,0)/'4. Billing Determinants'!$I$41*$D25, VLOOKUP(R$4,'4. Billing Determinants'!$B$19:$P$41,3,0)/'4. Billing Determinants'!$D$41*$D25))))),0)</f>
        <v>0</v>
      </c>
      <c r="S25" s="70">
        <f>IFERROR(IF(S$4="",0,IF($E25="kWh",VLOOKUP(S$4,'4. Billing Determinants'!$B$19:$P$41,4,0)/'4. Billing Determinants'!$E$41*$D25,IF($E25="kW",VLOOKUP(S$4,'4. Billing Determinants'!$B$19:$P$41,5,0)/'4. Billing Determinants'!$F$41*$D25,IF($E25="Non-RPP kWh",VLOOKUP(S$4,'4. Billing Determinants'!$B$19:$P$41,6,0)/'4. Billing Determinants'!$G$41*$D25,IF($E25="Distribution Rev.",VLOOKUP(S$4,'4. Billing Determinants'!$B$19:$P$41,8,0)/'4. Billing Determinants'!$I$41*$D25, VLOOKUP(S$4,'4. Billing Determinants'!$B$19:$P$41,3,0)/'4. Billing Determinants'!$D$41*$D25))))),0)</f>
        <v>0</v>
      </c>
      <c r="T25" s="70">
        <f>IFERROR(IF(T$4="",0,IF($E25="kWh",VLOOKUP(T$4,'4. Billing Determinants'!$B$19:$P$41,4,0)/'4. Billing Determinants'!$E$41*$D25,IF($E25="kW",VLOOKUP(T$4,'4. Billing Determinants'!$B$19:$P$41,5,0)/'4. Billing Determinants'!$F$41*$D25,IF($E25="Non-RPP kWh",VLOOKUP(T$4,'4. Billing Determinants'!$B$19:$P$41,6,0)/'4. Billing Determinants'!$G$41*$D25,IF($E25="Distribution Rev.",VLOOKUP(T$4,'4. Billing Determinants'!$B$19:$P$41,8,0)/'4. Billing Determinants'!$I$41*$D25, VLOOKUP(T$4,'4. Billing Determinants'!$B$19:$P$41,3,0)/'4. Billing Determinants'!$D$41*$D25))))),0)</f>
        <v>0</v>
      </c>
      <c r="U25" s="70">
        <f>IFERROR(IF(U$4="",0,IF($E25="kWh",VLOOKUP(U$4,'4. Billing Determinants'!$B$19:$P$41,4,0)/'4. Billing Determinants'!$E$41*$D25,IF($E25="kW",VLOOKUP(U$4,'4. Billing Determinants'!$B$19:$P$41,5,0)/'4. Billing Determinants'!$F$41*$D25,IF($E25="Non-RPP kWh",VLOOKUP(U$4,'4. Billing Determinants'!$B$19:$P$41,6,0)/'4. Billing Determinants'!$G$41*$D25,IF($E25="Distribution Rev.",VLOOKUP(U$4,'4. Billing Determinants'!$B$19:$P$41,8,0)/'4. Billing Determinants'!$I$41*$D25, VLOOKUP(U$4,'4. Billing Determinants'!$B$19:$P$41,3,0)/'4. Billing Determinants'!$D$41*$D25))))),0)</f>
        <v>0</v>
      </c>
      <c r="V25" s="70">
        <f>IFERROR(IF(V$4="",0,IF($E25="kWh",VLOOKUP(V$4,'4. Billing Determinants'!$B$19:$P$41,4,0)/'4. Billing Determinants'!$E$41*$D25,IF($E25="kW",VLOOKUP(V$4,'4. Billing Determinants'!$B$19:$P$41,5,0)/'4. Billing Determinants'!$F$41*$D25,IF($E25="Non-RPP kWh",VLOOKUP(V$4,'4. Billing Determinants'!$B$19:$P$41,6,0)/'4. Billing Determinants'!$G$41*$D25,IF($E25="Distribution Rev.",VLOOKUP(V$4,'4. Billing Determinants'!$B$19:$P$41,8,0)/'4. Billing Determinants'!$I$41*$D25, VLOOKUP(V$4,'4. Billing Determinants'!$B$19:$P$41,3,0)/'4. Billing Determinants'!$D$41*$D25))))),0)</f>
        <v>0</v>
      </c>
      <c r="W25" s="70">
        <f>IFERROR(IF(W$4="",0,IF($E25="kWh",VLOOKUP(W$4,'4. Billing Determinants'!$B$19:$P$41,4,0)/'4. Billing Determinants'!$E$41*$D25,IF($E25="kW",VLOOKUP(W$4,'4. Billing Determinants'!$B$19:$P$41,5,0)/'4. Billing Determinants'!$F$41*$D25,IF($E25="Non-RPP kWh",VLOOKUP(W$4,'4. Billing Determinants'!$B$19:$P$41,6,0)/'4. Billing Determinants'!$G$41*$D25,IF($E25="Distribution Rev.",VLOOKUP(W$4,'4. Billing Determinants'!$B$19:$P$41,8,0)/'4. Billing Determinants'!$I$41*$D25, VLOOKUP(W$4,'4. Billing Determinants'!$B$19:$P$41,3,0)/'4. Billing Determinants'!$D$41*$D25))))),0)</f>
        <v>0</v>
      </c>
      <c r="X25" s="70">
        <f>IFERROR(IF(X$4="",0,IF($E25="kWh",VLOOKUP(X$4,'4. Billing Determinants'!$B$19:$P$41,4,0)/'4. Billing Determinants'!$E$41*$D25,IF($E25="kW",VLOOKUP(X$4,'4. Billing Determinants'!$B$19:$P$41,5,0)/'4. Billing Determinants'!$F$41*$D25,IF($E25="Non-RPP kWh",VLOOKUP(X$4,'4. Billing Determinants'!$B$19:$P$41,6,0)/'4. Billing Determinants'!$G$41*$D25,IF($E25="Distribution Rev.",VLOOKUP(X$4,'4. Billing Determinants'!$B$19:$P$41,8,0)/'4. Billing Determinants'!$I$41*$D25, VLOOKUP(X$4,'4. Billing Determinants'!$B$19:$P$41,3,0)/'4. Billing Determinants'!$D$41*$D25))))),0)</f>
        <v>0</v>
      </c>
      <c r="Y25" s="70">
        <f>IFERROR(IF(Y$4="",0,IF($E25="kWh",VLOOKUP(Y$4,'4. Billing Determinants'!$B$19:$P$41,4,0)/'4. Billing Determinants'!$E$41*$D25,IF($E25="kW",VLOOKUP(Y$4,'4. Billing Determinants'!$B$19:$P$41,5,0)/'4. Billing Determinants'!$F$41*$D25,IF($E25="Non-RPP kWh",VLOOKUP(Y$4,'4. Billing Determinants'!$B$19:$P$41,6,0)/'4. Billing Determinants'!$G$41*$D25,IF($E25="Distribution Rev.",VLOOKUP(Y$4,'4. Billing Determinants'!$B$19:$P$41,8,0)/'4. Billing Determinants'!$I$41*$D25, VLOOKUP(Y$4,'4. Billing Determinants'!$B$19:$P$41,3,0)/'4. Billing Determinants'!$D$41*$D25))))),0)</f>
        <v>0</v>
      </c>
    </row>
    <row r="26" spans="2:25" x14ac:dyDescent="0.2">
      <c r="B26" s="68" t="s">
        <v>41</v>
      </c>
      <c r="C26" s="69">
        <v>1531</v>
      </c>
      <c r="D26" s="70">
        <f>'2. 2014 Continuity Schedule'!BO49</f>
        <v>0</v>
      </c>
      <c r="E26" s="130"/>
      <c r="F26" s="70">
        <f>IFERROR(IF(F$4="",0,IF($E26="kWh",VLOOKUP(F$4,'4. Billing Determinants'!$B$19:$P$41,4,0)/'4. Billing Determinants'!$E$41*$D26,IF($E26="kW",VLOOKUP(F$4,'4. Billing Determinants'!$B$19:$P$41,5,0)/'4. Billing Determinants'!$F$41*$D26,IF($E26="Non-RPP kWh",VLOOKUP(F$4,'4. Billing Determinants'!$B$19:$P$41,6,0)/'4. Billing Determinants'!$G$41*$D26,IF($E26="Distribution Rev.",VLOOKUP(F$4,'4. Billing Determinants'!$B$19:$P$41,8,0)/'4. Billing Determinants'!$I$41*$D26, VLOOKUP(F$4,'4. Billing Determinants'!$B$19:$P$41,3,0)/'4. Billing Determinants'!$D$41*$D26))))),0)</f>
        <v>0</v>
      </c>
      <c r="G26" s="70">
        <f>IFERROR(IF(G$4="",0,IF($E26="kWh",VLOOKUP(G$4,'4. Billing Determinants'!$B$19:$P$41,4,0)/'4. Billing Determinants'!$E$41*$D26,IF($E26="kW",VLOOKUP(G$4,'4. Billing Determinants'!$B$19:$P$41,5,0)/'4. Billing Determinants'!$F$41*$D26,IF($E26="Non-RPP kWh",VLOOKUP(G$4,'4. Billing Determinants'!$B$19:$P$41,6,0)/'4. Billing Determinants'!$G$41*$D26,IF($E26="Distribution Rev.",VLOOKUP(G$4,'4. Billing Determinants'!$B$19:$P$41,8,0)/'4. Billing Determinants'!$I$41*$D26, VLOOKUP(G$4,'4. Billing Determinants'!$B$19:$P$41,3,0)/'4. Billing Determinants'!$D$41*$D26))))),0)</f>
        <v>0</v>
      </c>
      <c r="H26" s="70">
        <f>IFERROR(IF(H$4="",0,IF($E26="kWh",VLOOKUP(H$4,'4. Billing Determinants'!$B$19:$P$41,4,0)/'4. Billing Determinants'!$E$41*$D26,IF($E26="kW",VLOOKUP(H$4,'4. Billing Determinants'!$B$19:$P$41,5,0)/'4. Billing Determinants'!$F$41*$D26,IF($E26="Non-RPP kWh",VLOOKUP(H$4,'4. Billing Determinants'!$B$19:$P$41,6,0)/'4. Billing Determinants'!$G$41*$D26,IF($E26="Distribution Rev.",VLOOKUP(H$4,'4. Billing Determinants'!$B$19:$P$41,8,0)/'4. Billing Determinants'!$I$41*$D26, VLOOKUP(H$4,'4. Billing Determinants'!$B$19:$P$41,3,0)/'4. Billing Determinants'!$D$41*$D26))))),0)</f>
        <v>0</v>
      </c>
      <c r="I26" s="70">
        <f>IFERROR(IF(I$4="",0,IF($E26="kWh",VLOOKUP(I$4,'4. Billing Determinants'!$B$19:$P$41,4,0)/'4. Billing Determinants'!$E$41*$D26,IF($E26="kW",VLOOKUP(I$4,'4. Billing Determinants'!$B$19:$P$41,5,0)/'4. Billing Determinants'!$F$41*$D26,IF($E26="Non-RPP kWh",VLOOKUP(I$4,'4. Billing Determinants'!$B$19:$P$41,6,0)/'4. Billing Determinants'!$G$41*$D26,IF($E26="Distribution Rev.",VLOOKUP(I$4,'4. Billing Determinants'!$B$19:$P$41,8,0)/'4. Billing Determinants'!$I$41*$D26, VLOOKUP(I$4,'4. Billing Determinants'!$B$19:$P$41,3,0)/'4. Billing Determinants'!$D$41*$D26))))),0)</f>
        <v>0</v>
      </c>
      <c r="J26" s="70">
        <f>IFERROR(IF(J$4="",0,IF($E26="kWh",VLOOKUP(J$4,'4. Billing Determinants'!$B$19:$P$41,4,0)/'4. Billing Determinants'!$E$41*$D26,IF($E26="kW",VLOOKUP(J$4,'4. Billing Determinants'!$B$19:$P$41,5,0)/'4. Billing Determinants'!$F$41*$D26,IF($E26="Non-RPP kWh",VLOOKUP(J$4,'4. Billing Determinants'!$B$19:$P$41,6,0)/'4. Billing Determinants'!$G$41*$D26,IF($E26="Distribution Rev.",VLOOKUP(J$4,'4. Billing Determinants'!$B$19:$P$41,8,0)/'4. Billing Determinants'!$I$41*$D26, VLOOKUP(J$4,'4. Billing Determinants'!$B$19:$P$41,3,0)/'4. Billing Determinants'!$D$41*$D26))))),0)</f>
        <v>0</v>
      </c>
      <c r="K26" s="70">
        <f>IFERROR(IF(K$4="",0,IF($E26="kWh",VLOOKUP(K$4,'4. Billing Determinants'!$B$19:$P$41,4,0)/'4. Billing Determinants'!$E$41*$D26,IF($E26="kW",VLOOKUP(K$4,'4. Billing Determinants'!$B$19:$P$41,5,0)/'4. Billing Determinants'!$F$41*$D26,IF($E26="Non-RPP kWh",VLOOKUP(K$4,'4. Billing Determinants'!$B$19:$P$41,6,0)/'4. Billing Determinants'!$G$41*$D26,IF($E26="Distribution Rev.",VLOOKUP(K$4,'4. Billing Determinants'!$B$19:$P$41,8,0)/'4. Billing Determinants'!$I$41*$D26, VLOOKUP(K$4,'4. Billing Determinants'!$B$19:$P$41,3,0)/'4. Billing Determinants'!$D$41*$D26))))),0)</f>
        <v>0</v>
      </c>
      <c r="L26" s="70">
        <f>IFERROR(IF(L$4="",0,IF($E26="kWh",VLOOKUP(L$4,'4. Billing Determinants'!$B$19:$P$41,4,0)/'4. Billing Determinants'!$E$41*$D26,IF($E26="kW",VLOOKUP(L$4,'4. Billing Determinants'!$B$19:$P$41,5,0)/'4. Billing Determinants'!$F$41*$D26,IF($E26="Non-RPP kWh",VLOOKUP(L$4,'4. Billing Determinants'!$B$19:$P$41,6,0)/'4. Billing Determinants'!$G$41*$D26,IF($E26="Distribution Rev.",VLOOKUP(L$4,'4. Billing Determinants'!$B$19:$P$41,8,0)/'4. Billing Determinants'!$I$41*$D26, VLOOKUP(L$4,'4. Billing Determinants'!$B$19:$P$41,3,0)/'4. Billing Determinants'!$D$41*$D26))))),0)</f>
        <v>0</v>
      </c>
      <c r="M26" s="70">
        <f>IFERROR(IF(M$4="",0,IF($E26="kWh",VLOOKUP(M$4,'4. Billing Determinants'!$B$19:$P$41,4,0)/'4. Billing Determinants'!$E$41*$D26,IF($E26="kW",VLOOKUP(M$4,'4. Billing Determinants'!$B$19:$P$41,5,0)/'4. Billing Determinants'!$F$41*$D26,IF($E26="Non-RPP kWh",VLOOKUP(M$4,'4. Billing Determinants'!$B$19:$P$41,6,0)/'4. Billing Determinants'!$G$41*$D26,IF($E26="Distribution Rev.",VLOOKUP(M$4,'4. Billing Determinants'!$B$19:$P$41,8,0)/'4. Billing Determinants'!$I$41*$D26, VLOOKUP(M$4,'4. Billing Determinants'!$B$19:$P$41,3,0)/'4. Billing Determinants'!$D$41*$D26))))),0)</f>
        <v>0</v>
      </c>
      <c r="N26" s="70">
        <f>IFERROR(IF(N$4="",0,IF($E26="kWh",VLOOKUP(N$4,'4. Billing Determinants'!$B$19:$P$41,4,0)/'4. Billing Determinants'!$E$41*$D26,IF($E26="kW",VLOOKUP(N$4,'4. Billing Determinants'!$B$19:$P$41,5,0)/'4. Billing Determinants'!$F$41*$D26,IF($E26="Non-RPP kWh",VLOOKUP(N$4,'4. Billing Determinants'!$B$19:$P$41,6,0)/'4. Billing Determinants'!$G$41*$D26,IF($E26="Distribution Rev.",VLOOKUP(N$4,'4. Billing Determinants'!$B$19:$P$41,8,0)/'4. Billing Determinants'!$I$41*$D26, VLOOKUP(N$4,'4. Billing Determinants'!$B$19:$P$41,3,0)/'4. Billing Determinants'!$D$41*$D26))))),0)</f>
        <v>0</v>
      </c>
      <c r="O26" s="70">
        <f>IFERROR(IF(O$4="",0,IF($E26="kWh",VLOOKUP(O$4,'4. Billing Determinants'!$B$19:$P$41,4,0)/'4. Billing Determinants'!$E$41*$D26,IF($E26="kW",VLOOKUP(O$4,'4. Billing Determinants'!$B$19:$P$41,5,0)/'4. Billing Determinants'!$F$41*$D26,IF($E26="Non-RPP kWh",VLOOKUP(O$4,'4. Billing Determinants'!$B$19:$P$41,6,0)/'4. Billing Determinants'!$G$41*$D26,IF($E26="Distribution Rev.",VLOOKUP(O$4,'4. Billing Determinants'!$B$19:$P$41,8,0)/'4. Billing Determinants'!$I$41*$D26, VLOOKUP(O$4,'4. Billing Determinants'!$B$19:$P$41,3,0)/'4. Billing Determinants'!$D$41*$D26))))),0)</f>
        <v>0</v>
      </c>
      <c r="P26" s="70">
        <f>IFERROR(IF(P$4="",0,IF($E26="kWh",VLOOKUP(P$4,'4. Billing Determinants'!$B$19:$P$41,4,0)/'4. Billing Determinants'!$E$41*$D26,IF($E26="kW",VLOOKUP(P$4,'4. Billing Determinants'!$B$19:$P$41,5,0)/'4. Billing Determinants'!$F$41*$D26,IF($E26="Non-RPP kWh",VLOOKUP(P$4,'4. Billing Determinants'!$B$19:$P$41,6,0)/'4. Billing Determinants'!$G$41*$D26,IF($E26="Distribution Rev.",VLOOKUP(P$4,'4. Billing Determinants'!$B$19:$P$41,8,0)/'4. Billing Determinants'!$I$41*$D26, VLOOKUP(P$4,'4. Billing Determinants'!$B$19:$P$41,3,0)/'4. Billing Determinants'!$D$41*$D26))))),0)</f>
        <v>0</v>
      </c>
      <c r="Q26" s="70">
        <f>IFERROR(IF(Q$4="",0,IF($E26="kWh",VLOOKUP(Q$4,'4. Billing Determinants'!$B$19:$P$41,4,0)/'4. Billing Determinants'!$E$41*$D26,IF($E26="kW",VLOOKUP(Q$4,'4. Billing Determinants'!$B$19:$P$41,5,0)/'4. Billing Determinants'!$F$41*$D26,IF($E26="Non-RPP kWh",VLOOKUP(Q$4,'4. Billing Determinants'!$B$19:$P$41,6,0)/'4. Billing Determinants'!$G$41*$D26,IF($E26="Distribution Rev.",VLOOKUP(Q$4,'4. Billing Determinants'!$B$19:$P$41,8,0)/'4. Billing Determinants'!$I$41*$D26, VLOOKUP(Q$4,'4. Billing Determinants'!$B$19:$P$41,3,0)/'4. Billing Determinants'!$D$41*$D26))))),0)</f>
        <v>0</v>
      </c>
      <c r="R26" s="70">
        <f>IFERROR(IF(R$4="",0,IF($E26="kWh",VLOOKUP(R$4,'4. Billing Determinants'!$B$19:$P$41,4,0)/'4. Billing Determinants'!$E$41*$D26,IF($E26="kW",VLOOKUP(R$4,'4. Billing Determinants'!$B$19:$P$41,5,0)/'4. Billing Determinants'!$F$41*$D26,IF($E26="Non-RPP kWh",VLOOKUP(R$4,'4. Billing Determinants'!$B$19:$P$41,6,0)/'4. Billing Determinants'!$G$41*$D26,IF($E26="Distribution Rev.",VLOOKUP(R$4,'4. Billing Determinants'!$B$19:$P$41,8,0)/'4. Billing Determinants'!$I$41*$D26, VLOOKUP(R$4,'4. Billing Determinants'!$B$19:$P$41,3,0)/'4. Billing Determinants'!$D$41*$D26))))),0)</f>
        <v>0</v>
      </c>
      <c r="S26" s="70">
        <f>IFERROR(IF(S$4="",0,IF($E26="kWh",VLOOKUP(S$4,'4. Billing Determinants'!$B$19:$P$41,4,0)/'4. Billing Determinants'!$E$41*$D26,IF($E26="kW",VLOOKUP(S$4,'4. Billing Determinants'!$B$19:$P$41,5,0)/'4. Billing Determinants'!$F$41*$D26,IF($E26="Non-RPP kWh",VLOOKUP(S$4,'4. Billing Determinants'!$B$19:$P$41,6,0)/'4. Billing Determinants'!$G$41*$D26,IF($E26="Distribution Rev.",VLOOKUP(S$4,'4. Billing Determinants'!$B$19:$P$41,8,0)/'4. Billing Determinants'!$I$41*$D26, VLOOKUP(S$4,'4. Billing Determinants'!$B$19:$P$41,3,0)/'4. Billing Determinants'!$D$41*$D26))))),0)</f>
        <v>0</v>
      </c>
      <c r="T26" s="70">
        <f>IFERROR(IF(T$4="",0,IF($E26="kWh",VLOOKUP(T$4,'4. Billing Determinants'!$B$19:$P$41,4,0)/'4. Billing Determinants'!$E$41*$D26,IF($E26="kW",VLOOKUP(T$4,'4. Billing Determinants'!$B$19:$P$41,5,0)/'4. Billing Determinants'!$F$41*$D26,IF($E26="Non-RPP kWh",VLOOKUP(T$4,'4. Billing Determinants'!$B$19:$P$41,6,0)/'4. Billing Determinants'!$G$41*$D26,IF($E26="Distribution Rev.",VLOOKUP(T$4,'4. Billing Determinants'!$B$19:$P$41,8,0)/'4. Billing Determinants'!$I$41*$D26, VLOOKUP(T$4,'4. Billing Determinants'!$B$19:$P$41,3,0)/'4. Billing Determinants'!$D$41*$D26))))),0)</f>
        <v>0</v>
      </c>
      <c r="U26" s="70">
        <f>IFERROR(IF(U$4="",0,IF($E26="kWh",VLOOKUP(U$4,'4. Billing Determinants'!$B$19:$P$41,4,0)/'4. Billing Determinants'!$E$41*$D26,IF($E26="kW",VLOOKUP(U$4,'4. Billing Determinants'!$B$19:$P$41,5,0)/'4. Billing Determinants'!$F$41*$D26,IF($E26="Non-RPP kWh",VLOOKUP(U$4,'4. Billing Determinants'!$B$19:$P$41,6,0)/'4. Billing Determinants'!$G$41*$D26,IF($E26="Distribution Rev.",VLOOKUP(U$4,'4. Billing Determinants'!$B$19:$P$41,8,0)/'4. Billing Determinants'!$I$41*$D26, VLOOKUP(U$4,'4. Billing Determinants'!$B$19:$P$41,3,0)/'4. Billing Determinants'!$D$41*$D26))))),0)</f>
        <v>0</v>
      </c>
      <c r="V26" s="70">
        <f>IFERROR(IF(V$4="",0,IF($E26="kWh",VLOOKUP(V$4,'4. Billing Determinants'!$B$19:$P$41,4,0)/'4. Billing Determinants'!$E$41*$D26,IF($E26="kW",VLOOKUP(V$4,'4. Billing Determinants'!$B$19:$P$41,5,0)/'4. Billing Determinants'!$F$41*$D26,IF($E26="Non-RPP kWh",VLOOKUP(V$4,'4. Billing Determinants'!$B$19:$P$41,6,0)/'4. Billing Determinants'!$G$41*$D26,IF($E26="Distribution Rev.",VLOOKUP(V$4,'4. Billing Determinants'!$B$19:$P$41,8,0)/'4. Billing Determinants'!$I$41*$D26, VLOOKUP(V$4,'4. Billing Determinants'!$B$19:$P$41,3,0)/'4. Billing Determinants'!$D$41*$D26))))),0)</f>
        <v>0</v>
      </c>
      <c r="W26" s="70">
        <f>IFERROR(IF(W$4="",0,IF($E26="kWh",VLOOKUP(W$4,'4. Billing Determinants'!$B$19:$P$41,4,0)/'4. Billing Determinants'!$E$41*$D26,IF($E26="kW",VLOOKUP(W$4,'4. Billing Determinants'!$B$19:$P$41,5,0)/'4. Billing Determinants'!$F$41*$D26,IF($E26="Non-RPP kWh",VLOOKUP(W$4,'4. Billing Determinants'!$B$19:$P$41,6,0)/'4. Billing Determinants'!$G$41*$D26,IF($E26="Distribution Rev.",VLOOKUP(W$4,'4. Billing Determinants'!$B$19:$P$41,8,0)/'4. Billing Determinants'!$I$41*$D26, VLOOKUP(W$4,'4. Billing Determinants'!$B$19:$P$41,3,0)/'4. Billing Determinants'!$D$41*$D26))))),0)</f>
        <v>0</v>
      </c>
      <c r="X26" s="70">
        <f>IFERROR(IF(X$4="",0,IF($E26="kWh",VLOOKUP(X$4,'4. Billing Determinants'!$B$19:$P$41,4,0)/'4. Billing Determinants'!$E$41*$D26,IF($E26="kW",VLOOKUP(X$4,'4. Billing Determinants'!$B$19:$P$41,5,0)/'4. Billing Determinants'!$F$41*$D26,IF($E26="Non-RPP kWh",VLOOKUP(X$4,'4. Billing Determinants'!$B$19:$P$41,6,0)/'4. Billing Determinants'!$G$41*$D26,IF($E26="Distribution Rev.",VLOOKUP(X$4,'4. Billing Determinants'!$B$19:$P$41,8,0)/'4. Billing Determinants'!$I$41*$D26, VLOOKUP(X$4,'4. Billing Determinants'!$B$19:$P$41,3,0)/'4. Billing Determinants'!$D$41*$D26))))),0)</f>
        <v>0</v>
      </c>
      <c r="Y26" s="70">
        <f>IFERROR(IF(Y$4="",0,IF($E26="kWh",VLOOKUP(Y$4,'4. Billing Determinants'!$B$19:$P$41,4,0)/'4. Billing Determinants'!$E$41*$D26,IF($E26="kW",VLOOKUP(Y$4,'4. Billing Determinants'!$B$19:$P$41,5,0)/'4. Billing Determinants'!$F$41*$D26,IF($E26="Non-RPP kWh",VLOOKUP(Y$4,'4. Billing Determinants'!$B$19:$P$41,6,0)/'4. Billing Determinants'!$G$41*$D26,IF($E26="Distribution Rev.",VLOOKUP(Y$4,'4. Billing Determinants'!$B$19:$P$41,8,0)/'4. Billing Determinants'!$I$41*$D26, VLOOKUP(Y$4,'4. Billing Determinants'!$B$19:$P$41,3,0)/'4. Billing Determinants'!$D$41*$D26))))),0)</f>
        <v>0</v>
      </c>
    </row>
    <row r="27" spans="2:25" x14ac:dyDescent="0.2">
      <c r="B27" s="68" t="s">
        <v>42</v>
      </c>
      <c r="C27" s="69">
        <v>1532</v>
      </c>
      <c r="D27" s="70">
        <f>'2. 2014 Continuity Schedule'!BO50</f>
        <v>0</v>
      </c>
      <c r="E27" s="130"/>
      <c r="F27" s="70">
        <f>IFERROR(IF(F$4="",0,IF($E27="kWh",VLOOKUP(F$4,'4. Billing Determinants'!$B$19:$P$41,4,0)/'4. Billing Determinants'!$E$41*$D27,IF($E27="kW",VLOOKUP(F$4,'4. Billing Determinants'!$B$19:$P$41,5,0)/'4. Billing Determinants'!$F$41*$D27,IF($E27="Non-RPP kWh",VLOOKUP(F$4,'4. Billing Determinants'!$B$19:$P$41,6,0)/'4. Billing Determinants'!$G$41*$D27,IF($E27="Distribution Rev.",VLOOKUP(F$4,'4. Billing Determinants'!$B$19:$P$41,8,0)/'4. Billing Determinants'!$I$41*$D27, VLOOKUP(F$4,'4. Billing Determinants'!$B$19:$P$41,3,0)/'4. Billing Determinants'!$D$41*$D27))))),0)</f>
        <v>0</v>
      </c>
      <c r="G27" s="70">
        <f>IFERROR(IF(G$4="",0,IF($E27="kWh",VLOOKUP(G$4,'4. Billing Determinants'!$B$19:$P$41,4,0)/'4. Billing Determinants'!$E$41*$D27,IF($E27="kW",VLOOKUP(G$4,'4. Billing Determinants'!$B$19:$P$41,5,0)/'4. Billing Determinants'!$F$41*$D27,IF($E27="Non-RPP kWh",VLOOKUP(G$4,'4. Billing Determinants'!$B$19:$P$41,6,0)/'4. Billing Determinants'!$G$41*$D27,IF($E27="Distribution Rev.",VLOOKUP(G$4,'4. Billing Determinants'!$B$19:$P$41,8,0)/'4. Billing Determinants'!$I$41*$D27, VLOOKUP(G$4,'4. Billing Determinants'!$B$19:$P$41,3,0)/'4. Billing Determinants'!$D$41*$D27))))),0)</f>
        <v>0</v>
      </c>
      <c r="H27" s="70">
        <f>IFERROR(IF(H$4="",0,IF($E27="kWh",VLOOKUP(H$4,'4. Billing Determinants'!$B$19:$P$41,4,0)/'4. Billing Determinants'!$E$41*$D27,IF($E27="kW",VLOOKUP(H$4,'4. Billing Determinants'!$B$19:$P$41,5,0)/'4. Billing Determinants'!$F$41*$D27,IF($E27="Non-RPP kWh",VLOOKUP(H$4,'4. Billing Determinants'!$B$19:$P$41,6,0)/'4. Billing Determinants'!$G$41*$D27,IF($E27="Distribution Rev.",VLOOKUP(H$4,'4. Billing Determinants'!$B$19:$P$41,8,0)/'4. Billing Determinants'!$I$41*$D27, VLOOKUP(H$4,'4. Billing Determinants'!$B$19:$P$41,3,0)/'4. Billing Determinants'!$D$41*$D27))))),0)</f>
        <v>0</v>
      </c>
      <c r="I27" s="70">
        <f>IFERROR(IF(I$4="",0,IF($E27="kWh",VLOOKUP(I$4,'4. Billing Determinants'!$B$19:$P$41,4,0)/'4. Billing Determinants'!$E$41*$D27,IF($E27="kW",VLOOKUP(I$4,'4. Billing Determinants'!$B$19:$P$41,5,0)/'4. Billing Determinants'!$F$41*$D27,IF($E27="Non-RPP kWh",VLOOKUP(I$4,'4. Billing Determinants'!$B$19:$P$41,6,0)/'4. Billing Determinants'!$G$41*$D27,IF($E27="Distribution Rev.",VLOOKUP(I$4,'4. Billing Determinants'!$B$19:$P$41,8,0)/'4. Billing Determinants'!$I$41*$D27, VLOOKUP(I$4,'4. Billing Determinants'!$B$19:$P$41,3,0)/'4. Billing Determinants'!$D$41*$D27))))),0)</f>
        <v>0</v>
      </c>
      <c r="J27" s="70">
        <f>IFERROR(IF(J$4="",0,IF($E27="kWh",VLOOKUP(J$4,'4. Billing Determinants'!$B$19:$P$41,4,0)/'4. Billing Determinants'!$E$41*$D27,IF($E27="kW",VLOOKUP(J$4,'4. Billing Determinants'!$B$19:$P$41,5,0)/'4. Billing Determinants'!$F$41*$D27,IF($E27="Non-RPP kWh",VLOOKUP(J$4,'4. Billing Determinants'!$B$19:$P$41,6,0)/'4. Billing Determinants'!$G$41*$D27,IF($E27="Distribution Rev.",VLOOKUP(J$4,'4. Billing Determinants'!$B$19:$P$41,8,0)/'4. Billing Determinants'!$I$41*$D27, VLOOKUP(J$4,'4. Billing Determinants'!$B$19:$P$41,3,0)/'4. Billing Determinants'!$D$41*$D27))))),0)</f>
        <v>0</v>
      </c>
      <c r="K27" s="70">
        <f>IFERROR(IF(K$4="",0,IF($E27="kWh",VLOOKUP(K$4,'4. Billing Determinants'!$B$19:$P$41,4,0)/'4. Billing Determinants'!$E$41*$D27,IF($E27="kW",VLOOKUP(K$4,'4. Billing Determinants'!$B$19:$P$41,5,0)/'4. Billing Determinants'!$F$41*$D27,IF($E27="Non-RPP kWh",VLOOKUP(K$4,'4. Billing Determinants'!$B$19:$P$41,6,0)/'4. Billing Determinants'!$G$41*$D27,IF($E27="Distribution Rev.",VLOOKUP(K$4,'4. Billing Determinants'!$B$19:$P$41,8,0)/'4. Billing Determinants'!$I$41*$D27, VLOOKUP(K$4,'4. Billing Determinants'!$B$19:$P$41,3,0)/'4. Billing Determinants'!$D$41*$D27))))),0)</f>
        <v>0</v>
      </c>
      <c r="L27" s="70">
        <f>IFERROR(IF(L$4="",0,IF($E27="kWh",VLOOKUP(L$4,'4. Billing Determinants'!$B$19:$P$41,4,0)/'4. Billing Determinants'!$E$41*$D27,IF($E27="kW",VLOOKUP(L$4,'4. Billing Determinants'!$B$19:$P$41,5,0)/'4. Billing Determinants'!$F$41*$D27,IF($E27="Non-RPP kWh",VLOOKUP(L$4,'4. Billing Determinants'!$B$19:$P$41,6,0)/'4. Billing Determinants'!$G$41*$D27,IF($E27="Distribution Rev.",VLOOKUP(L$4,'4. Billing Determinants'!$B$19:$P$41,8,0)/'4. Billing Determinants'!$I$41*$D27, VLOOKUP(L$4,'4. Billing Determinants'!$B$19:$P$41,3,0)/'4. Billing Determinants'!$D$41*$D27))))),0)</f>
        <v>0</v>
      </c>
      <c r="M27" s="70">
        <f>IFERROR(IF(M$4="",0,IF($E27="kWh",VLOOKUP(M$4,'4. Billing Determinants'!$B$19:$P$41,4,0)/'4. Billing Determinants'!$E$41*$D27,IF($E27="kW",VLOOKUP(M$4,'4. Billing Determinants'!$B$19:$P$41,5,0)/'4. Billing Determinants'!$F$41*$D27,IF($E27="Non-RPP kWh",VLOOKUP(M$4,'4. Billing Determinants'!$B$19:$P$41,6,0)/'4. Billing Determinants'!$G$41*$D27,IF($E27="Distribution Rev.",VLOOKUP(M$4,'4. Billing Determinants'!$B$19:$P$41,8,0)/'4. Billing Determinants'!$I$41*$D27, VLOOKUP(M$4,'4. Billing Determinants'!$B$19:$P$41,3,0)/'4. Billing Determinants'!$D$41*$D27))))),0)</f>
        <v>0</v>
      </c>
      <c r="N27" s="70">
        <f>IFERROR(IF(N$4="",0,IF($E27="kWh",VLOOKUP(N$4,'4. Billing Determinants'!$B$19:$P$41,4,0)/'4. Billing Determinants'!$E$41*$D27,IF($E27="kW",VLOOKUP(N$4,'4. Billing Determinants'!$B$19:$P$41,5,0)/'4. Billing Determinants'!$F$41*$D27,IF($E27="Non-RPP kWh",VLOOKUP(N$4,'4. Billing Determinants'!$B$19:$P$41,6,0)/'4. Billing Determinants'!$G$41*$D27,IF($E27="Distribution Rev.",VLOOKUP(N$4,'4. Billing Determinants'!$B$19:$P$41,8,0)/'4. Billing Determinants'!$I$41*$D27, VLOOKUP(N$4,'4. Billing Determinants'!$B$19:$P$41,3,0)/'4. Billing Determinants'!$D$41*$D27))))),0)</f>
        <v>0</v>
      </c>
      <c r="O27" s="70">
        <f>IFERROR(IF(O$4="",0,IF($E27="kWh",VLOOKUP(O$4,'4. Billing Determinants'!$B$19:$P$41,4,0)/'4. Billing Determinants'!$E$41*$D27,IF($E27="kW",VLOOKUP(O$4,'4. Billing Determinants'!$B$19:$P$41,5,0)/'4. Billing Determinants'!$F$41*$D27,IF($E27="Non-RPP kWh",VLOOKUP(O$4,'4. Billing Determinants'!$B$19:$P$41,6,0)/'4. Billing Determinants'!$G$41*$D27,IF($E27="Distribution Rev.",VLOOKUP(O$4,'4. Billing Determinants'!$B$19:$P$41,8,0)/'4. Billing Determinants'!$I$41*$D27, VLOOKUP(O$4,'4. Billing Determinants'!$B$19:$P$41,3,0)/'4. Billing Determinants'!$D$41*$D27))))),0)</f>
        <v>0</v>
      </c>
      <c r="P27" s="70">
        <f>IFERROR(IF(P$4="",0,IF($E27="kWh",VLOOKUP(P$4,'4. Billing Determinants'!$B$19:$P$41,4,0)/'4. Billing Determinants'!$E$41*$D27,IF($E27="kW",VLOOKUP(P$4,'4. Billing Determinants'!$B$19:$P$41,5,0)/'4. Billing Determinants'!$F$41*$D27,IF($E27="Non-RPP kWh",VLOOKUP(P$4,'4. Billing Determinants'!$B$19:$P$41,6,0)/'4. Billing Determinants'!$G$41*$D27,IF($E27="Distribution Rev.",VLOOKUP(P$4,'4. Billing Determinants'!$B$19:$P$41,8,0)/'4. Billing Determinants'!$I$41*$D27, VLOOKUP(P$4,'4. Billing Determinants'!$B$19:$P$41,3,0)/'4. Billing Determinants'!$D$41*$D27))))),0)</f>
        <v>0</v>
      </c>
      <c r="Q27" s="70">
        <f>IFERROR(IF(Q$4="",0,IF($E27="kWh",VLOOKUP(Q$4,'4. Billing Determinants'!$B$19:$P$41,4,0)/'4. Billing Determinants'!$E$41*$D27,IF($E27="kW",VLOOKUP(Q$4,'4. Billing Determinants'!$B$19:$P$41,5,0)/'4. Billing Determinants'!$F$41*$D27,IF($E27="Non-RPP kWh",VLOOKUP(Q$4,'4. Billing Determinants'!$B$19:$P$41,6,0)/'4. Billing Determinants'!$G$41*$D27,IF($E27="Distribution Rev.",VLOOKUP(Q$4,'4. Billing Determinants'!$B$19:$P$41,8,0)/'4. Billing Determinants'!$I$41*$D27, VLOOKUP(Q$4,'4. Billing Determinants'!$B$19:$P$41,3,0)/'4. Billing Determinants'!$D$41*$D27))))),0)</f>
        <v>0</v>
      </c>
      <c r="R27" s="70">
        <f>IFERROR(IF(R$4="",0,IF($E27="kWh",VLOOKUP(R$4,'4. Billing Determinants'!$B$19:$P$41,4,0)/'4. Billing Determinants'!$E$41*$D27,IF($E27="kW",VLOOKUP(R$4,'4. Billing Determinants'!$B$19:$P$41,5,0)/'4. Billing Determinants'!$F$41*$D27,IF($E27="Non-RPP kWh",VLOOKUP(R$4,'4. Billing Determinants'!$B$19:$P$41,6,0)/'4. Billing Determinants'!$G$41*$D27,IF($E27="Distribution Rev.",VLOOKUP(R$4,'4. Billing Determinants'!$B$19:$P$41,8,0)/'4. Billing Determinants'!$I$41*$D27, VLOOKUP(R$4,'4. Billing Determinants'!$B$19:$P$41,3,0)/'4. Billing Determinants'!$D$41*$D27))))),0)</f>
        <v>0</v>
      </c>
      <c r="S27" s="70">
        <f>IFERROR(IF(S$4="",0,IF($E27="kWh",VLOOKUP(S$4,'4. Billing Determinants'!$B$19:$P$41,4,0)/'4. Billing Determinants'!$E$41*$D27,IF($E27="kW",VLOOKUP(S$4,'4. Billing Determinants'!$B$19:$P$41,5,0)/'4. Billing Determinants'!$F$41*$D27,IF($E27="Non-RPP kWh",VLOOKUP(S$4,'4. Billing Determinants'!$B$19:$P$41,6,0)/'4. Billing Determinants'!$G$41*$D27,IF($E27="Distribution Rev.",VLOOKUP(S$4,'4. Billing Determinants'!$B$19:$P$41,8,0)/'4. Billing Determinants'!$I$41*$D27, VLOOKUP(S$4,'4. Billing Determinants'!$B$19:$P$41,3,0)/'4. Billing Determinants'!$D$41*$D27))))),0)</f>
        <v>0</v>
      </c>
      <c r="T27" s="70">
        <f>IFERROR(IF(T$4="",0,IF($E27="kWh",VLOOKUP(T$4,'4. Billing Determinants'!$B$19:$P$41,4,0)/'4. Billing Determinants'!$E$41*$D27,IF($E27="kW",VLOOKUP(T$4,'4. Billing Determinants'!$B$19:$P$41,5,0)/'4. Billing Determinants'!$F$41*$D27,IF($E27="Non-RPP kWh",VLOOKUP(T$4,'4. Billing Determinants'!$B$19:$P$41,6,0)/'4. Billing Determinants'!$G$41*$D27,IF($E27="Distribution Rev.",VLOOKUP(T$4,'4. Billing Determinants'!$B$19:$P$41,8,0)/'4. Billing Determinants'!$I$41*$D27, VLOOKUP(T$4,'4. Billing Determinants'!$B$19:$P$41,3,0)/'4. Billing Determinants'!$D$41*$D27))))),0)</f>
        <v>0</v>
      </c>
      <c r="U27" s="70">
        <f>IFERROR(IF(U$4="",0,IF($E27="kWh",VLOOKUP(U$4,'4. Billing Determinants'!$B$19:$P$41,4,0)/'4. Billing Determinants'!$E$41*$D27,IF($E27="kW",VLOOKUP(U$4,'4. Billing Determinants'!$B$19:$P$41,5,0)/'4. Billing Determinants'!$F$41*$D27,IF($E27="Non-RPP kWh",VLOOKUP(U$4,'4. Billing Determinants'!$B$19:$P$41,6,0)/'4. Billing Determinants'!$G$41*$D27,IF($E27="Distribution Rev.",VLOOKUP(U$4,'4. Billing Determinants'!$B$19:$P$41,8,0)/'4. Billing Determinants'!$I$41*$D27, VLOOKUP(U$4,'4. Billing Determinants'!$B$19:$P$41,3,0)/'4. Billing Determinants'!$D$41*$D27))))),0)</f>
        <v>0</v>
      </c>
      <c r="V27" s="70">
        <f>IFERROR(IF(V$4="",0,IF($E27="kWh",VLOOKUP(V$4,'4. Billing Determinants'!$B$19:$P$41,4,0)/'4. Billing Determinants'!$E$41*$D27,IF($E27="kW",VLOOKUP(V$4,'4. Billing Determinants'!$B$19:$P$41,5,0)/'4. Billing Determinants'!$F$41*$D27,IF($E27="Non-RPP kWh",VLOOKUP(V$4,'4. Billing Determinants'!$B$19:$P$41,6,0)/'4. Billing Determinants'!$G$41*$D27,IF($E27="Distribution Rev.",VLOOKUP(V$4,'4. Billing Determinants'!$B$19:$P$41,8,0)/'4. Billing Determinants'!$I$41*$D27, VLOOKUP(V$4,'4. Billing Determinants'!$B$19:$P$41,3,0)/'4. Billing Determinants'!$D$41*$D27))))),0)</f>
        <v>0</v>
      </c>
      <c r="W27" s="70">
        <f>IFERROR(IF(W$4="",0,IF($E27="kWh",VLOOKUP(W$4,'4. Billing Determinants'!$B$19:$P$41,4,0)/'4. Billing Determinants'!$E$41*$D27,IF($E27="kW",VLOOKUP(W$4,'4. Billing Determinants'!$B$19:$P$41,5,0)/'4. Billing Determinants'!$F$41*$D27,IF($E27="Non-RPP kWh",VLOOKUP(W$4,'4. Billing Determinants'!$B$19:$P$41,6,0)/'4. Billing Determinants'!$G$41*$D27,IF($E27="Distribution Rev.",VLOOKUP(W$4,'4. Billing Determinants'!$B$19:$P$41,8,0)/'4. Billing Determinants'!$I$41*$D27, VLOOKUP(W$4,'4. Billing Determinants'!$B$19:$P$41,3,0)/'4. Billing Determinants'!$D$41*$D27))))),0)</f>
        <v>0</v>
      </c>
      <c r="X27" s="70">
        <f>IFERROR(IF(X$4="",0,IF($E27="kWh",VLOOKUP(X$4,'4. Billing Determinants'!$B$19:$P$41,4,0)/'4. Billing Determinants'!$E$41*$D27,IF($E27="kW",VLOOKUP(X$4,'4. Billing Determinants'!$B$19:$P$41,5,0)/'4. Billing Determinants'!$F$41*$D27,IF($E27="Non-RPP kWh",VLOOKUP(X$4,'4. Billing Determinants'!$B$19:$P$41,6,0)/'4. Billing Determinants'!$G$41*$D27,IF($E27="Distribution Rev.",VLOOKUP(X$4,'4. Billing Determinants'!$B$19:$P$41,8,0)/'4. Billing Determinants'!$I$41*$D27, VLOOKUP(X$4,'4. Billing Determinants'!$B$19:$P$41,3,0)/'4. Billing Determinants'!$D$41*$D27))))),0)</f>
        <v>0</v>
      </c>
      <c r="Y27" s="70">
        <f>IFERROR(IF(Y$4="",0,IF($E27="kWh",VLOOKUP(Y$4,'4. Billing Determinants'!$B$19:$P$41,4,0)/'4. Billing Determinants'!$E$41*$D27,IF($E27="kW",VLOOKUP(Y$4,'4. Billing Determinants'!$B$19:$P$41,5,0)/'4. Billing Determinants'!$F$41*$D27,IF($E27="Non-RPP kWh",VLOOKUP(Y$4,'4. Billing Determinants'!$B$19:$P$41,6,0)/'4. Billing Determinants'!$G$41*$D27,IF($E27="Distribution Rev.",VLOOKUP(Y$4,'4. Billing Determinants'!$B$19:$P$41,8,0)/'4. Billing Determinants'!$I$41*$D27, VLOOKUP(Y$4,'4. Billing Determinants'!$B$19:$P$41,3,0)/'4. Billing Determinants'!$D$41*$D27))))),0)</f>
        <v>0</v>
      </c>
    </row>
    <row r="28" spans="2:25" x14ac:dyDescent="0.2">
      <c r="B28" s="68" t="s">
        <v>25</v>
      </c>
      <c r="C28" s="69">
        <v>1533</v>
      </c>
      <c r="D28" s="70">
        <f>'2. 2014 Continuity Schedule'!BO51</f>
        <v>0</v>
      </c>
      <c r="E28" s="130"/>
      <c r="F28" s="70">
        <f>IFERROR(IF(F$4="",0,IF($E28="kWh",VLOOKUP(F$4,'4. Billing Determinants'!$B$19:$P$41,4,0)/'4. Billing Determinants'!$E$41*$D28,IF($E28="kW",VLOOKUP(F$4,'4. Billing Determinants'!$B$19:$P$41,5,0)/'4. Billing Determinants'!$F$41*$D28,IF($E28="Non-RPP kWh",VLOOKUP(F$4,'4. Billing Determinants'!$B$19:$P$41,6,0)/'4. Billing Determinants'!$G$41*$D28,IF($E28="Distribution Rev.",VLOOKUP(F$4,'4. Billing Determinants'!$B$19:$P$41,8,0)/'4. Billing Determinants'!$I$41*$D28, VLOOKUP(F$4,'4. Billing Determinants'!$B$19:$P$41,3,0)/'4. Billing Determinants'!$D$41*$D28))))),0)</f>
        <v>0</v>
      </c>
      <c r="G28" s="70">
        <f>IFERROR(IF(G$4="",0,IF($E28="kWh",VLOOKUP(G$4,'4. Billing Determinants'!$B$19:$P$41,4,0)/'4. Billing Determinants'!$E$41*$D28,IF($E28="kW",VLOOKUP(G$4,'4. Billing Determinants'!$B$19:$P$41,5,0)/'4. Billing Determinants'!$F$41*$D28,IF($E28="Non-RPP kWh",VLOOKUP(G$4,'4. Billing Determinants'!$B$19:$P$41,6,0)/'4. Billing Determinants'!$G$41*$D28,IF($E28="Distribution Rev.",VLOOKUP(G$4,'4. Billing Determinants'!$B$19:$P$41,8,0)/'4. Billing Determinants'!$I$41*$D28, VLOOKUP(G$4,'4. Billing Determinants'!$B$19:$P$41,3,0)/'4. Billing Determinants'!$D$41*$D28))))),0)</f>
        <v>0</v>
      </c>
      <c r="H28" s="70">
        <f>IFERROR(IF(H$4="",0,IF($E28="kWh",VLOOKUP(H$4,'4. Billing Determinants'!$B$19:$P$41,4,0)/'4. Billing Determinants'!$E$41*$D28,IF($E28="kW",VLOOKUP(H$4,'4. Billing Determinants'!$B$19:$P$41,5,0)/'4. Billing Determinants'!$F$41*$D28,IF($E28="Non-RPP kWh",VLOOKUP(H$4,'4. Billing Determinants'!$B$19:$P$41,6,0)/'4. Billing Determinants'!$G$41*$D28,IF($E28="Distribution Rev.",VLOOKUP(H$4,'4. Billing Determinants'!$B$19:$P$41,8,0)/'4. Billing Determinants'!$I$41*$D28, VLOOKUP(H$4,'4. Billing Determinants'!$B$19:$P$41,3,0)/'4. Billing Determinants'!$D$41*$D28))))),0)</f>
        <v>0</v>
      </c>
      <c r="I28" s="70">
        <f>IFERROR(IF(I$4="",0,IF($E28="kWh",VLOOKUP(I$4,'4. Billing Determinants'!$B$19:$P$41,4,0)/'4. Billing Determinants'!$E$41*$D28,IF($E28="kW",VLOOKUP(I$4,'4. Billing Determinants'!$B$19:$P$41,5,0)/'4. Billing Determinants'!$F$41*$D28,IF($E28="Non-RPP kWh",VLOOKUP(I$4,'4. Billing Determinants'!$B$19:$P$41,6,0)/'4. Billing Determinants'!$G$41*$D28,IF($E28="Distribution Rev.",VLOOKUP(I$4,'4. Billing Determinants'!$B$19:$P$41,8,0)/'4. Billing Determinants'!$I$41*$D28, VLOOKUP(I$4,'4. Billing Determinants'!$B$19:$P$41,3,0)/'4. Billing Determinants'!$D$41*$D28))))),0)</f>
        <v>0</v>
      </c>
      <c r="J28" s="70">
        <f>IFERROR(IF(J$4="",0,IF($E28="kWh",VLOOKUP(J$4,'4. Billing Determinants'!$B$19:$P$41,4,0)/'4. Billing Determinants'!$E$41*$D28,IF($E28="kW",VLOOKUP(J$4,'4. Billing Determinants'!$B$19:$P$41,5,0)/'4. Billing Determinants'!$F$41*$D28,IF($E28="Non-RPP kWh",VLOOKUP(J$4,'4. Billing Determinants'!$B$19:$P$41,6,0)/'4. Billing Determinants'!$G$41*$D28,IF($E28="Distribution Rev.",VLOOKUP(J$4,'4. Billing Determinants'!$B$19:$P$41,8,0)/'4. Billing Determinants'!$I$41*$D28, VLOOKUP(J$4,'4. Billing Determinants'!$B$19:$P$41,3,0)/'4. Billing Determinants'!$D$41*$D28))))),0)</f>
        <v>0</v>
      </c>
      <c r="K28" s="70">
        <f>IFERROR(IF(K$4="",0,IF($E28="kWh",VLOOKUP(K$4,'4. Billing Determinants'!$B$19:$P$41,4,0)/'4. Billing Determinants'!$E$41*$D28,IF($E28="kW",VLOOKUP(K$4,'4. Billing Determinants'!$B$19:$P$41,5,0)/'4. Billing Determinants'!$F$41*$D28,IF($E28="Non-RPP kWh",VLOOKUP(K$4,'4. Billing Determinants'!$B$19:$P$41,6,0)/'4. Billing Determinants'!$G$41*$D28,IF($E28="Distribution Rev.",VLOOKUP(K$4,'4. Billing Determinants'!$B$19:$P$41,8,0)/'4. Billing Determinants'!$I$41*$D28, VLOOKUP(K$4,'4. Billing Determinants'!$B$19:$P$41,3,0)/'4. Billing Determinants'!$D$41*$D28))))),0)</f>
        <v>0</v>
      </c>
      <c r="L28" s="70">
        <f>IFERROR(IF(L$4="",0,IF($E28="kWh",VLOOKUP(L$4,'4. Billing Determinants'!$B$19:$P$41,4,0)/'4. Billing Determinants'!$E$41*$D28,IF($E28="kW",VLOOKUP(L$4,'4. Billing Determinants'!$B$19:$P$41,5,0)/'4. Billing Determinants'!$F$41*$D28,IF($E28="Non-RPP kWh",VLOOKUP(L$4,'4. Billing Determinants'!$B$19:$P$41,6,0)/'4. Billing Determinants'!$G$41*$D28,IF($E28="Distribution Rev.",VLOOKUP(L$4,'4. Billing Determinants'!$B$19:$P$41,8,0)/'4. Billing Determinants'!$I$41*$D28, VLOOKUP(L$4,'4. Billing Determinants'!$B$19:$P$41,3,0)/'4. Billing Determinants'!$D$41*$D28))))),0)</f>
        <v>0</v>
      </c>
      <c r="M28" s="70">
        <f>IFERROR(IF(M$4="",0,IF($E28="kWh",VLOOKUP(M$4,'4. Billing Determinants'!$B$19:$P$41,4,0)/'4. Billing Determinants'!$E$41*$D28,IF($E28="kW",VLOOKUP(M$4,'4. Billing Determinants'!$B$19:$P$41,5,0)/'4. Billing Determinants'!$F$41*$D28,IF($E28="Non-RPP kWh",VLOOKUP(M$4,'4. Billing Determinants'!$B$19:$P$41,6,0)/'4. Billing Determinants'!$G$41*$D28,IF($E28="Distribution Rev.",VLOOKUP(M$4,'4. Billing Determinants'!$B$19:$P$41,8,0)/'4. Billing Determinants'!$I$41*$D28, VLOOKUP(M$4,'4. Billing Determinants'!$B$19:$P$41,3,0)/'4. Billing Determinants'!$D$41*$D28))))),0)</f>
        <v>0</v>
      </c>
      <c r="N28" s="70">
        <f>IFERROR(IF(N$4="",0,IF($E28="kWh",VLOOKUP(N$4,'4. Billing Determinants'!$B$19:$P$41,4,0)/'4. Billing Determinants'!$E$41*$D28,IF($E28="kW",VLOOKUP(N$4,'4. Billing Determinants'!$B$19:$P$41,5,0)/'4. Billing Determinants'!$F$41*$D28,IF($E28="Non-RPP kWh",VLOOKUP(N$4,'4. Billing Determinants'!$B$19:$P$41,6,0)/'4. Billing Determinants'!$G$41*$D28,IF($E28="Distribution Rev.",VLOOKUP(N$4,'4. Billing Determinants'!$B$19:$P$41,8,0)/'4. Billing Determinants'!$I$41*$D28, VLOOKUP(N$4,'4. Billing Determinants'!$B$19:$P$41,3,0)/'4. Billing Determinants'!$D$41*$D28))))),0)</f>
        <v>0</v>
      </c>
      <c r="O28" s="70">
        <f>IFERROR(IF(O$4="",0,IF($E28="kWh",VLOOKUP(O$4,'4. Billing Determinants'!$B$19:$P$41,4,0)/'4. Billing Determinants'!$E$41*$D28,IF($E28="kW",VLOOKUP(O$4,'4. Billing Determinants'!$B$19:$P$41,5,0)/'4. Billing Determinants'!$F$41*$D28,IF($E28="Non-RPP kWh",VLOOKUP(O$4,'4. Billing Determinants'!$B$19:$P$41,6,0)/'4. Billing Determinants'!$G$41*$D28,IF($E28="Distribution Rev.",VLOOKUP(O$4,'4. Billing Determinants'!$B$19:$P$41,8,0)/'4. Billing Determinants'!$I$41*$D28, VLOOKUP(O$4,'4. Billing Determinants'!$B$19:$P$41,3,0)/'4. Billing Determinants'!$D$41*$D28))))),0)</f>
        <v>0</v>
      </c>
      <c r="P28" s="70">
        <f>IFERROR(IF(P$4="",0,IF($E28="kWh",VLOOKUP(P$4,'4. Billing Determinants'!$B$19:$P$41,4,0)/'4. Billing Determinants'!$E$41*$D28,IF($E28="kW",VLOOKUP(P$4,'4. Billing Determinants'!$B$19:$P$41,5,0)/'4. Billing Determinants'!$F$41*$D28,IF($E28="Non-RPP kWh",VLOOKUP(P$4,'4. Billing Determinants'!$B$19:$P$41,6,0)/'4. Billing Determinants'!$G$41*$D28,IF($E28="Distribution Rev.",VLOOKUP(P$4,'4. Billing Determinants'!$B$19:$P$41,8,0)/'4. Billing Determinants'!$I$41*$D28, VLOOKUP(P$4,'4. Billing Determinants'!$B$19:$P$41,3,0)/'4. Billing Determinants'!$D$41*$D28))))),0)</f>
        <v>0</v>
      </c>
      <c r="Q28" s="70">
        <f>IFERROR(IF(Q$4="",0,IF($E28="kWh",VLOOKUP(Q$4,'4. Billing Determinants'!$B$19:$P$41,4,0)/'4. Billing Determinants'!$E$41*$D28,IF($E28="kW",VLOOKUP(Q$4,'4. Billing Determinants'!$B$19:$P$41,5,0)/'4. Billing Determinants'!$F$41*$D28,IF($E28="Non-RPP kWh",VLOOKUP(Q$4,'4. Billing Determinants'!$B$19:$P$41,6,0)/'4. Billing Determinants'!$G$41*$D28,IF($E28="Distribution Rev.",VLOOKUP(Q$4,'4. Billing Determinants'!$B$19:$P$41,8,0)/'4. Billing Determinants'!$I$41*$D28, VLOOKUP(Q$4,'4. Billing Determinants'!$B$19:$P$41,3,0)/'4. Billing Determinants'!$D$41*$D28))))),0)</f>
        <v>0</v>
      </c>
      <c r="R28" s="70">
        <f>IFERROR(IF(R$4="",0,IF($E28="kWh",VLOOKUP(R$4,'4. Billing Determinants'!$B$19:$P$41,4,0)/'4. Billing Determinants'!$E$41*$D28,IF($E28="kW",VLOOKUP(R$4,'4. Billing Determinants'!$B$19:$P$41,5,0)/'4. Billing Determinants'!$F$41*$D28,IF($E28="Non-RPP kWh",VLOOKUP(R$4,'4. Billing Determinants'!$B$19:$P$41,6,0)/'4. Billing Determinants'!$G$41*$D28,IF($E28="Distribution Rev.",VLOOKUP(R$4,'4. Billing Determinants'!$B$19:$P$41,8,0)/'4. Billing Determinants'!$I$41*$D28, VLOOKUP(R$4,'4. Billing Determinants'!$B$19:$P$41,3,0)/'4. Billing Determinants'!$D$41*$D28))))),0)</f>
        <v>0</v>
      </c>
      <c r="S28" s="70">
        <f>IFERROR(IF(S$4="",0,IF($E28="kWh",VLOOKUP(S$4,'4. Billing Determinants'!$B$19:$P$41,4,0)/'4. Billing Determinants'!$E$41*$D28,IF($E28="kW",VLOOKUP(S$4,'4. Billing Determinants'!$B$19:$P$41,5,0)/'4. Billing Determinants'!$F$41*$D28,IF($E28="Non-RPP kWh",VLOOKUP(S$4,'4. Billing Determinants'!$B$19:$P$41,6,0)/'4. Billing Determinants'!$G$41*$D28,IF($E28="Distribution Rev.",VLOOKUP(S$4,'4. Billing Determinants'!$B$19:$P$41,8,0)/'4. Billing Determinants'!$I$41*$D28, VLOOKUP(S$4,'4. Billing Determinants'!$B$19:$P$41,3,0)/'4. Billing Determinants'!$D$41*$D28))))),0)</f>
        <v>0</v>
      </c>
      <c r="T28" s="70">
        <f>IFERROR(IF(T$4="",0,IF($E28="kWh",VLOOKUP(T$4,'4. Billing Determinants'!$B$19:$P$41,4,0)/'4. Billing Determinants'!$E$41*$D28,IF($E28="kW",VLOOKUP(T$4,'4. Billing Determinants'!$B$19:$P$41,5,0)/'4. Billing Determinants'!$F$41*$D28,IF($E28="Non-RPP kWh",VLOOKUP(T$4,'4. Billing Determinants'!$B$19:$P$41,6,0)/'4. Billing Determinants'!$G$41*$D28,IF($E28="Distribution Rev.",VLOOKUP(T$4,'4. Billing Determinants'!$B$19:$P$41,8,0)/'4. Billing Determinants'!$I$41*$D28, VLOOKUP(T$4,'4. Billing Determinants'!$B$19:$P$41,3,0)/'4. Billing Determinants'!$D$41*$D28))))),0)</f>
        <v>0</v>
      </c>
      <c r="U28" s="70">
        <f>IFERROR(IF(U$4="",0,IF($E28="kWh",VLOOKUP(U$4,'4. Billing Determinants'!$B$19:$P$41,4,0)/'4. Billing Determinants'!$E$41*$D28,IF($E28="kW",VLOOKUP(U$4,'4. Billing Determinants'!$B$19:$P$41,5,0)/'4. Billing Determinants'!$F$41*$D28,IF($E28="Non-RPP kWh",VLOOKUP(U$4,'4. Billing Determinants'!$B$19:$P$41,6,0)/'4. Billing Determinants'!$G$41*$D28,IF($E28="Distribution Rev.",VLOOKUP(U$4,'4. Billing Determinants'!$B$19:$P$41,8,0)/'4. Billing Determinants'!$I$41*$D28, VLOOKUP(U$4,'4. Billing Determinants'!$B$19:$P$41,3,0)/'4. Billing Determinants'!$D$41*$D28))))),0)</f>
        <v>0</v>
      </c>
      <c r="V28" s="70">
        <f>IFERROR(IF(V$4="",0,IF($E28="kWh",VLOOKUP(V$4,'4. Billing Determinants'!$B$19:$P$41,4,0)/'4. Billing Determinants'!$E$41*$D28,IF($E28="kW",VLOOKUP(V$4,'4. Billing Determinants'!$B$19:$P$41,5,0)/'4. Billing Determinants'!$F$41*$D28,IF($E28="Non-RPP kWh",VLOOKUP(V$4,'4. Billing Determinants'!$B$19:$P$41,6,0)/'4. Billing Determinants'!$G$41*$D28,IF($E28="Distribution Rev.",VLOOKUP(V$4,'4. Billing Determinants'!$B$19:$P$41,8,0)/'4. Billing Determinants'!$I$41*$D28, VLOOKUP(V$4,'4. Billing Determinants'!$B$19:$P$41,3,0)/'4. Billing Determinants'!$D$41*$D28))))),0)</f>
        <v>0</v>
      </c>
      <c r="W28" s="70">
        <f>IFERROR(IF(W$4="",0,IF($E28="kWh",VLOOKUP(W$4,'4. Billing Determinants'!$B$19:$P$41,4,0)/'4. Billing Determinants'!$E$41*$D28,IF($E28="kW",VLOOKUP(W$4,'4. Billing Determinants'!$B$19:$P$41,5,0)/'4. Billing Determinants'!$F$41*$D28,IF($E28="Non-RPP kWh",VLOOKUP(W$4,'4. Billing Determinants'!$B$19:$P$41,6,0)/'4. Billing Determinants'!$G$41*$D28,IF($E28="Distribution Rev.",VLOOKUP(W$4,'4. Billing Determinants'!$B$19:$P$41,8,0)/'4. Billing Determinants'!$I$41*$D28, VLOOKUP(W$4,'4. Billing Determinants'!$B$19:$P$41,3,0)/'4. Billing Determinants'!$D$41*$D28))))),0)</f>
        <v>0</v>
      </c>
      <c r="X28" s="70">
        <f>IFERROR(IF(X$4="",0,IF($E28="kWh",VLOOKUP(X$4,'4. Billing Determinants'!$B$19:$P$41,4,0)/'4. Billing Determinants'!$E$41*$D28,IF($E28="kW",VLOOKUP(X$4,'4. Billing Determinants'!$B$19:$P$41,5,0)/'4. Billing Determinants'!$F$41*$D28,IF($E28="Non-RPP kWh",VLOOKUP(X$4,'4. Billing Determinants'!$B$19:$P$41,6,0)/'4. Billing Determinants'!$G$41*$D28,IF($E28="Distribution Rev.",VLOOKUP(X$4,'4. Billing Determinants'!$B$19:$P$41,8,0)/'4. Billing Determinants'!$I$41*$D28, VLOOKUP(X$4,'4. Billing Determinants'!$B$19:$P$41,3,0)/'4. Billing Determinants'!$D$41*$D28))))),0)</f>
        <v>0</v>
      </c>
      <c r="Y28" s="70">
        <f>IFERROR(IF(Y$4="",0,IF($E28="kWh",VLOOKUP(Y$4,'4. Billing Determinants'!$B$19:$P$41,4,0)/'4. Billing Determinants'!$E$41*$D28,IF($E28="kW",VLOOKUP(Y$4,'4. Billing Determinants'!$B$19:$P$41,5,0)/'4. Billing Determinants'!$F$41*$D28,IF($E28="Non-RPP kWh",VLOOKUP(Y$4,'4. Billing Determinants'!$B$19:$P$41,6,0)/'4. Billing Determinants'!$G$41*$D28,IF($E28="Distribution Rev.",VLOOKUP(Y$4,'4. Billing Determinants'!$B$19:$P$41,8,0)/'4. Billing Determinants'!$I$41*$D28, VLOOKUP(Y$4,'4. Billing Determinants'!$B$19:$P$41,3,0)/'4. Billing Determinants'!$D$41*$D28))))),0)</f>
        <v>0</v>
      </c>
    </row>
    <row r="29" spans="2:25" x14ac:dyDescent="0.2">
      <c r="B29" s="68" t="s">
        <v>17</v>
      </c>
      <c r="C29" s="69">
        <v>1534</v>
      </c>
      <c r="D29" s="70">
        <f>'2. 2014 Continuity Schedule'!BO52</f>
        <v>0</v>
      </c>
      <c r="E29" s="130"/>
      <c r="F29" s="70">
        <f>IFERROR(IF(F$4="",0,IF($E29="kWh",VLOOKUP(F$4,'4. Billing Determinants'!$B$19:$P$41,4,0)/'4. Billing Determinants'!$E$41*$D29,IF($E29="kW",VLOOKUP(F$4,'4. Billing Determinants'!$B$19:$P$41,5,0)/'4. Billing Determinants'!$F$41*$D29,IF($E29="Non-RPP kWh",VLOOKUP(F$4,'4. Billing Determinants'!$B$19:$P$41,6,0)/'4. Billing Determinants'!$G$41*$D29,IF($E29="Distribution Rev.",VLOOKUP(F$4,'4. Billing Determinants'!$B$19:$P$41,8,0)/'4. Billing Determinants'!$I$41*$D29, VLOOKUP(F$4,'4. Billing Determinants'!$B$19:$P$41,3,0)/'4. Billing Determinants'!$D$41*$D29))))),0)</f>
        <v>0</v>
      </c>
      <c r="G29" s="70">
        <f>IFERROR(IF(G$4="",0,IF($E29="kWh",VLOOKUP(G$4,'4. Billing Determinants'!$B$19:$P$41,4,0)/'4. Billing Determinants'!$E$41*$D29,IF($E29="kW",VLOOKUP(G$4,'4. Billing Determinants'!$B$19:$P$41,5,0)/'4. Billing Determinants'!$F$41*$D29,IF($E29="Non-RPP kWh",VLOOKUP(G$4,'4. Billing Determinants'!$B$19:$P$41,6,0)/'4. Billing Determinants'!$G$41*$D29,IF($E29="Distribution Rev.",VLOOKUP(G$4,'4. Billing Determinants'!$B$19:$P$41,8,0)/'4. Billing Determinants'!$I$41*$D29, VLOOKUP(G$4,'4. Billing Determinants'!$B$19:$P$41,3,0)/'4. Billing Determinants'!$D$41*$D29))))),0)</f>
        <v>0</v>
      </c>
      <c r="H29" s="70">
        <f>IFERROR(IF(H$4="",0,IF($E29="kWh",VLOOKUP(H$4,'4. Billing Determinants'!$B$19:$P$41,4,0)/'4. Billing Determinants'!$E$41*$D29,IF($E29="kW",VLOOKUP(H$4,'4. Billing Determinants'!$B$19:$P$41,5,0)/'4. Billing Determinants'!$F$41*$D29,IF($E29="Non-RPP kWh",VLOOKUP(H$4,'4. Billing Determinants'!$B$19:$P$41,6,0)/'4. Billing Determinants'!$G$41*$D29,IF($E29="Distribution Rev.",VLOOKUP(H$4,'4. Billing Determinants'!$B$19:$P$41,8,0)/'4. Billing Determinants'!$I$41*$D29, VLOOKUP(H$4,'4. Billing Determinants'!$B$19:$P$41,3,0)/'4. Billing Determinants'!$D$41*$D29))))),0)</f>
        <v>0</v>
      </c>
      <c r="I29" s="70">
        <f>IFERROR(IF(I$4="",0,IF($E29="kWh",VLOOKUP(I$4,'4. Billing Determinants'!$B$19:$P$41,4,0)/'4. Billing Determinants'!$E$41*$D29,IF($E29="kW",VLOOKUP(I$4,'4. Billing Determinants'!$B$19:$P$41,5,0)/'4. Billing Determinants'!$F$41*$D29,IF($E29="Non-RPP kWh",VLOOKUP(I$4,'4. Billing Determinants'!$B$19:$P$41,6,0)/'4. Billing Determinants'!$G$41*$D29,IF($E29="Distribution Rev.",VLOOKUP(I$4,'4. Billing Determinants'!$B$19:$P$41,8,0)/'4. Billing Determinants'!$I$41*$D29, VLOOKUP(I$4,'4. Billing Determinants'!$B$19:$P$41,3,0)/'4. Billing Determinants'!$D$41*$D29))))),0)</f>
        <v>0</v>
      </c>
      <c r="J29" s="70">
        <f>IFERROR(IF(J$4="",0,IF($E29="kWh",VLOOKUP(J$4,'4. Billing Determinants'!$B$19:$P$41,4,0)/'4. Billing Determinants'!$E$41*$D29,IF($E29="kW",VLOOKUP(J$4,'4. Billing Determinants'!$B$19:$P$41,5,0)/'4. Billing Determinants'!$F$41*$D29,IF($E29="Non-RPP kWh",VLOOKUP(J$4,'4. Billing Determinants'!$B$19:$P$41,6,0)/'4. Billing Determinants'!$G$41*$D29,IF($E29="Distribution Rev.",VLOOKUP(J$4,'4. Billing Determinants'!$B$19:$P$41,8,0)/'4. Billing Determinants'!$I$41*$D29, VLOOKUP(J$4,'4. Billing Determinants'!$B$19:$P$41,3,0)/'4. Billing Determinants'!$D$41*$D29))))),0)</f>
        <v>0</v>
      </c>
      <c r="K29" s="70">
        <f>IFERROR(IF(K$4="",0,IF($E29="kWh",VLOOKUP(K$4,'4. Billing Determinants'!$B$19:$P$41,4,0)/'4. Billing Determinants'!$E$41*$D29,IF($E29="kW",VLOOKUP(K$4,'4. Billing Determinants'!$B$19:$P$41,5,0)/'4. Billing Determinants'!$F$41*$D29,IF($E29="Non-RPP kWh",VLOOKUP(K$4,'4. Billing Determinants'!$B$19:$P$41,6,0)/'4. Billing Determinants'!$G$41*$D29,IF($E29="Distribution Rev.",VLOOKUP(K$4,'4. Billing Determinants'!$B$19:$P$41,8,0)/'4. Billing Determinants'!$I$41*$D29, VLOOKUP(K$4,'4. Billing Determinants'!$B$19:$P$41,3,0)/'4. Billing Determinants'!$D$41*$D29))))),0)</f>
        <v>0</v>
      </c>
      <c r="L29" s="70">
        <f>IFERROR(IF(L$4="",0,IF($E29="kWh",VLOOKUP(L$4,'4. Billing Determinants'!$B$19:$P$41,4,0)/'4. Billing Determinants'!$E$41*$D29,IF($E29="kW",VLOOKUP(L$4,'4. Billing Determinants'!$B$19:$P$41,5,0)/'4. Billing Determinants'!$F$41*$D29,IF($E29="Non-RPP kWh",VLOOKUP(L$4,'4. Billing Determinants'!$B$19:$P$41,6,0)/'4. Billing Determinants'!$G$41*$D29,IF($E29="Distribution Rev.",VLOOKUP(L$4,'4. Billing Determinants'!$B$19:$P$41,8,0)/'4. Billing Determinants'!$I$41*$D29, VLOOKUP(L$4,'4. Billing Determinants'!$B$19:$P$41,3,0)/'4. Billing Determinants'!$D$41*$D29))))),0)</f>
        <v>0</v>
      </c>
      <c r="M29" s="70">
        <f>IFERROR(IF(M$4="",0,IF($E29="kWh",VLOOKUP(M$4,'4. Billing Determinants'!$B$19:$P$41,4,0)/'4. Billing Determinants'!$E$41*$D29,IF($E29="kW",VLOOKUP(M$4,'4. Billing Determinants'!$B$19:$P$41,5,0)/'4. Billing Determinants'!$F$41*$D29,IF($E29="Non-RPP kWh",VLOOKUP(M$4,'4. Billing Determinants'!$B$19:$P$41,6,0)/'4. Billing Determinants'!$G$41*$D29,IF($E29="Distribution Rev.",VLOOKUP(M$4,'4. Billing Determinants'!$B$19:$P$41,8,0)/'4. Billing Determinants'!$I$41*$D29, VLOOKUP(M$4,'4. Billing Determinants'!$B$19:$P$41,3,0)/'4. Billing Determinants'!$D$41*$D29))))),0)</f>
        <v>0</v>
      </c>
      <c r="N29" s="70">
        <f>IFERROR(IF(N$4="",0,IF($E29="kWh",VLOOKUP(N$4,'4. Billing Determinants'!$B$19:$P$41,4,0)/'4. Billing Determinants'!$E$41*$D29,IF($E29="kW",VLOOKUP(N$4,'4. Billing Determinants'!$B$19:$P$41,5,0)/'4. Billing Determinants'!$F$41*$D29,IF($E29="Non-RPP kWh",VLOOKUP(N$4,'4. Billing Determinants'!$B$19:$P$41,6,0)/'4. Billing Determinants'!$G$41*$D29,IF($E29="Distribution Rev.",VLOOKUP(N$4,'4. Billing Determinants'!$B$19:$P$41,8,0)/'4. Billing Determinants'!$I$41*$D29, VLOOKUP(N$4,'4. Billing Determinants'!$B$19:$P$41,3,0)/'4. Billing Determinants'!$D$41*$D29))))),0)</f>
        <v>0</v>
      </c>
      <c r="O29" s="70">
        <f>IFERROR(IF(O$4="",0,IF($E29="kWh",VLOOKUP(O$4,'4. Billing Determinants'!$B$19:$P$41,4,0)/'4. Billing Determinants'!$E$41*$D29,IF($E29="kW",VLOOKUP(O$4,'4. Billing Determinants'!$B$19:$P$41,5,0)/'4. Billing Determinants'!$F$41*$D29,IF($E29="Non-RPP kWh",VLOOKUP(O$4,'4. Billing Determinants'!$B$19:$P$41,6,0)/'4. Billing Determinants'!$G$41*$D29,IF($E29="Distribution Rev.",VLOOKUP(O$4,'4. Billing Determinants'!$B$19:$P$41,8,0)/'4. Billing Determinants'!$I$41*$D29, VLOOKUP(O$4,'4. Billing Determinants'!$B$19:$P$41,3,0)/'4. Billing Determinants'!$D$41*$D29))))),0)</f>
        <v>0</v>
      </c>
      <c r="P29" s="70">
        <f>IFERROR(IF(P$4="",0,IF($E29="kWh",VLOOKUP(P$4,'4. Billing Determinants'!$B$19:$P$41,4,0)/'4. Billing Determinants'!$E$41*$D29,IF($E29="kW",VLOOKUP(P$4,'4. Billing Determinants'!$B$19:$P$41,5,0)/'4. Billing Determinants'!$F$41*$D29,IF($E29="Non-RPP kWh",VLOOKUP(P$4,'4. Billing Determinants'!$B$19:$P$41,6,0)/'4. Billing Determinants'!$G$41*$D29,IF($E29="Distribution Rev.",VLOOKUP(P$4,'4. Billing Determinants'!$B$19:$P$41,8,0)/'4. Billing Determinants'!$I$41*$D29, VLOOKUP(P$4,'4. Billing Determinants'!$B$19:$P$41,3,0)/'4. Billing Determinants'!$D$41*$D29))))),0)</f>
        <v>0</v>
      </c>
      <c r="Q29" s="70">
        <f>IFERROR(IF(Q$4="",0,IF($E29="kWh",VLOOKUP(Q$4,'4. Billing Determinants'!$B$19:$P$41,4,0)/'4. Billing Determinants'!$E$41*$D29,IF($E29="kW",VLOOKUP(Q$4,'4. Billing Determinants'!$B$19:$P$41,5,0)/'4. Billing Determinants'!$F$41*$D29,IF($E29="Non-RPP kWh",VLOOKUP(Q$4,'4. Billing Determinants'!$B$19:$P$41,6,0)/'4. Billing Determinants'!$G$41*$D29,IF($E29="Distribution Rev.",VLOOKUP(Q$4,'4. Billing Determinants'!$B$19:$P$41,8,0)/'4. Billing Determinants'!$I$41*$D29, VLOOKUP(Q$4,'4. Billing Determinants'!$B$19:$P$41,3,0)/'4. Billing Determinants'!$D$41*$D29))))),0)</f>
        <v>0</v>
      </c>
      <c r="R29" s="70">
        <f>IFERROR(IF(R$4="",0,IF($E29="kWh",VLOOKUP(R$4,'4. Billing Determinants'!$B$19:$P$41,4,0)/'4. Billing Determinants'!$E$41*$D29,IF($E29="kW",VLOOKUP(R$4,'4. Billing Determinants'!$B$19:$P$41,5,0)/'4. Billing Determinants'!$F$41*$D29,IF($E29="Non-RPP kWh",VLOOKUP(R$4,'4. Billing Determinants'!$B$19:$P$41,6,0)/'4. Billing Determinants'!$G$41*$D29,IF($E29="Distribution Rev.",VLOOKUP(R$4,'4. Billing Determinants'!$B$19:$P$41,8,0)/'4. Billing Determinants'!$I$41*$D29, VLOOKUP(R$4,'4. Billing Determinants'!$B$19:$P$41,3,0)/'4. Billing Determinants'!$D$41*$D29))))),0)</f>
        <v>0</v>
      </c>
      <c r="S29" s="70">
        <f>IFERROR(IF(S$4="",0,IF($E29="kWh",VLOOKUP(S$4,'4. Billing Determinants'!$B$19:$P$41,4,0)/'4. Billing Determinants'!$E$41*$D29,IF($E29="kW",VLOOKUP(S$4,'4. Billing Determinants'!$B$19:$P$41,5,0)/'4. Billing Determinants'!$F$41*$D29,IF($E29="Non-RPP kWh",VLOOKUP(S$4,'4. Billing Determinants'!$B$19:$P$41,6,0)/'4. Billing Determinants'!$G$41*$D29,IF($E29="Distribution Rev.",VLOOKUP(S$4,'4. Billing Determinants'!$B$19:$P$41,8,0)/'4. Billing Determinants'!$I$41*$D29, VLOOKUP(S$4,'4. Billing Determinants'!$B$19:$P$41,3,0)/'4. Billing Determinants'!$D$41*$D29))))),0)</f>
        <v>0</v>
      </c>
      <c r="T29" s="70">
        <f>IFERROR(IF(T$4="",0,IF($E29="kWh",VLOOKUP(T$4,'4. Billing Determinants'!$B$19:$P$41,4,0)/'4. Billing Determinants'!$E$41*$D29,IF($E29="kW",VLOOKUP(T$4,'4. Billing Determinants'!$B$19:$P$41,5,0)/'4. Billing Determinants'!$F$41*$D29,IF($E29="Non-RPP kWh",VLOOKUP(T$4,'4. Billing Determinants'!$B$19:$P$41,6,0)/'4. Billing Determinants'!$G$41*$D29,IF($E29="Distribution Rev.",VLOOKUP(T$4,'4. Billing Determinants'!$B$19:$P$41,8,0)/'4. Billing Determinants'!$I$41*$D29, VLOOKUP(T$4,'4. Billing Determinants'!$B$19:$P$41,3,0)/'4. Billing Determinants'!$D$41*$D29))))),0)</f>
        <v>0</v>
      </c>
      <c r="U29" s="70">
        <f>IFERROR(IF(U$4="",0,IF($E29="kWh",VLOOKUP(U$4,'4. Billing Determinants'!$B$19:$P$41,4,0)/'4. Billing Determinants'!$E$41*$D29,IF($E29="kW",VLOOKUP(U$4,'4. Billing Determinants'!$B$19:$P$41,5,0)/'4. Billing Determinants'!$F$41*$D29,IF($E29="Non-RPP kWh",VLOOKUP(U$4,'4. Billing Determinants'!$B$19:$P$41,6,0)/'4. Billing Determinants'!$G$41*$D29,IF($E29="Distribution Rev.",VLOOKUP(U$4,'4. Billing Determinants'!$B$19:$P$41,8,0)/'4. Billing Determinants'!$I$41*$D29, VLOOKUP(U$4,'4. Billing Determinants'!$B$19:$P$41,3,0)/'4. Billing Determinants'!$D$41*$D29))))),0)</f>
        <v>0</v>
      </c>
      <c r="V29" s="70">
        <f>IFERROR(IF(V$4="",0,IF($E29="kWh",VLOOKUP(V$4,'4. Billing Determinants'!$B$19:$P$41,4,0)/'4. Billing Determinants'!$E$41*$D29,IF($E29="kW",VLOOKUP(V$4,'4. Billing Determinants'!$B$19:$P$41,5,0)/'4. Billing Determinants'!$F$41*$D29,IF($E29="Non-RPP kWh",VLOOKUP(V$4,'4. Billing Determinants'!$B$19:$P$41,6,0)/'4. Billing Determinants'!$G$41*$D29,IF($E29="Distribution Rev.",VLOOKUP(V$4,'4. Billing Determinants'!$B$19:$P$41,8,0)/'4. Billing Determinants'!$I$41*$D29, VLOOKUP(V$4,'4. Billing Determinants'!$B$19:$P$41,3,0)/'4. Billing Determinants'!$D$41*$D29))))),0)</f>
        <v>0</v>
      </c>
      <c r="W29" s="70">
        <f>IFERROR(IF(W$4="",0,IF($E29="kWh",VLOOKUP(W$4,'4. Billing Determinants'!$B$19:$P$41,4,0)/'4. Billing Determinants'!$E$41*$D29,IF($E29="kW",VLOOKUP(W$4,'4. Billing Determinants'!$B$19:$P$41,5,0)/'4. Billing Determinants'!$F$41*$D29,IF($E29="Non-RPP kWh",VLOOKUP(W$4,'4. Billing Determinants'!$B$19:$P$41,6,0)/'4. Billing Determinants'!$G$41*$D29,IF($E29="Distribution Rev.",VLOOKUP(W$4,'4. Billing Determinants'!$B$19:$P$41,8,0)/'4. Billing Determinants'!$I$41*$D29, VLOOKUP(W$4,'4. Billing Determinants'!$B$19:$P$41,3,0)/'4. Billing Determinants'!$D$41*$D29))))),0)</f>
        <v>0</v>
      </c>
      <c r="X29" s="70">
        <f>IFERROR(IF(X$4="",0,IF($E29="kWh",VLOOKUP(X$4,'4. Billing Determinants'!$B$19:$P$41,4,0)/'4. Billing Determinants'!$E$41*$D29,IF($E29="kW",VLOOKUP(X$4,'4. Billing Determinants'!$B$19:$P$41,5,0)/'4. Billing Determinants'!$F$41*$D29,IF($E29="Non-RPP kWh",VLOOKUP(X$4,'4. Billing Determinants'!$B$19:$P$41,6,0)/'4. Billing Determinants'!$G$41*$D29,IF($E29="Distribution Rev.",VLOOKUP(X$4,'4. Billing Determinants'!$B$19:$P$41,8,0)/'4. Billing Determinants'!$I$41*$D29, VLOOKUP(X$4,'4. Billing Determinants'!$B$19:$P$41,3,0)/'4. Billing Determinants'!$D$41*$D29))))),0)</f>
        <v>0</v>
      </c>
      <c r="Y29" s="70">
        <f>IFERROR(IF(Y$4="",0,IF($E29="kWh",VLOOKUP(Y$4,'4. Billing Determinants'!$B$19:$P$41,4,0)/'4. Billing Determinants'!$E$41*$D29,IF($E29="kW",VLOOKUP(Y$4,'4. Billing Determinants'!$B$19:$P$41,5,0)/'4. Billing Determinants'!$F$41*$D29,IF($E29="Non-RPP kWh",VLOOKUP(Y$4,'4. Billing Determinants'!$B$19:$P$41,6,0)/'4. Billing Determinants'!$G$41*$D29,IF($E29="Distribution Rev.",VLOOKUP(Y$4,'4. Billing Determinants'!$B$19:$P$41,8,0)/'4. Billing Determinants'!$I$41*$D29, VLOOKUP(Y$4,'4. Billing Determinants'!$B$19:$P$41,3,0)/'4. Billing Determinants'!$D$41*$D29))))),0)</f>
        <v>0</v>
      </c>
    </row>
    <row r="30" spans="2:25" x14ac:dyDescent="0.2">
      <c r="B30" s="71" t="s">
        <v>18</v>
      </c>
      <c r="C30" s="69">
        <v>1535</v>
      </c>
      <c r="D30" s="70">
        <f>'2. 2014 Continuity Schedule'!BO53</f>
        <v>19087.890815999996</v>
      </c>
      <c r="E30" s="130" t="s">
        <v>297</v>
      </c>
      <c r="F30" s="70">
        <f>IFERROR(IF(F$4="",0,IF($E30="kWh",VLOOKUP(F$4,'4. Billing Determinants'!$B$19:$P$41,4,0)/'4. Billing Determinants'!$E$41*$D30,IF($E30="kW",VLOOKUP(F$4,'4. Billing Determinants'!$B$19:$P$41,5,0)/'4. Billing Determinants'!$F$41*$D30,IF($E30="Non-RPP kWh",VLOOKUP(F$4,'4. Billing Determinants'!$B$19:$P$41,6,0)/'4. Billing Determinants'!$G$41*$D30,IF($E30="Distribution Rev.",VLOOKUP(F$4,'4. Billing Determinants'!$B$19:$P$41,8,0)/'4. Billing Determinants'!$I$41*$D30, VLOOKUP(F$4,'4. Billing Determinants'!$B$19:$P$41,3,0)/'4. Billing Determinants'!$D$41*$D30))))),0)</f>
        <v>10720.975918223774</v>
      </c>
      <c r="G30" s="70">
        <f>IFERROR(IF(G$4="",0,IF($E30="kWh",VLOOKUP(G$4,'4. Billing Determinants'!$B$19:$P$41,4,0)/'4. Billing Determinants'!$E$41*$D30,IF($E30="kW",VLOOKUP(G$4,'4. Billing Determinants'!$B$19:$P$41,5,0)/'4. Billing Determinants'!$F$41*$D30,IF($E30="Non-RPP kWh",VLOOKUP(G$4,'4. Billing Determinants'!$B$19:$P$41,6,0)/'4. Billing Determinants'!$G$41*$D30,IF($E30="Distribution Rev.",VLOOKUP(G$4,'4. Billing Determinants'!$B$19:$P$41,8,0)/'4. Billing Determinants'!$I$41*$D30, VLOOKUP(G$4,'4. Billing Determinants'!$B$19:$P$41,3,0)/'4. Billing Determinants'!$D$41*$D30))))),0)</f>
        <v>2346.1207295867835</v>
      </c>
      <c r="H30" s="70">
        <f>IFERROR(IF(H$4="",0,IF($E30="kWh",VLOOKUP(H$4,'4. Billing Determinants'!$B$19:$P$41,4,0)/'4. Billing Determinants'!$E$41*$D30,IF($E30="kW",VLOOKUP(H$4,'4. Billing Determinants'!$B$19:$P$41,5,0)/'4. Billing Determinants'!$F$41*$D30,IF($E30="Non-RPP kWh",VLOOKUP(H$4,'4. Billing Determinants'!$B$19:$P$41,6,0)/'4. Billing Determinants'!$G$41*$D30,IF($E30="Distribution Rev.",VLOOKUP(H$4,'4. Billing Determinants'!$B$19:$P$41,8,0)/'4. Billing Determinants'!$I$41*$D30, VLOOKUP(H$4,'4. Billing Determinants'!$B$19:$P$41,3,0)/'4. Billing Determinants'!$D$41*$D30))))),0)</f>
        <v>5780.130741902416</v>
      </c>
      <c r="I30" s="70">
        <f>IFERROR(IF(I$4="",0,IF($E30="kWh",VLOOKUP(I$4,'4. Billing Determinants'!$B$19:$P$41,4,0)/'4. Billing Determinants'!$E$41*$D30,IF($E30="kW",VLOOKUP(I$4,'4. Billing Determinants'!$B$19:$P$41,5,0)/'4. Billing Determinants'!$F$41*$D30,IF($E30="Non-RPP kWh",VLOOKUP(I$4,'4. Billing Determinants'!$B$19:$P$41,6,0)/'4. Billing Determinants'!$G$41*$D30,IF($E30="Distribution Rev.",VLOOKUP(I$4,'4. Billing Determinants'!$B$19:$P$41,8,0)/'4. Billing Determinants'!$I$41*$D30, VLOOKUP(I$4,'4. Billing Determinants'!$B$19:$P$41,3,0)/'4. Billing Determinants'!$D$41*$D30))))),0)</f>
        <v>90.486681107626552</v>
      </c>
      <c r="J30" s="70">
        <f>IFERROR(IF(J$4="",0,IF($E30="kWh",VLOOKUP(J$4,'4. Billing Determinants'!$B$19:$P$41,4,0)/'4. Billing Determinants'!$E$41*$D30,IF($E30="kW",VLOOKUP(J$4,'4. Billing Determinants'!$B$19:$P$41,5,0)/'4. Billing Determinants'!$F$41*$D30,IF($E30="Non-RPP kWh",VLOOKUP(J$4,'4. Billing Determinants'!$B$19:$P$41,6,0)/'4. Billing Determinants'!$G$41*$D30,IF($E30="Distribution Rev.",VLOOKUP(J$4,'4. Billing Determinants'!$B$19:$P$41,8,0)/'4. Billing Determinants'!$I$41*$D30, VLOOKUP(J$4,'4. Billing Determinants'!$B$19:$P$41,3,0)/'4. Billing Determinants'!$D$41*$D30))))),0)</f>
        <v>35.078248878656623</v>
      </c>
      <c r="K30" s="70">
        <f>IFERROR(IF(K$4="",0,IF($E30="kWh",VLOOKUP(K$4,'4. Billing Determinants'!$B$19:$P$41,4,0)/'4. Billing Determinants'!$E$41*$D30,IF($E30="kW",VLOOKUP(K$4,'4. Billing Determinants'!$B$19:$P$41,5,0)/'4. Billing Determinants'!$F$41*$D30,IF($E30="Non-RPP kWh",VLOOKUP(K$4,'4. Billing Determinants'!$B$19:$P$41,6,0)/'4. Billing Determinants'!$G$41*$D30,IF($E30="Distribution Rev.",VLOOKUP(K$4,'4. Billing Determinants'!$B$19:$P$41,8,0)/'4. Billing Determinants'!$I$41*$D30, VLOOKUP(K$4,'4. Billing Determinants'!$B$19:$P$41,3,0)/'4. Billing Determinants'!$D$41*$D30))))),0)</f>
        <v>115.09849630073792</v>
      </c>
      <c r="L30" s="70">
        <f>IFERROR(IF(L$4="",0,IF($E30="kWh",VLOOKUP(L$4,'4. Billing Determinants'!$B$19:$P$41,4,0)/'4. Billing Determinants'!$E$41*$D30,IF($E30="kW",VLOOKUP(L$4,'4. Billing Determinants'!$B$19:$P$41,5,0)/'4. Billing Determinants'!$F$41*$D30,IF($E30="Non-RPP kWh",VLOOKUP(L$4,'4. Billing Determinants'!$B$19:$P$41,6,0)/'4. Billing Determinants'!$G$41*$D30,IF($E30="Distribution Rev.",VLOOKUP(L$4,'4. Billing Determinants'!$B$19:$P$41,8,0)/'4. Billing Determinants'!$I$41*$D30, VLOOKUP(L$4,'4. Billing Determinants'!$B$19:$P$41,3,0)/'4. Billing Determinants'!$D$41*$D30))))),0)</f>
        <v>0</v>
      </c>
      <c r="M30" s="70">
        <f>IFERROR(IF(M$4="",0,IF($E30="kWh",VLOOKUP(M$4,'4. Billing Determinants'!$B$19:$P$41,4,0)/'4. Billing Determinants'!$E$41*$D30,IF($E30="kW",VLOOKUP(M$4,'4. Billing Determinants'!$B$19:$P$41,5,0)/'4. Billing Determinants'!$F$41*$D30,IF($E30="Non-RPP kWh",VLOOKUP(M$4,'4. Billing Determinants'!$B$19:$P$41,6,0)/'4. Billing Determinants'!$G$41*$D30,IF($E30="Distribution Rev.",VLOOKUP(M$4,'4. Billing Determinants'!$B$19:$P$41,8,0)/'4. Billing Determinants'!$I$41*$D30, VLOOKUP(M$4,'4. Billing Determinants'!$B$19:$P$41,3,0)/'4. Billing Determinants'!$D$41*$D30))))),0)</f>
        <v>0</v>
      </c>
      <c r="N30" s="70">
        <f>IFERROR(IF(N$4="",0,IF($E30="kWh",VLOOKUP(N$4,'4. Billing Determinants'!$B$19:$P$41,4,0)/'4. Billing Determinants'!$E$41*$D30,IF($E30="kW",VLOOKUP(N$4,'4. Billing Determinants'!$B$19:$P$41,5,0)/'4. Billing Determinants'!$F$41*$D30,IF($E30="Non-RPP kWh",VLOOKUP(N$4,'4. Billing Determinants'!$B$19:$P$41,6,0)/'4. Billing Determinants'!$G$41*$D30,IF($E30="Distribution Rev.",VLOOKUP(N$4,'4. Billing Determinants'!$B$19:$P$41,8,0)/'4. Billing Determinants'!$I$41*$D30, VLOOKUP(N$4,'4. Billing Determinants'!$B$19:$P$41,3,0)/'4. Billing Determinants'!$D$41*$D30))))),0)</f>
        <v>0</v>
      </c>
      <c r="O30" s="70">
        <f>IFERROR(IF(O$4="",0,IF($E30="kWh",VLOOKUP(O$4,'4. Billing Determinants'!$B$19:$P$41,4,0)/'4. Billing Determinants'!$E$41*$D30,IF($E30="kW",VLOOKUP(O$4,'4. Billing Determinants'!$B$19:$P$41,5,0)/'4. Billing Determinants'!$F$41*$D30,IF($E30="Non-RPP kWh",VLOOKUP(O$4,'4. Billing Determinants'!$B$19:$P$41,6,0)/'4. Billing Determinants'!$G$41*$D30,IF($E30="Distribution Rev.",VLOOKUP(O$4,'4. Billing Determinants'!$B$19:$P$41,8,0)/'4. Billing Determinants'!$I$41*$D30, VLOOKUP(O$4,'4. Billing Determinants'!$B$19:$P$41,3,0)/'4. Billing Determinants'!$D$41*$D30))))),0)</f>
        <v>0</v>
      </c>
      <c r="P30" s="70">
        <f>IFERROR(IF(P$4="",0,IF($E30="kWh",VLOOKUP(P$4,'4. Billing Determinants'!$B$19:$P$41,4,0)/'4. Billing Determinants'!$E$41*$D30,IF($E30="kW",VLOOKUP(P$4,'4. Billing Determinants'!$B$19:$P$41,5,0)/'4. Billing Determinants'!$F$41*$D30,IF($E30="Non-RPP kWh",VLOOKUP(P$4,'4. Billing Determinants'!$B$19:$P$41,6,0)/'4. Billing Determinants'!$G$41*$D30,IF($E30="Distribution Rev.",VLOOKUP(P$4,'4. Billing Determinants'!$B$19:$P$41,8,0)/'4. Billing Determinants'!$I$41*$D30, VLOOKUP(P$4,'4. Billing Determinants'!$B$19:$P$41,3,0)/'4. Billing Determinants'!$D$41*$D30))))),0)</f>
        <v>0</v>
      </c>
      <c r="Q30" s="70">
        <f>IFERROR(IF(Q$4="",0,IF($E30="kWh",VLOOKUP(Q$4,'4. Billing Determinants'!$B$19:$P$41,4,0)/'4. Billing Determinants'!$E$41*$D30,IF($E30="kW",VLOOKUP(Q$4,'4. Billing Determinants'!$B$19:$P$41,5,0)/'4. Billing Determinants'!$F$41*$D30,IF($E30="Non-RPP kWh",VLOOKUP(Q$4,'4. Billing Determinants'!$B$19:$P$41,6,0)/'4. Billing Determinants'!$G$41*$D30,IF($E30="Distribution Rev.",VLOOKUP(Q$4,'4. Billing Determinants'!$B$19:$P$41,8,0)/'4. Billing Determinants'!$I$41*$D30, VLOOKUP(Q$4,'4. Billing Determinants'!$B$19:$P$41,3,0)/'4. Billing Determinants'!$D$41*$D30))))),0)</f>
        <v>0</v>
      </c>
      <c r="R30" s="70">
        <f>IFERROR(IF(R$4="",0,IF($E30="kWh",VLOOKUP(R$4,'4. Billing Determinants'!$B$19:$P$41,4,0)/'4. Billing Determinants'!$E$41*$D30,IF($E30="kW",VLOOKUP(R$4,'4. Billing Determinants'!$B$19:$P$41,5,0)/'4. Billing Determinants'!$F$41*$D30,IF($E30="Non-RPP kWh",VLOOKUP(R$4,'4. Billing Determinants'!$B$19:$P$41,6,0)/'4. Billing Determinants'!$G$41*$D30,IF($E30="Distribution Rev.",VLOOKUP(R$4,'4. Billing Determinants'!$B$19:$P$41,8,0)/'4. Billing Determinants'!$I$41*$D30, VLOOKUP(R$4,'4. Billing Determinants'!$B$19:$P$41,3,0)/'4. Billing Determinants'!$D$41*$D30))))),0)</f>
        <v>0</v>
      </c>
      <c r="S30" s="70">
        <f>IFERROR(IF(S$4="",0,IF($E30="kWh",VLOOKUP(S$4,'4. Billing Determinants'!$B$19:$P$41,4,0)/'4. Billing Determinants'!$E$41*$D30,IF($E30="kW",VLOOKUP(S$4,'4. Billing Determinants'!$B$19:$P$41,5,0)/'4. Billing Determinants'!$F$41*$D30,IF($E30="Non-RPP kWh",VLOOKUP(S$4,'4. Billing Determinants'!$B$19:$P$41,6,0)/'4. Billing Determinants'!$G$41*$D30,IF($E30="Distribution Rev.",VLOOKUP(S$4,'4. Billing Determinants'!$B$19:$P$41,8,0)/'4. Billing Determinants'!$I$41*$D30, VLOOKUP(S$4,'4. Billing Determinants'!$B$19:$P$41,3,0)/'4. Billing Determinants'!$D$41*$D30))))),0)</f>
        <v>0</v>
      </c>
      <c r="T30" s="70">
        <f>IFERROR(IF(T$4="",0,IF($E30="kWh",VLOOKUP(T$4,'4. Billing Determinants'!$B$19:$P$41,4,0)/'4. Billing Determinants'!$E$41*$D30,IF($E30="kW",VLOOKUP(T$4,'4. Billing Determinants'!$B$19:$P$41,5,0)/'4. Billing Determinants'!$F$41*$D30,IF($E30="Non-RPP kWh",VLOOKUP(T$4,'4. Billing Determinants'!$B$19:$P$41,6,0)/'4. Billing Determinants'!$G$41*$D30,IF($E30="Distribution Rev.",VLOOKUP(T$4,'4. Billing Determinants'!$B$19:$P$41,8,0)/'4. Billing Determinants'!$I$41*$D30, VLOOKUP(T$4,'4. Billing Determinants'!$B$19:$P$41,3,0)/'4. Billing Determinants'!$D$41*$D30))))),0)</f>
        <v>0</v>
      </c>
      <c r="U30" s="70">
        <f>IFERROR(IF(U$4="",0,IF($E30="kWh",VLOOKUP(U$4,'4. Billing Determinants'!$B$19:$P$41,4,0)/'4. Billing Determinants'!$E$41*$D30,IF($E30="kW",VLOOKUP(U$4,'4. Billing Determinants'!$B$19:$P$41,5,0)/'4. Billing Determinants'!$F$41*$D30,IF($E30="Non-RPP kWh",VLOOKUP(U$4,'4. Billing Determinants'!$B$19:$P$41,6,0)/'4. Billing Determinants'!$G$41*$D30,IF($E30="Distribution Rev.",VLOOKUP(U$4,'4. Billing Determinants'!$B$19:$P$41,8,0)/'4. Billing Determinants'!$I$41*$D30, VLOOKUP(U$4,'4. Billing Determinants'!$B$19:$P$41,3,0)/'4. Billing Determinants'!$D$41*$D30))))),0)</f>
        <v>0</v>
      </c>
      <c r="V30" s="70">
        <f>IFERROR(IF(V$4="",0,IF($E30="kWh",VLOOKUP(V$4,'4. Billing Determinants'!$B$19:$P$41,4,0)/'4. Billing Determinants'!$E$41*$D30,IF($E30="kW",VLOOKUP(V$4,'4. Billing Determinants'!$B$19:$P$41,5,0)/'4. Billing Determinants'!$F$41*$D30,IF($E30="Non-RPP kWh",VLOOKUP(V$4,'4. Billing Determinants'!$B$19:$P$41,6,0)/'4. Billing Determinants'!$G$41*$D30,IF($E30="Distribution Rev.",VLOOKUP(V$4,'4. Billing Determinants'!$B$19:$P$41,8,0)/'4. Billing Determinants'!$I$41*$D30, VLOOKUP(V$4,'4. Billing Determinants'!$B$19:$P$41,3,0)/'4. Billing Determinants'!$D$41*$D30))))),0)</f>
        <v>0</v>
      </c>
      <c r="W30" s="70">
        <f>IFERROR(IF(W$4="",0,IF($E30="kWh",VLOOKUP(W$4,'4. Billing Determinants'!$B$19:$P$41,4,0)/'4. Billing Determinants'!$E$41*$D30,IF($E30="kW",VLOOKUP(W$4,'4. Billing Determinants'!$B$19:$P$41,5,0)/'4. Billing Determinants'!$F$41*$D30,IF($E30="Non-RPP kWh",VLOOKUP(W$4,'4. Billing Determinants'!$B$19:$P$41,6,0)/'4. Billing Determinants'!$G$41*$D30,IF($E30="Distribution Rev.",VLOOKUP(W$4,'4. Billing Determinants'!$B$19:$P$41,8,0)/'4. Billing Determinants'!$I$41*$D30, VLOOKUP(W$4,'4. Billing Determinants'!$B$19:$P$41,3,0)/'4. Billing Determinants'!$D$41*$D30))))),0)</f>
        <v>0</v>
      </c>
      <c r="X30" s="70">
        <f>IFERROR(IF(X$4="",0,IF($E30="kWh",VLOOKUP(X$4,'4. Billing Determinants'!$B$19:$P$41,4,0)/'4. Billing Determinants'!$E$41*$D30,IF($E30="kW",VLOOKUP(X$4,'4. Billing Determinants'!$B$19:$P$41,5,0)/'4. Billing Determinants'!$F$41*$D30,IF($E30="Non-RPP kWh",VLOOKUP(X$4,'4. Billing Determinants'!$B$19:$P$41,6,0)/'4. Billing Determinants'!$G$41*$D30,IF($E30="Distribution Rev.",VLOOKUP(X$4,'4. Billing Determinants'!$B$19:$P$41,8,0)/'4. Billing Determinants'!$I$41*$D30, VLOOKUP(X$4,'4. Billing Determinants'!$B$19:$P$41,3,0)/'4. Billing Determinants'!$D$41*$D30))))),0)</f>
        <v>0</v>
      </c>
      <c r="Y30" s="70">
        <f>IFERROR(IF(Y$4="",0,IF($E30="kWh",VLOOKUP(Y$4,'4. Billing Determinants'!$B$19:$P$41,4,0)/'4. Billing Determinants'!$E$41*$D30,IF($E30="kW",VLOOKUP(Y$4,'4. Billing Determinants'!$B$19:$P$41,5,0)/'4. Billing Determinants'!$F$41*$D30,IF($E30="Non-RPP kWh",VLOOKUP(Y$4,'4. Billing Determinants'!$B$19:$P$41,6,0)/'4. Billing Determinants'!$G$41*$D30,IF($E30="Distribution Rev.",VLOOKUP(Y$4,'4. Billing Determinants'!$B$19:$P$41,8,0)/'4. Billing Determinants'!$I$41*$D30, VLOOKUP(Y$4,'4. Billing Determinants'!$B$19:$P$41,3,0)/'4. Billing Determinants'!$D$41*$D30))))),0)</f>
        <v>0</v>
      </c>
    </row>
    <row r="31" spans="2:25" x14ac:dyDescent="0.2">
      <c r="B31" s="68" t="s">
        <v>23</v>
      </c>
      <c r="C31" s="69">
        <v>1536</v>
      </c>
      <c r="D31" s="70">
        <f>'2. 2014 Continuity Schedule'!BO54</f>
        <v>0</v>
      </c>
      <c r="E31" s="130"/>
      <c r="F31" s="70">
        <f>IFERROR(IF(F$4="",0,IF($E31="kWh",VLOOKUP(F$4,'4. Billing Determinants'!$B$19:$P$41,4,0)/'4. Billing Determinants'!$E$41*$D31,IF($E31="kW",VLOOKUP(F$4,'4. Billing Determinants'!$B$19:$P$41,5,0)/'4. Billing Determinants'!$F$41*$D31,IF($E31="Non-RPP kWh",VLOOKUP(F$4,'4. Billing Determinants'!$B$19:$P$41,6,0)/'4. Billing Determinants'!$G$41*$D31,IF($E31="Distribution Rev.",VLOOKUP(F$4,'4. Billing Determinants'!$B$19:$P$41,8,0)/'4. Billing Determinants'!$I$41*$D31, VLOOKUP(F$4,'4. Billing Determinants'!$B$19:$P$41,3,0)/'4. Billing Determinants'!$D$41*$D31))))),0)</f>
        <v>0</v>
      </c>
      <c r="G31" s="70">
        <f>IFERROR(IF(G$4="",0,IF($E31="kWh",VLOOKUP(G$4,'4. Billing Determinants'!$B$19:$P$41,4,0)/'4. Billing Determinants'!$E$41*$D31,IF($E31="kW",VLOOKUP(G$4,'4. Billing Determinants'!$B$19:$P$41,5,0)/'4. Billing Determinants'!$F$41*$D31,IF($E31="Non-RPP kWh",VLOOKUP(G$4,'4. Billing Determinants'!$B$19:$P$41,6,0)/'4. Billing Determinants'!$G$41*$D31,IF($E31="Distribution Rev.",VLOOKUP(G$4,'4. Billing Determinants'!$B$19:$P$41,8,0)/'4. Billing Determinants'!$I$41*$D31, VLOOKUP(G$4,'4. Billing Determinants'!$B$19:$P$41,3,0)/'4. Billing Determinants'!$D$41*$D31))))),0)</f>
        <v>0</v>
      </c>
      <c r="H31" s="70">
        <f>IFERROR(IF(H$4="",0,IF($E31="kWh",VLOOKUP(H$4,'4. Billing Determinants'!$B$19:$P$41,4,0)/'4. Billing Determinants'!$E$41*$D31,IF($E31="kW",VLOOKUP(H$4,'4. Billing Determinants'!$B$19:$P$41,5,0)/'4. Billing Determinants'!$F$41*$D31,IF($E31="Non-RPP kWh",VLOOKUP(H$4,'4. Billing Determinants'!$B$19:$P$41,6,0)/'4. Billing Determinants'!$G$41*$D31,IF($E31="Distribution Rev.",VLOOKUP(H$4,'4. Billing Determinants'!$B$19:$P$41,8,0)/'4. Billing Determinants'!$I$41*$D31, VLOOKUP(H$4,'4. Billing Determinants'!$B$19:$P$41,3,0)/'4. Billing Determinants'!$D$41*$D31))))),0)</f>
        <v>0</v>
      </c>
      <c r="I31" s="70">
        <f>IFERROR(IF(I$4="",0,IF($E31="kWh",VLOOKUP(I$4,'4. Billing Determinants'!$B$19:$P$41,4,0)/'4. Billing Determinants'!$E$41*$D31,IF($E31="kW",VLOOKUP(I$4,'4. Billing Determinants'!$B$19:$P$41,5,0)/'4. Billing Determinants'!$F$41*$D31,IF($E31="Non-RPP kWh",VLOOKUP(I$4,'4. Billing Determinants'!$B$19:$P$41,6,0)/'4. Billing Determinants'!$G$41*$D31,IF($E31="Distribution Rev.",VLOOKUP(I$4,'4. Billing Determinants'!$B$19:$P$41,8,0)/'4. Billing Determinants'!$I$41*$D31, VLOOKUP(I$4,'4. Billing Determinants'!$B$19:$P$41,3,0)/'4. Billing Determinants'!$D$41*$D31))))),0)</f>
        <v>0</v>
      </c>
      <c r="J31" s="70">
        <f>IFERROR(IF(J$4="",0,IF($E31="kWh",VLOOKUP(J$4,'4. Billing Determinants'!$B$19:$P$41,4,0)/'4. Billing Determinants'!$E$41*$D31,IF($E31="kW",VLOOKUP(J$4,'4. Billing Determinants'!$B$19:$P$41,5,0)/'4. Billing Determinants'!$F$41*$D31,IF($E31="Non-RPP kWh",VLOOKUP(J$4,'4. Billing Determinants'!$B$19:$P$41,6,0)/'4. Billing Determinants'!$G$41*$D31,IF($E31="Distribution Rev.",VLOOKUP(J$4,'4. Billing Determinants'!$B$19:$P$41,8,0)/'4. Billing Determinants'!$I$41*$D31, VLOOKUP(J$4,'4. Billing Determinants'!$B$19:$P$41,3,0)/'4. Billing Determinants'!$D$41*$D31))))),0)</f>
        <v>0</v>
      </c>
      <c r="K31" s="70">
        <f>IFERROR(IF(K$4="",0,IF($E31="kWh",VLOOKUP(K$4,'4. Billing Determinants'!$B$19:$P$41,4,0)/'4. Billing Determinants'!$E$41*$D31,IF($E31="kW",VLOOKUP(K$4,'4. Billing Determinants'!$B$19:$P$41,5,0)/'4. Billing Determinants'!$F$41*$D31,IF($E31="Non-RPP kWh",VLOOKUP(K$4,'4. Billing Determinants'!$B$19:$P$41,6,0)/'4. Billing Determinants'!$G$41*$D31,IF($E31="Distribution Rev.",VLOOKUP(K$4,'4. Billing Determinants'!$B$19:$P$41,8,0)/'4. Billing Determinants'!$I$41*$D31, VLOOKUP(K$4,'4. Billing Determinants'!$B$19:$P$41,3,0)/'4. Billing Determinants'!$D$41*$D31))))),0)</f>
        <v>0</v>
      </c>
      <c r="L31" s="70">
        <f>IFERROR(IF(L$4="",0,IF($E31="kWh",VLOOKUP(L$4,'4. Billing Determinants'!$B$19:$P$41,4,0)/'4. Billing Determinants'!$E$41*$D31,IF($E31="kW",VLOOKUP(L$4,'4. Billing Determinants'!$B$19:$P$41,5,0)/'4. Billing Determinants'!$F$41*$D31,IF($E31="Non-RPP kWh",VLOOKUP(L$4,'4. Billing Determinants'!$B$19:$P$41,6,0)/'4. Billing Determinants'!$G$41*$D31,IF($E31="Distribution Rev.",VLOOKUP(L$4,'4. Billing Determinants'!$B$19:$P$41,8,0)/'4. Billing Determinants'!$I$41*$D31, VLOOKUP(L$4,'4. Billing Determinants'!$B$19:$P$41,3,0)/'4. Billing Determinants'!$D$41*$D31))))),0)</f>
        <v>0</v>
      </c>
      <c r="M31" s="70">
        <f>IFERROR(IF(M$4="",0,IF($E31="kWh",VLOOKUP(M$4,'4. Billing Determinants'!$B$19:$P$41,4,0)/'4. Billing Determinants'!$E$41*$D31,IF($E31="kW",VLOOKUP(M$4,'4. Billing Determinants'!$B$19:$P$41,5,0)/'4. Billing Determinants'!$F$41*$D31,IF($E31="Non-RPP kWh",VLOOKUP(M$4,'4. Billing Determinants'!$B$19:$P$41,6,0)/'4. Billing Determinants'!$G$41*$D31,IF($E31="Distribution Rev.",VLOOKUP(M$4,'4. Billing Determinants'!$B$19:$P$41,8,0)/'4. Billing Determinants'!$I$41*$D31, VLOOKUP(M$4,'4. Billing Determinants'!$B$19:$P$41,3,0)/'4. Billing Determinants'!$D$41*$D31))))),0)</f>
        <v>0</v>
      </c>
      <c r="N31" s="70">
        <f>IFERROR(IF(N$4="",0,IF($E31="kWh",VLOOKUP(N$4,'4. Billing Determinants'!$B$19:$P$41,4,0)/'4. Billing Determinants'!$E$41*$D31,IF($E31="kW",VLOOKUP(N$4,'4. Billing Determinants'!$B$19:$P$41,5,0)/'4. Billing Determinants'!$F$41*$D31,IF($E31="Non-RPP kWh",VLOOKUP(N$4,'4. Billing Determinants'!$B$19:$P$41,6,0)/'4. Billing Determinants'!$G$41*$D31,IF($E31="Distribution Rev.",VLOOKUP(N$4,'4. Billing Determinants'!$B$19:$P$41,8,0)/'4. Billing Determinants'!$I$41*$D31, VLOOKUP(N$4,'4. Billing Determinants'!$B$19:$P$41,3,0)/'4. Billing Determinants'!$D$41*$D31))))),0)</f>
        <v>0</v>
      </c>
      <c r="O31" s="70">
        <f>IFERROR(IF(O$4="",0,IF($E31="kWh",VLOOKUP(O$4,'4. Billing Determinants'!$B$19:$P$41,4,0)/'4. Billing Determinants'!$E$41*$D31,IF($E31="kW",VLOOKUP(O$4,'4. Billing Determinants'!$B$19:$P$41,5,0)/'4. Billing Determinants'!$F$41*$D31,IF($E31="Non-RPP kWh",VLOOKUP(O$4,'4. Billing Determinants'!$B$19:$P$41,6,0)/'4. Billing Determinants'!$G$41*$D31,IF($E31="Distribution Rev.",VLOOKUP(O$4,'4. Billing Determinants'!$B$19:$P$41,8,0)/'4. Billing Determinants'!$I$41*$D31, VLOOKUP(O$4,'4. Billing Determinants'!$B$19:$P$41,3,0)/'4. Billing Determinants'!$D$41*$D31))))),0)</f>
        <v>0</v>
      </c>
      <c r="P31" s="70">
        <f>IFERROR(IF(P$4="",0,IF($E31="kWh",VLOOKUP(P$4,'4. Billing Determinants'!$B$19:$P$41,4,0)/'4. Billing Determinants'!$E$41*$D31,IF($E31="kW",VLOOKUP(P$4,'4. Billing Determinants'!$B$19:$P$41,5,0)/'4. Billing Determinants'!$F$41*$D31,IF($E31="Non-RPP kWh",VLOOKUP(P$4,'4. Billing Determinants'!$B$19:$P$41,6,0)/'4. Billing Determinants'!$G$41*$D31,IF($E31="Distribution Rev.",VLOOKUP(P$4,'4. Billing Determinants'!$B$19:$P$41,8,0)/'4. Billing Determinants'!$I$41*$D31, VLOOKUP(P$4,'4. Billing Determinants'!$B$19:$P$41,3,0)/'4. Billing Determinants'!$D$41*$D31))))),0)</f>
        <v>0</v>
      </c>
      <c r="Q31" s="70">
        <f>IFERROR(IF(Q$4="",0,IF($E31="kWh",VLOOKUP(Q$4,'4. Billing Determinants'!$B$19:$P$41,4,0)/'4. Billing Determinants'!$E$41*$D31,IF($E31="kW",VLOOKUP(Q$4,'4. Billing Determinants'!$B$19:$P$41,5,0)/'4. Billing Determinants'!$F$41*$D31,IF($E31="Non-RPP kWh",VLOOKUP(Q$4,'4. Billing Determinants'!$B$19:$P$41,6,0)/'4. Billing Determinants'!$G$41*$D31,IF($E31="Distribution Rev.",VLOOKUP(Q$4,'4. Billing Determinants'!$B$19:$P$41,8,0)/'4. Billing Determinants'!$I$41*$D31, VLOOKUP(Q$4,'4. Billing Determinants'!$B$19:$P$41,3,0)/'4. Billing Determinants'!$D$41*$D31))))),0)</f>
        <v>0</v>
      </c>
      <c r="R31" s="70">
        <f>IFERROR(IF(R$4="",0,IF($E31="kWh",VLOOKUP(R$4,'4. Billing Determinants'!$B$19:$P$41,4,0)/'4. Billing Determinants'!$E$41*$D31,IF($E31="kW",VLOOKUP(R$4,'4. Billing Determinants'!$B$19:$P$41,5,0)/'4. Billing Determinants'!$F$41*$D31,IF($E31="Non-RPP kWh",VLOOKUP(R$4,'4. Billing Determinants'!$B$19:$P$41,6,0)/'4. Billing Determinants'!$G$41*$D31,IF($E31="Distribution Rev.",VLOOKUP(R$4,'4. Billing Determinants'!$B$19:$P$41,8,0)/'4. Billing Determinants'!$I$41*$D31, VLOOKUP(R$4,'4. Billing Determinants'!$B$19:$P$41,3,0)/'4. Billing Determinants'!$D$41*$D31))))),0)</f>
        <v>0</v>
      </c>
      <c r="S31" s="70">
        <f>IFERROR(IF(S$4="",0,IF($E31="kWh",VLOOKUP(S$4,'4. Billing Determinants'!$B$19:$P$41,4,0)/'4. Billing Determinants'!$E$41*$D31,IF($E31="kW",VLOOKUP(S$4,'4. Billing Determinants'!$B$19:$P$41,5,0)/'4. Billing Determinants'!$F$41*$D31,IF($E31="Non-RPP kWh",VLOOKUP(S$4,'4. Billing Determinants'!$B$19:$P$41,6,0)/'4. Billing Determinants'!$G$41*$D31,IF($E31="Distribution Rev.",VLOOKUP(S$4,'4. Billing Determinants'!$B$19:$P$41,8,0)/'4. Billing Determinants'!$I$41*$D31, VLOOKUP(S$4,'4. Billing Determinants'!$B$19:$P$41,3,0)/'4. Billing Determinants'!$D$41*$D31))))),0)</f>
        <v>0</v>
      </c>
      <c r="T31" s="70">
        <f>IFERROR(IF(T$4="",0,IF($E31="kWh",VLOOKUP(T$4,'4. Billing Determinants'!$B$19:$P$41,4,0)/'4. Billing Determinants'!$E$41*$D31,IF($E31="kW",VLOOKUP(T$4,'4. Billing Determinants'!$B$19:$P$41,5,0)/'4. Billing Determinants'!$F$41*$D31,IF($E31="Non-RPP kWh",VLOOKUP(T$4,'4. Billing Determinants'!$B$19:$P$41,6,0)/'4. Billing Determinants'!$G$41*$D31,IF($E31="Distribution Rev.",VLOOKUP(T$4,'4. Billing Determinants'!$B$19:$P$41,8,0)/'4. Billing Determinants'!$I$41*$D31, VLOOKUP(T$4,'4. Billing Determinants'!$B$19:$P$41,3,0)/'4. Billing Determinants'!$D$41*$D31))))),0)</f>
        <v>0</v>
      </c>
      <c r="U31" s="70">
        <f>IFERROR(IF(U$4="",0,IF($E31="kWh",VLOOKUP(U$4,'4. Billing Determinants'!$B$19:$P$41,4,0)/'4. Billing Determinants'!$E$41*$D31,IF($E31="kW",VLOOKUP(U$4,'4. Billing Determinants'!$B$19:$P$41,5,0)/'4. Billing Determinants'!$F$41*$D31,IF($E31="Non-RPP kWh",VLOOKUP(U$4,'4. Billing Determinants'!$B$19:$P$41,6,0)/'4. Billing Determinants'!$G$41*$D31,IF($E31="Distribution Rev.",VLOOKUP(U$4,'4. Billing Determinants'!$B$19:$P$41,8,0)/'4. Billing Determinants'!$I$41*$D31, VLOOKUP(U$4,'4. Billing Determinants'!$B$19:$P$41,3,0)/'4. Billing Determinants'!$D$41*$D31))))),0)</f>
        <v>0</v>
      </c>
      <c r="V31" s="70">
        <f>IFERROR(IF(V$4="",0,IF($E31="kWh",VLOOKUP(V$4,'4. Billing Determinants'!$B$19:$P$41,4,0)/'4. Billing Determinants'!$E$41*$D31,IF($E31="kW",VLOOKUP(V$4,'4. Billing Determinants'!$B$19:$P$41,5,0)/'4. Billing Determinants'!$F$41*$D31,IF($E31="Non-RPP kWh",VLOOKUP(V$4,'4. Billing Determinants'!$B$19:$P$41,6,0)/'4. Billing Determinants'!$G$41*$D31,IF($E31="Distribution Rev.",VLOOKUP(V$4,'4. Billing Determinants'!$B$19:$P$41,8,0)/'4. Billing Determinants'!$I$41*$D31, VLOOKUP(V$4,'4. Billing Determinants'!$B$19:$P$41,3,0)/'4. Billing Determinants'!$D$41*$D31))))),0)</f>
        <v>0</v>
      </c>
      <c r="W31" s="70">
        <f>IFERROR(IF(W$4="",0,IF($E31="kWh",VLOOKUP(W$4,'4. Billing Determinants'!$B$19:$P$41,4,0)/'4. Billing Determinants'!$E$41*$D31,IF($E31="kW",VLOOKUP(W$4,'4. Billing Determinants'!$B$19:$P$41,5,0)/'4. Billing Determinants'!$F$41*$D31,IF($E31="Non-RPP kWh",VLOOKUP(W$4,'4. Billing Determinants'!$B$19:$P$41,6,0)/'4. Billing Determinants'!$G$41*$D31,IF($E31="Distribution Rev.",VLOOKUP(W$4,'4. Billing Determinants'!$B$19:$P$41,8,0)/'4. Billing Determinants'!$I$41*$D31, VLOOKUP(W$4,'4. Billing Determinants'!$B$19:$P$41,3,0)/'4. Billing Determinants'!$D$41*$D31))))),0)</f>
        <v>0</v>
      </c>
      <c r="X31" s="70">
        <f>IFERROR(IF(X$4="",0,IF($E31="kWh",VLOOKUP(X$4,'4. Billing Determinants'!$B$19:$P$41,4,0)/'4. Billing Determinants'!$E$41*$D31,IF($E31="kW",VLOOKUP(X$4,'4. Billing Determinants'!$B$19:$P$41,5,0)/'4. Billing Determinants'!$F$41*$D31,IF($E31="Non-RPP kWh",VLOOKUP(X$4,'4. Billing Determinants'!$B$19:$P$41,6,0)/'4. Billing Determinants'!$G$41*$D31,IF($E31="Distribution Rev.",VLOOKUP(X$4,'4. Billing Determinants'!$B$19:$P$41,8,0)/'4. Billing Determinants'!$I$41*$D31, VLOOKUP(X$4,'4. Billing Determinants'!$B$19:$P$41,3,0)/'4. Billing Determinants'!$D$41*$D31))))),0)</f>
        <v>0</v>
      </c>
      <c r="Y31" s="70">
        <f>IFERROR(IF(Y$4="",0,IF($E31="kWh",VLOOKUP(Y$4,'4. Billing Determinants'!$B$19:$P$41,4,0)/'4. Billing Determinants'!$E$41*$D31,IF($E31="kW",VLOOKUP(Y$4,'4. Billing Determinants'!$B$19:$P$41,5,0)/'4. Billing Determinants'!$F$41*$D31,IF($E31="Non-RPP kWh",VLOOKUP(Y$4,'4. Billing Determinants'!$B$19:$P$41,6,0)/'4. Billing Determinants'!$G$41*$D31,IF($E31="Distribution Rev.",VLOOKUP(Y$4,'4. Billing Determinants'!$B$19:$P$41,8,0)/'4. Billing Determinants'!$I$41*$D31, VLOOKUP(Y$4,'4. Billing Determinants'!$B$19:$P$41,3,0)/'4. Billing Determinants'!$D$41*$D31))))),0)</f>
        <v>0</v>
      </c>
    </row>
    <row r="32" spans="2:25" x14ac:dyDescent="0.2">
      <c r="B32" s="68" t="s">
        <v>5</v>
      </c>
      <c r="C32" s="69">
        <v>1548</v>
      </c>
      <c r="D32" s="70">
        <f>'2. 2014 Continuity Schedule'!BO55</f>
        <v>178967.35000000006</v>
      </c>
      <c r="E32" s="130" t="s">
        <v>115</v>
      </c>
      <c r="F32" s="70">
        <f>IFERROR(IF(F$4="",0,IF($E32="kWh",VLOOKUP(F$4,'4. Billing Determinants'!$B$19:$P$41,4,0)/'4. Billing Determinants'!$E$41*$D32,IF($E32="kW",VLOOKUP(F$4,'4. Billing Determinants'!$B$19:$P$41,5,0)/'4. Billing Determinants'!$F$41*$D32,IF($E32="Non-RPP kWh",VLOOKUP(F$4,'4. Billing Determinants'!$B$19:$P$41,6,0)/'4. Billing Determinants'!$G$41*$D32,IF($E32="Distribution Rev.",VLOOKUP(F$4,'4. Billing Determinants'!$B$19:$P$41,8,0)/'4. Billing Determinants'!$I$41*$D32, VLOOKUP(F$4,'4. Billing Determinants'!$B$19:$P$41,3,0)/'4. Billing Determinants'!$D$41*$D32))))),0)</f>
        <v>159841.2528980333</v>
      </c>
      <c r="G32" s="70">
        <f>IFERROR(IF(G$4="",0,IF($E32="kWh",VLOOKUP(G$4,'4. Billing Determinants'!$B$19:$P$41,4,0)/'4. Billing Determinants'!$E$41*$D32,IF($E32="kW",VLOOKUP(G$4,'4. Billing Determinants'!$B$19:$P$41,5,0)/'4. Billing Determinants'!$F$41*$D32,IF($E32="Non-RPP kWh",VLOOKUP(G$4,'4. Billing Determinants'!$B$19:$P$41,6,0)/'4. Billing Determinants'!$G$41*$D32,IF($E32="Distribution Rev.",VLOOKUP(G$4,'4. Billing Determinants'!$B$19:$P$41,8,0)/'4. Billing Determinants'!$I$41*$D32, VLOOKUP(G$4,'4. Billing Determinants'!$B$19:$P$41,3,0)/'4. Billing Determinants'!$D$41*$D32))))),0)</f>
        <v>14905.022393893194</v>
      </c>
      <c r="H32" s="70">
        <f>IFERROR(IF(H$4="",0,IF($E32="kWh",VLOOKUP(H$4,'4. Billing Determinants'!$B$19:$P$41,4,0)/'4. Billing Determinants'!$E$41*$D32,IF($E32="kW",VLOOKUP(H$4,'4. Billing Determinants'!$B$19:$P$41,5,0)/'4. Billing Determinants'!$F$41*$D32,IF($E32="Non-RPP kWh",VLOOKUP(H$4,'4. Billing Determinants'!$B$19:$P$41,6,0)/'4. Billing Determinants'!$G$41*$D32,IF($E32="Distribution Rev.",VLOOKUP(H$4,'4. Billing Determinants'!$B$19:$P$41,8,0)/'4. Billing Determinants'!$I$41*$D32, VLOOKUP(H$4,'4. Billing Determinants'!$B$19:$P$41,3,0)/'4. Billing Determinants'!$D$41*$D32))))),0)</f>
        <v>2981.0044787786387</v>
      </c>
      <c r="I32" s="70">
        <f>IFERROR(IF(I$4="",0,IF($E32="kWh",VLOOKUP(I$4,'4. Billing Determinants'!$B$19:$P$41,4,0)/'4. Billing Determinants'!$E$41*$D32,IF($E32="kW",VLOOKUP(I$4,'4. Billing Determinants'!$B$19:$P$41,5,0)/'4. Billing Determinants'!$F$41*$D32,IF($E32="Non-RPP kWh",VLOOKUP(I$4,'4. Billing Determinants'!$B$19:$P$41,6,0)/'4. Billing Determinants'!$G$41*$D32,IF($E32="Distribution Rev.",VLOOKUP(I$4,'4. Billing Determinants'!$B$19:$P$41,8,0)/'4. Billing Determinants'!$I$41*$D32, VLOOKUP(I$4,'4. Billing Determinants'!$B$19:$P$41,3,0)/'4. Billing Determinants'!$D$41*$D32))))),0)</f>
        <v>58.721988573854993</v>
      </c>
      <c r="J32" s="70">
        <f>IFERROR(IF(J$4="",0,IF($E32="kWh",VLOOKUP(J$4,'4. Billing Determinants'!$B$19:$P$41,4,0)/'4. Billing Determinants'!$E$41*$D32,IF($E32="kW",VLOOKUP(J$4,'4. Billing Determinants'!$B$19:$P$41,5,0)/'4. Billing Determinants'!$F$41*$D32,IF($E32="Non-RPP kWh",VLOOKUP(J$4,'4. Billing Determinants'!$B$19:$P$41,6,0)/'4. Billing Determinants'!$G$41*$D32,IF($E32="Distribution Rev.",VLOOKUP(J$4,'4. Billing Determinants'!$B$19:$P$41,8,0)/'4. Billing Determinants'!$I$41*$D32, VLOOKUP(J$4,'4. Billing Determinants'!$B$19:$P$41,3,0)/'4. Billing Determinants'!$D$41*$D32))))),0)</f>
        <v>1164.0770676111256</v>
      </c>
      <c r="K32" s="70">
        <f>IFERROR(IF(K$4="",0,IF($E32="kWh",VLOOKUP(K$4,'4. Billing Determinants'!$B$19:$P$41,4,0)/'4. Billing Determinants'!$E$41*$D32,IF($E32="kW",VLOOKUP(K$4,'4. Billing Determinants'!$B$19:$P$41,5,0)/'4. Billing Determinants'!$F$41*$D32,IF($E32="Non-RPP kWh",VLOOKUP(K$4,'4. Billing Determinants'!$B$19:$P$41,6,0)/'4. Billing Determinants'!$G$41*$D32,IF($E32="Distribution Rev.",VLOOKUP(K$4,'4. Billing Determinants'!$B$19:$P$41,8,0)/'4. Billing Determinants'!$I$41*$D32, VLOOKUP(K$4,'4. Billing Determinants'!$B$19:$P$41,3,0)/'4. Billing Determinants'!$D$41*$D32))))),0)</f>
        <v>17.271173109957353</v>
      </c>
      <c r="L32" s="70">
        <f>IFERROR(IF(L$4="",0,IF($E32="kWh",VLOOKUP(L$4,'4. Billing Determinants'!$B$19:$P$41,4,0)/'4. Billing Determinants'!$E$41*$D32,IF($E32="kW",VLOOKUP(L$4,'4. Billing Determinants'!$B$19:$P$41,5,0)/'4. Billing Determinants'!$F$41*$D32,IF($E32="Non-RPP kWh",VLOOKUP(L$4,'4. Billing Determinants'!$B$19:$P$41,6,0)/'4. Billing Determinants'!$G$41*$D32,IF($E32="Distribution Rev.",VLOOKUP(L$4,'4. Billing Determinants'!$B$19:$P$41,8,0)/'4. Billing Determinants'!$I$41*$D32, VLOOKUP(L$4,'4. Billing Determinants'!$B$19:$P$41,3,0)/'4. Billing Determinants'!$D$41*$D32))))),0)</f>
        <v>0</v>
      </c>
      <c r="M32" s="70">
        <f>IFERROR(IF(M$4="",0,IF($E32="kWh",VLOOKUP(M$4,'4. Billing Determinants'!$B$19:$P$41,4,0)/'4. Billing Determinants'!$E$41*$D32,IF($E32="kW",VLOOKUP(M$4,'4. Billing Determinants'!$B$19:$P$41,5,0)/'4. Billing Determinants'!$F$41*$D32,IF($E32="Non-RPP kWh",VLOOKUP(M$4,'4. Billing Determinants'!$B$19:$P$41,6,0)/'4. Billing Determinants'!$G$41*$D32,IF($E32="Distribution Rev.",VLOOKUP(M$4,'4. Billing Determinants'!$B$19:$P$41,8,0)/'4. Billing Determinants'!$I$41*$D32, VLOOKUP(M$4,'4. Billing Determinants'!$B$19:$P$41,3,0)/'4. Billing Determinants'!$D$41*$D32))))),0)</f>
        <v>0</v>
      </c>
      <c r="N32" s="70">
        <f>IFERROR(IF(N$4="",0,IF($E32="kWh",VLOOKUP(N$4,'4. Billing Determinants'!$B$19:$P$41,4,0)/'4. Billing Determinants'!$E$41*$D32,IF($E32="kW",VLOOKUP(N$4,'4. Billing Determinants'!$B$19:$P$41,5,0)/'4. Billing Determinants'!$F$41*$D32,IF($E32="Non-RPP kWh",VLOOKUP(N$4,'4. Billing Determinants'!$B$19:$P$41,6,0)/'4. Billing Determinants'!$G$41*$D32,IF($E32="Distribution Rev.",VLOOKUP(N$4,'4. Billing Determinants'!$B$19:$P$41,8,0)/'4. Billing Determinants'!$I$41*$D32, VLOOKUP(N$4,'4. Billing Determinants'!$B$19:$P$41,3,0)/'4. Billing Determinants'!$D$41*$D32))))),0)</f>
        <v>0</v>
      </c>
      <c r="O32" s="70">
        <f>IFERROR(IF(O$4="",0,IF($E32="kWh",VLOOKUP(O$4,'4. Billing Determinants'!$B$19:$P$41,4,0)/'4. Billing Determinants'!$E$41*$D32,IF($E32="kW",VLOOKUP(O$4,'4. Billing Determinants'!$B$19:$P$41,5,0)/'4. Billing Determinants'!$F$41*$D32,IF($E32="Non-RPP kWh",VLOOKUP(O$4,'4. Billing Determinants'!$B$19:$P$41,6,0)/'4. Billing Determinants'!$G$41*$D32,IF($E32="Distribution Rev.",VLOOKUP(O$4,'4. Billing Determinants'!$B$19:$P$41,8,0)/'4. Billing Determinants'!$I$41*$D32, VLOOKUP(O$4,'4. Billing Determinants'!$B$19:$P$41,3,0)/'4. Billing Determinants'!$D$41*$D32))))),0)</f>
        <v>0</v>
      </c>
      <c r="P32" s="70">
        <f>IFERROR(IF(P$4="",0,IF($E32="kWh",VLOOKUP(P$4,'4. Billing Determinants'!$B$19:$P$41,4,0)/'4. Billing Determinants'!$E$41*$D32,IF($E32="kW",VLOOKUP(P$4,'4. Billing Determinants'!$B$19:$P$41,5,0)/'4. Billing Determinants'!$F$41*$D32,IF($E32="Non-RPP kWh",VLOOKUP(P$4,'4. Billing Determinants'!$B$19:$P$41,6,0)/'4. Billing Determinants'!$G$41*$D32,IF($E32="Distribution Rev.",VLOOKUP(P$4,'4. Billing Determinants'!$B$19:$P$41,8,0)/'4. Billing Determinants'!$I$41*$D32, VLOOKUP(P$4,'4. Billing Determinants'!$B$19:$P$41,3,0)/'4. Billing Determinants'!$D$41*$D32))))),0)</f>
        <v>0</v>
      </c>
      <c r="Q32" s="70">
        <f>IFERROR(IF(Q$4="",0,IF($E32="kWh",VLOOKUP(Q$4,'4. Billing Determinants'!$B$19:$P$41,4,0)/'4. Billing Determinants'!$E$41*$D32,IF($E32="kW",VLOOKUP(Q$4,'4. Billing Determinants'!$B$19:$P$41,5,0)/'4. Billing Determinants'!$F$41*$D32,IF($E32="Non-RPP kWh",VLOOKUP(Q$4,'4. Billing Determinants'!$B$19:$P$41,6,0)/'4. Billing Determinants'!$G$41*$D32,IF($E32="Distribution Rev.",VLOOKUP(Q$4,'4. Billing Determinants'!$B$19:$P$41,8,0)/'4. Billing Determinants'!$I$41*$D32, VLOOKUP(Q$4,'4. Billing Determinants'!$B$19:$P$41,3,0)/'4. Billing Determinants'!$D$41*$D32))))),0)</f>
        <v>0</v>
      </c>
      <c r="R32" s="70">
        <f>IFERROR(IF(R$4="",0,IF($E32="kWh",VLOOKUP(R$4,'4. Billing Determinants'!$B$19:$P$41,4,0)/'4. Billing Determinants'!$E$41*$D32,IF($E32="kW",VLOOKUP(R$4,'4. Billing Determinants'!$B$19:$P$41,5,0)/'4. Billing Determinants'!$F$41*$D32,IF($E32="Non-RPP kWh",VLOOKUP(R$4,'4. Billing Determinants'!$B$19:$P$41,6,0)/'4. Billing Determinants'!$G$41*$D32,IF($E32="Distribution Rev.",VLOOKUP(R$4,'4. Billing Determinants'!$B$19:$P$41,8,0)/'4. Billing Determinants'!$I$41*$D32, VLOOKUP(R$4,'4. Billing Determinants'!$B$19:$P$41,3,0)/'4. Billing Determinants'!$D$41*$D32))))),0)</f>
        <v>0</v>
      </c>
      <c r="S32" s="70">
        <f>IFERROR(IF(S$4="",0,IF($E32="kWh",VLOOKUP(S$4,'4. Billing Determinants'!$B$19:$P$41,4,0)/'4. Billing Determinants'!$E$41*$D32,IF($E32="kW",VLOOKUP(S$4,'4. Billing Determinants'!$B$19:$P$41,5,0)/'4. Billing Determinants'!$F$41*$D32,IF($E32="Non-RPP kWh",VLOOKUP(S$4,'4. Billing Determinants'!$B$19:$P$41,6,0)/'4. Billing Determinants'!$G$41*$D32,IF($E32="Distribution Rev.",VLOOKUP(S$4,'4. Billing Determinants'!$B$19:$P$41,8,0)/'4. Billing Determinants'!$I$41*$D32, VLOOKUP(S$4,'4. Billing Determinants'!$B$19:$P$41,3,0)/'4. Billing Determinants'!$D$41*$D32))))),0)</f>
        <v>0</v>
      </c>
      <c r="T32" s="70">
        <f>IFERROR(IF(T$4="",0,IF($E32="kWh",VLOOKUP(T$4,'4. Billing Determinants'!$B$19:$P$41,4,0)/'4. Billing Determinants'!$E$41*$D32,IF($E32="kW",VLOOKUP(T$4,'4. Billing Determinants'!$B$19:$P$41,5,0)/'4. Billing Determinants'!$F$41*$D32,IF($E32="Non-RPP kWh",VLOOKUP(T$4,'4. Billing Determinants'!$B$19:$P$41,6,0)/'4. Billing Determinants'!$G$41*$D32,IF($E32="Distribution Rev.",VLOOKUP(T$4,'4. Billing Determinants'!$B$19:$P$41,8,0)/'4. Billing Determinants'!$I$41*$D32, VLOOKUP(T$4,'4. Billing Determinants'!$B$19:$P$41,3,0)/'4. Billing Determinants'!$D$41*$D32))))),0)</f>
        <v>0</v>
      </c>
      <c r="U32" s="70">
        <f>IFERROR(IF(U$4="",0,IF($E32="kWh",VLOOKUP(U$4,'4. Billing Determinants'!$B$19:$P$41,4,0)/'4. Billing Determinants'!$E$41*$D32,IF($E32="kW",VLOOKUP(U$4,'4. Billing Determinants'!$B$19:$P$41,5,0)/'4. Billing Determinants'!$F$41*$D32,IF($E32="Non-RPP kWh",VLOOKUP(U$4,'4. Billing Determinants'!$B$19:$P$41,6,0)/'4. Billing Determinants'!$G$41*$D32,IF($E32="Distribution Rev.",VLOOKUP(U$4,'4. Billing Determinants'!$B$19:$P$41,8,0)/'4. Billing Determinants'!$I$41*$D32, VLOOKUP(U$4,'4. Billing Determinants'!$B$19:$P$41,3,0)/'4. Billing Determinants'!$D$41*$D32))))),0)</f>
        <v>0</v>
      </c>
      <c r="V32" s="70">
        <f>IFERROR(IF(V$4="",0,IF($E32="kWh",VLOOKUP(V$4,'4. Billing Determinants'!$B$19:$P$41,4,0)/'4. Billing Determinants'!$E$41*$D32,IF($E32="kW",VLOOKUP(V$4,'4. Billing Determinants'!$B$19:$P$41,5,0)/'4. Billing Determinants'!$F$41*$D32,IF($E32="Non-RPP kWh",VLOOKUP(V$4,'4. Billing Determinants'!$B$19:$P$41,6,0)/'4. Billing Determinants'!$G$41*$D32,IF($E32="Distribution Rev.",VLOOKUP(V$4,'4. Billing Determinants'!$B$19:$P$41,8,0)/'4. Billing Determinants'!$I$41*$D32, VLOOKUP(V$4,'4. Billing Determinants'!$B$19:$P$41,3,0)/'4. Billing Determinants'!$D$41*$D32))))),0)</f>
        <v>0</v>
      </c>
      <c r="W32" s="70">
        <f>IFERROR(IF(W$4="",0,IF($E32="kWh",VLOOKUP(W$4,'4. Billing Determinants'!$B$19:$P$41,4,0)/'4. Billing Determinants'!$E$41*$D32,IF($E32="kW",VLOOKUP(W$4,'4. Billing Determinants'!$B$19:$P$41,5,0)/'4. Billing Determinants'!$F$41*$D32,IF($E32="Non-RPP kWh",VLOOKUP(W$4,'4. Billing Determinants'!$B$19:$P$41,6,0)/'4. Billing Determinants'!$G$41*$D32,IF($E32="Distribution Rev.",VLOOKUP(W$4,'4. Billing Determinants'!$B$19:$P$41,8,0)/'4. Billing Determinants'!$I$41*$D32, VLOOKUP(W$4,'4. Billing Determinants'!$B$19:$P$41,3,0)/'4. Billing Determinants'!$D$41*$D32))))),0)</f>
        <v>0</v>
      </c>
      <c r="X32" s="70">
        <f>IFERROR(IF(X$4="",0,IF($E32="kWh",VLOOKUP(X$4,'4. Billing Determinants'!$B$19:$P$41,4,0)/'4. Billing Determinants'!$E$41*$D32,IF($E32="kW",VLOOKUP(X$4,'4. Billing Determinants'!$B$19:$P$41,5,0)/'4. Billing Determinants'!$F$41*$D32,IF($E32="Non-RPP kWh",VLOOKUP(X$4,'4. Billing Determinants'!$B$19:$P$41,6,0)/'4. Billing Determinants'!$G$41*$D32,IF($E32="Distribution Rev.",VLOOKUP(X$4,'4. Billing Determinants'!$B$19:$P$41,8,0)/'4. Billing Determinants'!$I$41*$D32, VLOOKUP(X$4,'4. Billing Determinants'!$B$19:$P$41,3,0)/'4. Billing Determinants'!$D$41*$D32))))),0)</f>
        <v>0</v>
      </c>
      <c r="Y32" s="70">
        <f>IFERROR(IF(Y$4="",0,IF($E32="kWh",VLOOKUP(Y$4,'4. Billing Determinants'!$B$19:$P$41,4,0)/'4. Billing Determinants'!$E$41*$D32,IF($E32="kW",VLOOKUP(Y$4,'4. Billing Determinants'!$B$19:$P$41,5,0)/'4. Billing Determinants'!$F$41*$D32,IF($E32="Non-RPP kWh",VLOOKUP(Y$4,'4. Billing Determinants'!$B$19:$P$41,6,0)/'4. Billing Determinants'!$G$41*$D32,IF($E32="Distribution Rev.",VLOOKUP(Y$4,'4. Billing Determinants'!$B$19:$P$41,8,0)/'4. Billing Determinants'!$I$41*$D32, VLOOKUP(Y$4,'4. Billing Determinants'!$B$19:$P$41,3,0)/'4. Billing Determinants'!$D$41*$D32))))),0)</f>
        <v>0</v>
      </c>
    </row>
    <row r="33" spans="1:25" x14ac:dyDescent="0.2">
      <c r="B33" s="68" t="s">
        <v>43</v>
      </c>
      <c r="C33" s="69">
        <v>1567</v>
      </c>
      <c r="D33" s="70">
        <f>'2. 2014 Continuity Schedule'!BO56</f>
        <v>0</v>
      </c>
      <c r="E33" s="130"/>
      <c r="F33" s="70">
        <f>IFERROR(IF(F$4="",0,IF($E33="kWh",VLOOKUP(F$4,'4. Billing Determinants'!$B$19:$P$41,4,0)/'4. Billing Determinants'!$E$41*$D33,IF($E33="kW",VLOOKUP(F$4,'4. Billing Determinants'!$B$19:$P$41,5,0)/'4. Billing Determinants'!$F$41*$D33,IF($E33="Non-RPP kWh",VLOOKUP(F$4,'4. Billing Determinants'!$B$19:$P$41,6,0)/'4. Billing Determinants'!$G$41*$D33,IF($E33="Distribution Rev.",VLOOKUP(F$4,'4. Billing Determinants'!$B$19:$P$41,8,0)/'4. Billing Determinants'!$I$41*$D33, VLOOKUP(F$4,'4. Billing Determinants'!$B$19:$P$41,3,0)/'4. Billing Determinants'!$D$41*$D33))))),0)</f>
        <v>0</v>
      </c>
      <c r="G33" s="70">
        <f>IFERROR(IF(G$4="",0,IF($E33="kWh",VLOOKUP(G$4,'4. Billing Determinants'!$B$19:$P$41,4,0)/'4. Billing Determinants'!$E$41*$D33,IF($E33="kW",VLOOKUP(G$4,'4. Billing Determinants'!$B$19:$P$41,5,0)/'4. Billing Determinants'!$F$41*$D33,IF($E33="Non-RPP kWh",VLOOKUP(G$4,'4. Billing Determinants'!$B$19:$P$41,6,0)/'4. Billing Determinants'!$G$41*$D33,IF($E33="Distribution Rev.",VLOOKUP(G$4,'4. Billing Determinants'!$B$19:$P$41,8,0)/'4. Billing Determinants'!$I$41*$D33, VLOOKUP(G$4,'4. Billing Determinants'!$B$19:$P$41,3,0)/'4. Billing Determinants'!$D$41*$D33))))),0)</f>
        <v>0</v>
      </c>
      <c r="H33" s="70">
        <f>IFERROR(IF(H$4="",0,IF($E33="kWh",VLOOKUP(H$4,'4. Billing Determinants'!$B$19:$P$41,4,0)/'4. Billing Determinants'!$E$41*$D33,IF($E33="kW",VLOOKUP(H$4,'4. Billing Determinants'!$B$19:$P$41,5,0)/'4. Billing Determinants'!$F$41*$D33,IF($E33="Non-RPP kWh",VLOOKUP(H$4,'4. Billing Determinants'!$B$19:$P$41,6,0)/'4. Billing Determinants'!$G$41*$D33,IF($E33="Distribution Rev.",VLOOKUP(H$4,'4. Billing Determinants'!$B$19:$P$41,8,0)/'4. Billing Determinants'!$I$41*$D33, VLOOKUP(H$4,'4. Billing Determinants'!$B$19:$P$41,3,0)/'4. Billing Determinants'!$D$41*$D33))))),0)</f>
        <v>0</v>
      </c>
      <c r="I33" s="70">
        <f>IFERROR(IF(I$4="",0,IF($E33="kWh",VLOOKUP(I$4,'4. Billing Determinants'!$B$19:$P$41,4,0)/'4. Billing Determinants'!$E$41*$D33,IF($E33="kW",VLOOKUP(I$4,'4. Billing Determinants'!$B$19:$P$41,5,0)/'4. Billing Determinants'!$F$41*$D33,IF($E33="Non-RPP kWh",VLOOKUP(I$4,'4. Billing Determinants'!$B$19:$P$41,6,0)/'4. Billing Determinants'!$G$41*$D33,IF($E33="Distribution Rev.",VLOOKUP(I$4,'4. Billing Determinants'!$B$19:$P$41,8,0)/'4. Billing Determinants'!$I$41*$D33, VLOOKUP(I$4,'4. Billing Determinants'!$B$19:$P$41,3,0)/'4. Billing Determinants'!$D$41*$D33))))),0)</f>
        <v>0</v>
      </c>
      <c r="J33" s="70">
        <f>IFERROR(IF(J$4="",0,IF($E33="kWh",VLOOKUP(J$4,'4. Billing Determinants'!$B$19:$P$41,4,0)/'4. Billing Determinants'!$E$41*$D33,IF($E33="kW",VLOOKUP(J$4,'4. Billing Determinants'!$B$19:$P$41,5,0)/'4. Billing Determinants'!$F$41*$D33,IF($E33="Non-RPP kWh",VLOOKUP(J$4,'4. Billing Determinants'!$B$19:$P$41,6,0)/'4. Billing Determinants'!$G$41*$D33,IF($E33="Distribution Rev.",VLOOKUP(J$4,'4. Billing Determinants'!$B$19:$P$41,8,0)/'4. Billing Determinants'!$I$41*$D33, VLOOKUP(J$4,'4. Billing Determinants'!$B$19:$P$41,3,0)/'4. Billing Determinants'!$D$41*$D33))))),0)</f>
        <v>0</v>
      </c>
      <c r="K33" s="70">
        <f>IFERROR(IF(K$4="",0,IF($E33="kWh",VLOOKUP(K$4,'4. Billing Determinants'!$B$19:$P$41,4,0)/'4. Billing Determinants'!$E$41*$D33,IF($E33="kW",VLOOKUP(K$4,'4. Billing Determinants'!$B$19:$P$41,5,0)/'4. Billing Determinants'!$F$41*$D33,IF($E33="Non-RPP kWh",VLOOKUP(K$4,'4. Billing Determinants'!$B$19:$P$41,6,0)/'4. Billing Determinants'!$G$41*$D33,IF($E33="Distribution Rev.",VLOOKUP(K$4,'4. Billing Determinants'!$B$19:$P$41,8,0)/'4. Billing Determinants'!$I$41*$D33, VLOOKUP(K$4,'4. Billing Determinants'!$B$19:$P$41,3,0)/'4. Billing Determinants'!$D$41*$D33))))),0)</f>
        <v>0</v>
      </c>
      <c r="L33" s="70">
        <f>IFERROR(IF(L$4="",0,IF($E33="kWh",VLOOKUP(L$4,'4. Billing Determinants'!$B$19:$P$41,4,0)/'4. Billing Determinants'!$E$41*$D33,IF($E33="kW",VLOOKUP(L$4,'4. Billing Determinants'!$B$19:$P$41,5,0)/'4. Billing Determinants'!$F$41*$D33,IF($E33="Non-RPP kWh",VLOOKUP(L$4,'4. Billing Determinants'!$B$19:$P$41,6,0)/'4. Billing Determinants'!$G$41*$D33,IF($E33="Distribution Rev.",VLOOKUP(L$4,'4. Billing Determinants'!$B$19:$P$41,8,0)/'4. Billing Determinants'!$I$41*$D33, VLOOKUP(L$4,'4. Billing Determinants'!$B$19:$P$41,3,0)/'4. Billing Determinants'!$D$41*$D33))))),0)</f>
        <v>0</v>
      </c>
      <c r="M33" s="70">
        <f>IFERROR(IF(M$4="",0,IF($E33="kWh",VLOOKUP(M$4,'4. Billing Determinants'!$B$19:$P$41,4,0)/'4. Billing Determinants'!$E$41*$D33,IF($E33="kW",VLOOKUP(M$4,'4. Billing Determinants'!$B$19:$P$41,5,0)/'4. Billing Determinants'!$F$41*$D33,IF($E33="Non-RPP kWh",VLOOKUP(M$4,'4. Billing Determinants'!$B$19:$P$41,6,0)/'4. Billing Determinants'!$G$41*$D33,IF($E33="Distribution Rev.",VLOOKUP(M$4,'4. Billing Determinants'!$B$19:$P$41,8,0)/'4. Billing Determinants'!$I$41*$D33, VLOOKUP(M$4,'4. Billing Determinants'!$B$19:$P$41,3,0)/'4. Billing Determinants'!$D$41*$D33))))),0)</f>
        <v>0</v>
      </c>
      <c r="N33" s="70">
        <f>IFERROR(IF(N$4="",0,IF($E33="kWh",VLOOKUP(N$4,'4. Billing Determinants'!$B$19:$P$41,4,0)/'4. Billing Determinants'!$E$41*$D33,IF($E33="kW",VLOOKUP(N$4,'4. Billing Determinants'!$B$19:$P$41,5,0)/'4. Billing Determinants'!$F$41*$D33,IF($E33="Non-RPP kWh",VLOOKUP(N$4,'4. Billing Determinants'!$B$19:$P$41,6,0)/'4. Billing Determinants'!$G$41*$D33,IF($E33="Distribution Rev.",VLOOKUP(N$4,'4. Billing Determinants'!$B$19:$P$41,8,0)/'4. Billing Determinants'!$I$41*$D33, VLOOKUP(N$4,'4. Billing Determinants'!$B$19:$P$41,3,0)/'4. Billing Determinants'!$D$41*$D33))))),0)</f>
        <v>0</v>
      </c>
      <c r="O33" s="70">
        <f>IFERROR(IF(O$4="",0,IF($E33="kWh",VLOOKUP(O$4,'4. Billing Determinants'!$B$19:$P$41,4,0)/'4. Billing Determinants'!$E$41*$D33,IF($E33="kW",VLOOKUP(O$4,'4. Billing Determinants'!$B$19:$P$41,5,0)/'4. Billing Determinants'!$F$41*$D33,IF($E33="Non-RPP kWh",VLOOKUP(O$4,'4. Billing Determinants'!$B$19:$P$41,6,0)/'4. Billing Determinants'!$G$41*$D33,IF($E33="Distribution Rev.",VLOOKUP(O$4,'4. Billing Determinants'!$B$19:$P$41,8,0)/'4. Billing Determinants'!$I$41*$D33, VLOOKUP(O$4,'4. Billing Determinants'!$B$19:$P$41,3,0)/'4. Billing Determinants'!$D$41*$D33))))),0)</f>
        <v>0</v>
      </c>
      <c r="P33" s="70">
        <f>IFERROR(IF(P$4="",0,IF($E33="kWh",VLOOKUP(P$4,'4. Billing Determinants'!$B$19:$P$41,4,0)/'4. Billing Determinants'!$E$41*$D33,IF($E33="kW",VLOOKUP(P$4,'4. Billing Determinants'!$B$19:$P$41,5,0)/'4. Billing Determinants'!$F$41*$D33,IF($E33="Non-RPP kWh",VLOOKUP(P$4,'4. Billing Determinants'!$B$19:$P$41,6,0)/'4. Billing Determinants'!$G$41*$D33,IF($E33="Distribution Rev.",VLOOKUP(P$4,'4. Billing Determinants'!$B$19:$P$41,8,0)/'4. Billing Determinants'!$I$41*$D33, VLOOKUP(P$4,'4. Billing Determinants'!$B$19:$P$41,3,0)/'4. Billing Determinants'!$D$41*$D33))))),0)</f>
        <v>0</v>
      </c>
      <c r="Q33" s="70">
        <f>IFERROR(IF(Q$4="",0,IF($E33="kWh",VLOOKUP(Q$4,'4. Billing Determinants'!$B$19:$P$41,4,0)/'4. Billing Determinants'!$E$41*$D33,IF($E33="kW",VLOOKUP(Q$4,'4. Billing Determinants'!$B$19:$P$41,5,0)/'4. Billing Determinants'!$F$41*$D33,IF($E33="Non-RPP kWh",VLOOKUP(Q$4,'4. Billing Determinants'!$B$19:$P$41,6,0)/'4. Billing Determinants'!$G$41*$D33,IF($E33="Distribution Rev.",VLOOKUP(Q$4,'4. Billing Determinants'!$B$19:$P$41,8,0)/'4. Billing Determinants'!$I$41*$D33, VLOOKUP(Q$4,'4. Billing Determinants'!$B$19:$P$41,3,0)/'4. Billing Determinants'!$D$41*$D33))))),0)</f>
        <v>0</v>
      </c>
      <c r="R33" s="70">
        <f>IFERROR(IF(R$4="",0,IF($E33="kWh",VLOOKUP(R$4,'4. Billing Determinants'!$B$19:$P$41,4,0)/'4. Billing Determinants'!$E$41*$D33,IF($E33="kW",VLOOKUP(R$4,'4. Billing Determinants'!$B$19:$P$41,5,0)/'4. Billing Determinants'!$F$41*$D33,IF($E33="Non-RPP kWh",VLOOKUP(R$4,'4. Billing Determinants'!$B$19:$P$41,6,0)/'4. Billing Determinants'!$G$41*$D33,IF($E33="Distribution Rev.",VLOOKUP(R$4,'4. Billing Determinants'!$B$19:$P$41,8,0)/'4. Billing Determinants'!$I$41*$D33, VLOOKUP(R$4,'4. Billing Determinants'!$B$19:$P$41,3,0)/'4. Billing Determinants'!$D$41*$D33))))),0)</f>
        <v>0</v>
      </c>
      <c r="S33" s="70">
        <f>IFERROR(IF(S$4="",0,IF($E33="kWh",VLOOKUP(S$4,'4. Billing Determinants'!$B$19:$P$41,4,0)/'4. Billing Determinants'!$E$41*$D33,IF($E33="kW",VLOOKUP(S$4,'4. Billing Determinants'!$B$19:$P$41,5,0)/'4. Billing Determinants'!$F$41*$D33,IF($E33="Non-RPP kWh",VLOOKUP(S$4,'4. Billing Determinants'!$B$19:$P$41,6,0)/'4. Billing Determinants'!$G$41*$D33,IF($E33="Distribution Rev.",VLOOKUP(S$4,'4. Billing Determinants'!$B$19:$P$41,8,0)/'4. Billing Determinants'!$I$41*$D33, VLOOKUP(S$4,'4. Billing Determinants'!$B$19:$P$41,3,0)/'4. Billing Determinants'!$D$41*$D33))))),0)</f>
        <v>0</v>
      </c>
      <c r="T33" s="70">
        <f>IFERROR(IF(T$4="",0,IF($E33="kWh",VLOOKUP(T$4,'4. Billing Determinants'!$B$19:$P$41,4,0)/'4. Billing Determinants'!$E$41*$D33,IF($E33="kW",VLOOKUP(T$4,'4. Billing Determinants'!$B$19:$P$41,5,0)/'4. Billing Determinants'!$F$41*$D33,IF($E33="Non-RPP kWh",VLOOKUP(T$4,'4. Billing Determinants'!$B$19:$P$41,6,0)/'4. Billing Determinants'!$G$41*$D33,IF($E33="Distribution Rev.",VLOOKUP(T$4,'4. Billing Determinants'!$B$19:$P$41,8,0)/'4. Billing Determinants'!$I$41*$D33, VLOOKUP(T$4,'4. Billing Determinants'!$B$19:$P$41,3,0)/'4. Billing Determinants'!$D$41*$D33))))),0)</f>
        <v>0</v>
      </c>
      <c r="U33" s="70">
        <f>IFERROR(IF(U$4="",0,IF($E33="kWh",VLOOKUP(U$4,'4. Billing Determinants'!$B$19:$P$41,4,0)/'4. Billing Determinants'!$E$41*$D33,IF($E33="kW",VLOOKUP(U$4,'4. Billing Determinants'!$B$19:$P$41,5,0)/'4. Billing Determinants'!$F$41*$D33,IF($E33="Non-RPP kWh",VLOOKUP(U$4,'4. Billing Determinants'!$B$19:$P$41,6,0)/'4. Billing Determinants'!$G$41*$D33,IF($E33="Distribution Rev.",VLOOKUP(U$4,'4. Billing Determinants'!$B$19:$P$41,8,0)/'4. Billing Determinants'!$I$41*$D33, VLOOKUP(U$4,'4. Billing Determinants'!$B$19:$P$41,3,0)/'4. Billing Determinants'!$D$41*$D33))))),0)</f>
        <v>0</v>
      </c>
      <c r="V33" s="70">
        <f>IFERROR(IF(V$4="",0,IF($E33="kWh",VLOOKUP(V$4,'4. Billing Determinants'!$B$19:$P$41,4,0)/'4. Billing Determinants'!$E$41*$D33,IF($E33="kW",VLOOKUP(V$4,'4. Billing Determinants'!$B$19:$P$41,5,0)/'4. Billing Determinants'!$F$41*$D33,IF($E33="Non-RPP kWh",VLOOKUP(V$4,'4. Billing Determinants'!$B$19:$P$41,6,0)/'4. Billing Determinants'!$G$41*$D33,IF($E33="Distribution Rev.",VLOOKUP(V$4,'4. Billing Determinants'!$B$19:$P$41,8,0)/'4. Billing Determinants'!$I$41*$D33, VLOOKUP(V$4,'4. Billing Determinants'!$B$19:$P$41,3,0)/'4. Billing Determinants'!$D$41*$D33))))),0)</f>
        <v>0</v>
      </c>
      <c r="W33" s="70">
        <f>IFERROR(IF(W$4="",0,IF($E33="kWh",VLOOKUP(W$4,'4. Billing Determinants'!$B$19:$P$41,4,0)/'4. Billing Determinants'!$E$41*$D33,IF($E33="kW",VLOOKUP(W$4,'4. Billing Determinants'!$B$19:$P$41,5,0)/'4. Billing Determinants'!$F$41*$D33,IF($E33="Non-RPP kWh",VLOOKUP(W$4,'4. Billing Determinants'!$B$19:$P$41,6,0)/'4. Billing Determinants'!$G$41*$D33,IF($E33="Distribution Rev.",VLOOKUP(W$4,'4. Billing Determinants'!$B$19:$P$41,8,0)/'4. Billing Determinants'!$I$41*$D33, VLOOKUP(W$4,'4. Billing Determinants'!$B$19:$P$41,3,0)/'4. Billing Determinants'!$D$41*$D33))))),0)</f>
        <v>0</v>
      </c>
      <c r="X33" s="70">
        <f>IFERROR(IF(X$4="",0,IF($E33="kWh",VLOOKUP(X$4,'4. Billing Determinants'!$B$19:$P$41,4,0)/'4. Billing Determinants'!$E$41*$D33,IF($E33="kW",VLOOKUP(X$4,'4. Billing Determinants'!$B$19:$P$41,5,0)/'4. Billing Determinants'!$F$41*$D33,IF($E33="Non-RPP kWh",VLOOKUP(X$4,'4. Billing Determinants'!$B$19:$P$41,6,0)/'4. Billing Determinants'!$G$41*$D33,IF($E33="Distribution Rev.",VLOOKUP(X$4,'4. Billing Determinants'!$B$19:$P$41,8,0)/'4. Billing Determinants'!$I$41*$D33, VLOOKUP(X$4,'4. Billing Determinants'!$B$19:$P$41,3,0)/'4. Billing Determinants'!$D$41*$D33))))),0)</f>
        <v>0</v>
      </c>
      <c r="Y33" s="70">
        <f>IFERROR(IF(Y$4="",0,IF($E33="kWh",VLOOKUP(Y$4,'4. Billing Determinants'!$B$19:$P$41,4,0)/'4. Billing Determinants'!$E$41*$D33,IF($E33="kW",VLOOKUP(Y$4,'4. Billing Determinants'!$B$19:$P$41,5,0)/'4. Billing Determinants'!$F$41*$D33,IF($E33="Non-RPP kWh",VLOOKUP(Y$4,'4. Billing Determinants'!$B$19:$P$41,6,0)/'4. Billing Determinants'!$G$41*$D33,IF($E33="Distribution Rev.",VLOOKUP(Y$4,'4. Billing Determinants'!$B$19:$P$41,8,0)/'4. Billing Determinants'!$I$41*$D33, VLOOKUP(Y$4,'4. Billing Determinants'!$B$19:$P$41,3,0)/'4. Billing Determinants'!$D$41*$D33))))),0)</f>
        <v>0</v>
      </c>
    </row>
    <row r="34" spans="1:25" x14ac:dyDescent="0.2">
      <c r="B34" s="68" t="s">
        <v>10</v>
      </c>
      <c r="C34" s="69">
        <v>1572</v>
      </c>
      <c r="D34" s="70">
        <f>'2. 2014 Continuity Schedule'!BO57</f>
        <v>0</v>
      </c>
      <c r="E34" s="130"/>
      <c r="F34" s="70">
        <f>IFERROR(IF(F$4="",0,IF($E34="kWh",VLOOKUP(F$4,'4. Billing Determinants'!$B$19:$P$41,4,0)/'4. Billing Determinants'!$E$41*$D34,IF($E34="kW",VLOOKUP(F$4,'4. Billing Determinants'!$B$19:$P$41,5,0)/'4. Billing Determinants'!$F$41*$D34,IF($E34="Non-RPP kWh",VLOOKUP(F$4,'4. Billing Determinants'!$B$19:$P$41,6,0)/'4. Billing Determinants'!$G$41*$D34,IF($E34="Distribution Rev.",VLOOKUP(F$4,'4. Billing Determinants'!$B$19:$P$41,8,0)/'4. Billing Determinants'!$I$41*$D34, VLOOKUP(F$4,'4. Billing Determinants'!$B$19:$P$41,3,0)/'4. Billing Determinants'!$D$41*$D34))))),0)</f>
        <v>0</v>
      </c>
      <c r="G34" s="70">
        <f>IFERROR(IF(G$4="",0,IF($E34="kWh",VLOOKUP(G$4,'4. Billing Determinants'!$B$19:$P$41,4,0)/'4. Billing Determinants'!$E$41*$D34,IF($E34="kW",VLOOKUP(G$4,'4. Billing Determinants'!$B$19:$P$41,5,0)/'4. Billing Determinants'!$F$41*$D34,IF($E34="Non-RPP kWh",VLOOKUP(G$4,'4. Billing Determinants'!$B$19:$P$41,6,0)/'4. Billing Determinants'!$G$41*$D34,IF($E34="Distribution Rev.",VLOOKUP(G$4,'4. Billing Determinants'!$B$19:$P$41,8,0)/'4. Billing Determinants'!$I$41*$D34, VLOOKUP(G$4,'4. Billing Determinants'!$B$19:$P$41,3,0)/'4. Billing Determinants'!$D$41*$D34))))),0)</f>
        <v>0</v>
      </c>
      <c r="H34" s="70">
        <f>IFERROR(IF(H$4="",0,IF($E34="kWh",VLOOKUP(H$4,'4. Billing Determinants'!$B$19:$P$41,4,0)/'4. Billing Determinants'!$E$41*$D34,IF($E34="kW",VLOOKUP(H$4,'4. Billing Determinants'!$B$19:$P$41,5,0)/'4. Billing Determinants'!$F$41*$D34,IF($E34="Non-RPP kWh",VLOOKUP(H$4,'4. Billing Determinants'!$B$19:$P$41,6,0)/'4. Billing Determinants'!$G$41*$D34,IF($E34="Distribution Rev.",VLOOKUP(H$4,'4. Billing Determinants'!$B$19:$P$41,8,0)/'4. Billing Determinants'!$I$41*$D34, VLOOKUP(H$4,'4. Billing Determinants'!$B$19:$P$41,3,0)/'4. Billing Determinants'!$D$41*$D34))))),0)</f>
        <v>0</v>
      </c>
      <c r="I34" s="70">
        <f>IFERROR(IF(I$4="",0,IF($E34="kWh",VLOOKUP(I$4,'4. Billing Determinants'!$B$19:$P$41,4,0)/'4. Billing Determinants'!$E$41*$D34,IF($E34="kW",VLOOKUP(I$4,'4. Billing Determinants'!$B$19:$P$41,5,0)/'4. Billing Determinants'!$F$41*$D34,IF($E34="Non-RPP kWh",VLOOKUP(I$4,'4. Billing Determinants'!$B$19:$P$41,6,0)/'4. Billing Determinants'!$G$41*$D34,IF($E34="Distribution Rev.",VLOOKUP(I$4,'4. Billing Determinants'!$B$19:$P$41,8,0)/'4. Billing Determinants'!$I$41*$D34, VLOOKUP(I$4,'4. Billing Determinants'!$B$19:$P$41,3,0)/'4. Billing Determinants'!$D$41*$D34))))),0)</f>
        <v>0</v>
      </c>
      <c r="J34" s="70">
        <f>IFERROR(IF(J$4="",0,IF($E34="kWh",VLOOKUP(J$4,'4. Billing Determinants'!$B$19:$P$41,4,0)/'4. Billing Determinants'!$E$41*$D34,IF($E34="kW",VLOOKUP(J$4,'4. Billing Determinants'!$B$19:$P$41,5,0)/'4. Billing Determinants'!$F$41*$D34,IF($E34="Non-RPP kWh",VLOOKUP(J$4,'4. Billing Determinants'!$B$19:$P$41,6,0)/'4. Billing Determinants'!$G$41*$D34,IF($E34="Distribution Rev.",VLOOKUP(J$4,'4. Billing Determinants'!$B$19:$P$41,8,0)/'4. Billing Determinants'!$I$41*$D34, VLOOKUP(J$4,'4. Billing Determinants'!$B$19:$P$41,3,0)/'4. Billing Determinants'!$D$41*$D34))))),0)</f>
        <v>0</v>
      </c>
      <c r="K34" s="70">
        <f>IFERROR(IF(K$4="",0,IF($E34="kWh",VLOOKUP(K$4,'4. Billing Determinants'!$B$19:$P$41,4,0)/'4. Billing Determinants'!$E$41*$D34,IF($E34="kW",VLOOKUP(K$4,'4. Billing Determinants'!$B$19:$P$41,5,0)/'4. Billing Determinants'!$F$41*$D34,IF($E34="Non-RPP kWh",VLOOKUP(K$4,'4. Billing Determinants'!$B$19:$P$41,6,0)/'4. Billing Determinants'!$G$41*$D34,IF($E34="Distribution Rev.",VLOOKUP(K$4,'4. Billing Determinants'!$B$19:$P$41,8,0)/'4. Billing Determinants'!$I$41*$D34, VLOOKUP(K$4,'4. Billing Determinants'!$B$19:$P$41,3,0)/'4. Billing Determinants'!$D$41*$D34))))),0)</f>
        <v>0</v>
      </c>
      <c r="L34" s="70">
        <f>IFERROR(IF(L$4="",0,IF($E34="kWh",VLOOKUP(L$4,'4. Billing Determinants'!$B$19:$P$41,4,0)/'4. Billing Determinants'!$E$41*$D34,IF($E34="kW",VLOOKUP(L$4,'4. Billing Determinants'!$B$19:$P$41,5,0)/'4. Billing Determinants'!$F$41*$D34,IF($E34="Non-RPP kWh",VLOOKUP(L$4,'4. Billing Determinants'!$B$19:$P$41,6,0)/'4. Billing Determinants'!$G$41*$D34,IF($E34="Distribution Rev.",VLOOKUP(L$4,'4. Billing Determinants'!$B$19:$P$41,8,0)/'4. Billing Determinants'!$I$41*$D34, VLOOKUP(L$4,'4. Billing Determinants'!$B$19:$P$41,3,0)/'4. Billing Determinants'!$D$41*$D34))))),0)</f>
        <v>0</v>
      </c>
      <c r="M34" s="70">
        <f>IFERROR(IF(M$4="",0,IF($E34="kWh",VLOOKUP(M$4,'4. Billing Determinants'!$B$19:$P$41,4,0)/'4. Billing Determinants'!$E$41*$D34,IF($E34="kW",VLOOKUP(M$4,'4. Billing Determinants'!$B$19:$P$41,5,0)/'4. Billing Determinants'!$F$41*$D34,IF($E34="Non-RPP kWh",VLOOKUP(M$4,'4. Billing Determinants'!$B$19:$P$41,6,0)/'4. Billing Determinants'!$G$41*$D34,IF($E34="Distribution Rev.",VLOOKUP(M$4,'4. Billing Determinants'!$B$19:$P$41,8,0)/'4. Billing Determinants'!$I$41*$D34, VLOOKUP(M$4,'4. Billing Determinants'!$B$19:$P$41,3,0)/'4. Billing Determinants'!$D$41*$D34))))),0)</f>
        <v>0</v>
      </c>
      <c r="N34" s="70">
        <f>IFERROR(IF(N$4="",0,IF($E34="kWh",VLOOKUP(N$4,'4. Billing Determinants'!$B$19:$P$41,4,0)/'4. Billing Determinants'!$E$41*$D34,IF($E34="kW",VLOOKUP(N$4,'4. Billing Determinants'!$B$19:$P$41,5,0)/'4. Billing Determinants'!$F$41*$D34,IF($E34="Non-RPP kWh",VLOOKUP(N$4,'4. Billing Determinants'!$B$19:$P$41,6,0)/'4. Billing Determinants'!$G$41*$D34,IF($E34="Distribution Rev.",VLOOKUP(N$4,'4. Billing Determinants'!$B$19:$P$41,8,0)/'4. Billing Determinants'!$I$41*$D34, VLOOKUP(N$4,'4. Billing Determinants'!$B$19:$P$41,3,0)/'4. Billing Determinants'!$D$41*$D34))))),0)</f>
        <v>0</v>
      </c>
      <c r="O34" s="70">
        <f>IFERROR(IF(O$4="",0,IF($E34="kWh",VLOOKUP(O$4,'4. Billing Determinants'!$B$19:$P$41,4,0)/'4. Billing Determinants'!$E$41*$D34,IF($E34="kW",VLOOKUP(O$4,'4. Billing Determinants'!$B$19:$P$41,5,0)/'4. Billing Determinants'!$F$41*$D34,IF($E34="Non-RPP kWh",VLOOKUP(O$4,'4. Billing Determinants'!$B$19:$P$41,6,0)/'4. Billing Determinants'!$G$41*$D34,IF($E34="Distribution Rev.",VLOOKUP(O$4,'4. Billing Determinants'!$B$19:$P$41,8,0)/'4. Billing Determinants'!$I$41*$D34, VLOOKUP(O$4,'4. Billing Determinants'!$B$19:$P$41,3,0)/'4. Billing Determinants'!$D$41*$D34))))),0)</f>
        <v>0</v>
      </c>
      <c r="P34" s="70">
        <f>IFERROR(IF(P$4="",0,IF($E34="kWh",VLOOKUP(P$4,'4. Billing Determinants'!$B$19:$P$41,4,0)/'4. Billing Determinants'!$E$41*$D34,IF($E34="kW",VLOOKUP(P$4,'4. Billing Determinants'!$B$19:$P$41,5,0)/'4. Billing Determinants'!$F$41*$D34,IF($E34="Non-RPP kWh",VLOOKUP(P$4,'4. Billing Determinants'!$B$19:$P$41,6,0)/'4. Billing Determinants'!$G$41*$D34,IF($E34="Distribution Rev.",VLOOKUP(P$4,'4. Billing Determinants'!$B$19:$P$41,8,0)/'4. Billing Determinants'!$I$41*$D34, VLOOKUP(P$4,'4. Billing Determinants'!$B$19:$P$41,3,0)/'4. Billing Determinants'!$D$41*$D34))))),0)</f>
        <v>0</v>
      </c>
      <c r="Q34" s="70">
        <f>IFERROR(IF(Q$4="",0,IF($E34="kWh",VLOOKUP(Q$4,'4. Billing Determinants'!$B$19:$P$41,4,0)/'4. Billing Determinants'!$E$41*$D34,IF($E34="kW",VLOOKUP(Q$4,'4. Billing Determinants'!$B$19:$P$41,5,0)/'4. Billing Determinants'!$F$41*$D34,IF($E34="Non-RPP kWh",VLOOKUP(Q$4,'4. Billing Determinants'!$B$19:$P$41,6,0)/'4. Billing Determinants'!$G$41*$D34,IF($E34="Distribution Rev.",VLOOKUP(Q$4,'4. Billing Determinants'!$B$19:$P$41,8,0)/'4. Billing Determinants'!$I$41*$D34, VLOOKUP(Q$4,'4. Billing Determinants'!$B$19:$P$41,3,0)/'4. Billing Determinants'!$D$41*$D34))))),0)</f>
        <v>0</v>
      </c>
      <c r="R34" s="70">
        <f>IFERROR(IF(R$4="",0,IF($E34="kWh",VLOOKUP(R$4,'4. Billing Determinants'!$B$19:$P$41,4,0)/'4. Billing Determinants'!$E$41*$D34,IF($E34="kW",VLOOKUP(R$4,'4. Billing Determinants'!$B$19:$P$41,5,0)/'4. Billing Determinants'!$F$41*$D34,IF($E34="Non-RPP kWh",VLOOKUP(R$4,'4. Billing Determinants'!$B$19:$P$41,6,0)/'4. Billing Determinants'!$G$41*$D34,IF($E34="Distribution Rev.",VLOOKUP(R$4,'4. Billing Determinants'!$B$19:$P$41,8,0)/'4. Billing Determinants'!$I$41*$D34, VLOOKUP(R$4,'4. Billing Determinants'!$B$19:$P$41,3,0)/'4. Billing Determinants'!$D$41*$D34))))),0)</f>
        <v>0</v>
      </c>
      <c r="S34" s="70">
        <f>IFERROR(IF(S$4="",0,IF($E34="kWh",VLOOKUP(S$4,'4. Billing Determinants'!$B$19:$P$41,4,0)/'4. Billing Determinants'!$E$41*$D34,IF($E34="kW",VLOOKUP(S$4,'4. Billing Determinants'!$B$19:$P$41,5,0)/'4. Billing Determinants'!$F$41*$D34,IF($E34="Non-RPP kWh",VLOOKUP(S$4,'4. Billing Determinants'!$B$19:$P$41,6,0)/'4. Billing Determinants'!$G$41*$D34,IF($E34="Distribution Rev.",VLOOKUP(S$4,'4. Billing Determinants'!$B$19:$P$41,8,0)/'4. Billing Determinants'!$I$41*$D34, VLOOKUP(S$4,'4. Billing Determinants'!$B$19:$P$41,3,0)/'4. Billing Determinants'!$D$41*$D34))))),0)</f>
        <v>0</v>
      </c>
      <c r="T34" s="70">
        <f>IFERROR(IF(T$4="",0,IF($E34="kWh",VLOOKUP(T$4,'4. Billing Determinants'!$B$19:$P$41,4,0)/'4. Billing Determinants'!$E$41*$D34,IF($E34="kW",VLOOKUP(T$4,'4. Billing Determinants'!$B$19:$P$41,5,0)/'4. Billing Determinants'!$F$41*$D34,IF($E34="Non-RPP kWh",VLOOKUP(T$4,'4. Billing Determinants'!$B$19:$P$41,6,0)/'4. Billing Determinants'!$G$41*$D34,IF($E34="Distribution Rev.",VLOOKUP(T$4,'4. Billing Determinants'!$B$19:$P$41,8,0)/'4. Billing Determinants'!$I$41*$D34, VLOOKUP(T$4,'4. Billing Determinants'!$B$19:$P$41,3,0)/'4. Billing Determinants'!$D$41*$D34))))),0)</f>
        <v>0</v>
      </c>
      <c r="U34" s="70">
        <f>IFERROR(IF(U$4="",0,IF($E34="kWh",VLOOKUP(U$4,'4. Billing Determinants'!$B$19:$P$41,4,0)/'4. Billing Determinants'!$E$41*$D34,IF($E34="kW",VLOOKUP(U$4,'4. Billing Determinants'!$B$19:$P$41,5,0)/'4. Billing Determinants'!$F$41*$D34,IF($E34="Non-RPP kWh",VLOOKUP(U$4,'4. Billing Determinants'!$B$19:$P$41,6,0)/'4. Billing Determinants'!$G$41*$D34,IF($E34="Distribution Rev.",VLOOKUP(U$4,'4. Billing Determinants'!$B$19:$P$41,8,0)/'4. Billing Determinants'!$I$41*$D34, VLOOKUP(U$4,'4. Billing Determinants'!$B$19:$P$41,3,0)/'4. Billing Determinants'!$D$41*$D34))))),0)</f>
        <v>0</v>
      </c>
      <c r="V34" s="70">
        <f>IFERROR(IF(V$4="",0,IF($E34="kWh",VLOOKUP(V$4,'4. Billing Determinants'!$B$19:$P$41,4,0)/'4. Billing Determinants'!$E$41*$D34,IF($E34="kW",VLOOKUP(V$4,'4. Billing Determinants'!$B$19:$P$41,5,0)/'4. Billing Determinants'!$F$41*$D34,IF($E34="Non-RPP kWh",VLOOKUP(V$4,'4. Billing Determinants'!$B$19:$P$41,6,0)/'4. Billing Determinants'!$G$41*$D34,IF($E34="Distribution Rev.",VLOOKUP(V$4,'4. Billing Determinants'!$B$19:$P$41,8,0)/'4. Billing Determinants'!$I$41*$D34, VLOOKUP(V$4,'4. Billing Determinants'!$B$19:$P$41,3,0)/'4. Billing Determinants'!$D$41*$D34))))),0)</f>
        <v>0</v>
      </c>
      <c r="W34" s="70">
        <f>IFERROR(IF(W$4="",0,IF($E34="kWh",VLOOKUP(W$4,'4. Billing Determinants'!$B$19:$P$41,4,0)/'4. Billing Determinants'!$E$41*$D34,IF($E34="kW",VLOOKUP(W$4,'4. Billing Determinants'!$B$19:$P$41,5,0)/'4. Billing Determinants'!$F$41*$D34,IF($E34="Non-RPP kWh",VLOOKUP(W$4,'4. Billing Determinants'!$B$19:$P$41,6,0)/'4. Billing Determinants'!$G$41*$D34,IF($E34="Distribution Rev.",VLOOKUP(W$4,'4. Billing Determinants'!$B$19:$P$41,8,0)/'4. Billing Determinants'!$I$41*$D34, VLOOKUP(W$4,'4. Billing Determinants'!$B$19:$P$41,3,0)/'4. Billing Determinants'!$D$41*$D34))))),0)</f>
        <v>0</v>
      </c>
      <c r="X34" s="70">
        <f>IFERROR(IF(X$4="",0,IF($E34="kWh",VLOOKUP(X$4,'4. Billing Determinants'!$B$19:$P$41,4,0)/'4. Billing Determinants'!$E$41*$D34,IF($E34="kW",VLOOKUP(X$4,'4. Billing Determinants'!$B$19:$P$41,5,0)/'4. Billing Determinants'!$F$41*$D34,IF($E34="Non-RPP kWh",VLOOKUP(X$4,'4. Billing Determinants'!$B$19:$P$41,6,0)/'4. Billing Determinants'!$G$41*$D34,IF($E34="Distribution Rev.",VLOOKUP(X$4,'4. Billing Determinants'!$B$19:$P$41,8,0)/'4. Billing Determinants'!$I$41*$D34, VLOOKUP(X$4,'4. Billing Determinants'!$B$19:$P$41,3,0)/'4. Billing Determinants'!$D$41*$D34))))),0)</f>
        <v>0</v>
      </c>
      <c r="Y34" s="70">
        <f>IFERROR(IF(Y$4="",0,IF($E34="kWh",VLOOKUP(Y$4,'4. Billing Determinants'!$B$19:$P$41,4,0)/'4. Billing Determinants'!$E$41*$D34,IF($E34="kW",VLOOKUP(Y$4,'4. Billing Determinants'!$B$19:$P$41,5,0)/'4. Billing Determinants'!$F$41*$D34,IF($E34="Non-RPP kWh",VLOOKUP(Y$4,'4. Billing Determinants'!$B$19:$P$41,6,0)/'4. Billing Determinants'!$G$41*$D34,IF($E34="Distribution Rev.",VLOOKUP(Y$4,'4. Billing Determinants'!$B$19:$P$41,8,0)/'4. Billing Determinants'!$I$41*$D34, VLOOKUP(Y$4,'4. Billing Determinants'!$B$19:$P$41,3,0)/'4. Billing Determinants'!$D$41*$D34))))),0)</f>
        <v>0</v>
      </c>
    </row>
    <row r="35" spans="1:25" x14ac:dyDescent="0.2">
      <c r="B35" s="68" t="s">
        <v>6</v>
      </c>
      <c r="C35" s="69">
        <v>1574</v>
      </c>
      <c r="D35" s="70">
        <f>'2. 2014 Continuity Schedule'!BO58</f>
        <v>0</v>
      </c>
      <c r="E35" s="130"/>
      <c r="F35" s="70">
        <f>IFERROR(IF(F$4="",0,IF($E35="kWh",VLOOKUP(F$4,'4. Billing Determinants'!$B$19:$P$41,4,0)/'4. Billing Determinants'!$E$41*$D35,IF($E35="kW",VLOOKUP(F$4,'4. Billing Determinants'!$B$19:$P$41,5,0)/'4. Billing Determinants'!$F$41*$D35,IF($E35="Non-RPP kWh",VLOOKUP(F$4,'4. Billing Determinants'!$B$19:$P$41,6,0)/'4. Billing Determinants'!$G$41*$D35,IF($E35="Distribution Rev.",VLOOKUP(F$4,'4. Billing Determinants'!$B$19:$P$41,8,0)/'4. Billing Determinants'!$I$41*$D35, VLOOKUP(F$4,'4. Billing Determinants'!$B$19:$P$41,3,0)/'4. Billing Determinants'!$D$41*$D35))))),0)</f>
        <v>0</v>
      </c>
      <c r="G35" s="70">
        <f>IFERROR(IF(G$4="",0,IF($E35="kWh",VLOOKUP(G$4,'4. Billing Determinants'!$B$19:$P$41,4,0)/'4. Billing Determinants'!$E$41*$D35,IF($E35="kW",VLOOKUP(G$4,'4. Billing Determinants'!$B$19:$P$41,5,0)/'4. Billing Determinants'!$F$41*$D35,IF($E35="Non-RPP kWh",VLOOKUP(G$4,'4. Billing Determinants'!$B$19:$P$41,6,0)/'4. Billing Determinants'!$G$41*$D35,IF($E35="Distribution Rev.",VLOOKUP(G$4,'4. Billing Determinants'!$B$19:$P$41,8,0)/'4. Billing Determinants'!$I$41*$D35, VLOOKUP(G$4,'4. Billing Determinants'!$B$19:$P$41,3,0)/'4. Billing Determinants'!$D$41*$D35))))),0)</f>
        <v>0</v>
      </c>
      <c r="H35" s="70">
        <f>IFERROR(IF(H$4="",0,IF($E35="kWh",VLOOKUP(H$4,'4. Billing Determinants'!$B$19:$P$41,4,0)/'4. Billing Determinants'!$E$41*$D35,IF($E35="kW",VLOOKUP(H$4,'4. Billing Determinants'!$B$19:$P$41,5,0)/'4. Billing Determinants'!$F$41*$D35,IF($E35="Non-RPP kWh",VLOOKUP(H$4,'4. Billing Determinants'!$B$19:$P$41,6,0)/'4. Billing Determinants'!$G$41*$D35,IF($E35="Distribution Rev.",VLOOKUP(H$4,'4. Billing Determinants'!$B$19:$P$41,8,0)/'4. Billing Determinants'!$I$41*$D35, VLOOKUP(H$4,'4. Billing Determinants'!$B$19:$P$41,3,0)/'4. Billing Determinants'!$D$41*$D35))))),0)</f>
        <v>0</v>
      </c>
      <c r="I35" s="70">
        <f>IFERROR(IF(I$4="",0,IF($E35="kWh",VLOOKUP(I$4,'4. Billing Determinants'!$B$19:$P$41,4,0)/'4. Billing Determinants'!$E$41*$D35,IF($E35="kW",VLOOKUP(I$4,'4. Billing Determinants'!$B$19:$P$41,5,0)/'4. Billing Determinants'!$F$41*$D35,IF($E35="Non-RPP kWh",VLOOKUP(I$4,'4. Billing Determinants'!$B$19:$P$41,6,0)/'4. Billing Determinants'!$G$41*$D35,IF($E35="Distribution Rev.",VLOOKUP(I$4,'4. Billing Determinants'!$B$19:$P$41,8,0)/'4. Billing Determinants'!$I$41*$D35, VLOOKUP(I$4,'4. Billing Determinants'!$B$19:$P$41,3,0)/'4. Billing Determinants'!$D$41*$D35))))),0)</f>
        <v>0</v>
      </c>
      <c r="J35" s="70">
        <f>IFERROR(IF(J$4="",0,IF($E35="kWh",VLOOKUP(J$4,'4. Billing Determinants'!$B$19:$P$41,4,0)/'4. Billing Determinants'!$E$41*$D35,IF($E35="kW",VLOOKUP(J$4,'4. Billing Determinants'!$B$19:$P$41,5,0)/'4. Billing Determinants'!$F$41*$D35,IF($E35="Non-RPP kWh",VLOOKUP(J$4,'4. Billing Determinants'!$B$19:$P$41,6,0)/'4. Billing Determinants'!$G$41*$D35,IF($E35="Distribution Rev.",VLOOKUP(J$4,'4. Billing Determinants'!$B$19:$P$41,8,0)/'4. Billing Determinants'!$I$41*$D35, VLOOKUP(J$4,'4. Billing Determinants'!$B$19:$P$41,3,0)/'4. Billing Determinants'!$D$41*$D35))))),0)</f>
        <v>0</v>
      </c>
      <c r="K35" s="70">
        <f>IFERROR(IF(K$4="",0,IF($E35="kWh",VLOOKUP(K$4,'4. Billing Determinants'!$B$19:$P$41,4,0)/'4. Billing Determinants'!$E$41*$D35,IF($E35="kW",VLOOKUP(K$4,'4. Billing Determinants'!$B$19:$P$41,5,0)/'4. Billing Determinants'!$F$41*$D35,IF($E35="Non-RPP kWh",VLOOKUP(K$4,'4. Billing Determinants'!$B$19:$P$41,6,0)/'4. Billing Determinants'!$G$41*$D35,IF($E35="Distribution Rev.",VLOOKUP(K$4,'4. Billing Determinants'!$B$19:$P$41,8,0)/'4. Billing Determinants'!$I$41*$D35, VLOOKUP(K$4,'4. Billing Determinants'!$B$19:$P$41,3,0)/'4. Billing Determinants'!$D$41*$D35))))),0)</f>
        <v>0</v>
      </c>
      <c r="L35" s="70">
        <f>IFERROR(IF(L$4="",0,IF($E35="kWh",VLOOKUP(L$4,'4. Billing Determinants'!$B$19:$P$41,4,0)/'4. Billing Determinants'!$E$41*$D35,IF($E35="kW",VLOOKUP(L$4,'4. Billing Determinants'!$B$19:$P$41,5,0)/'4. Billing Determinants'!$F$41*$D35,IF($E35="Non-RPP kWh",VLOOKUP(L$4,'4. Billing Determinants'!$B$19:$P$41,6,0)/'4. Billing Determinants'!$G$41*$D35,IF($E35="Distribution Rev.",VLOOKUP(L$4,'4. Billing Determinants'!$B$19:$P$41,8,0)/'4. Billing Determinants'!$I$41*$D35, VLOOKUP(L$4,'4. Billing Determinants'!$B$19:$P$41,3,0)/'4. Billing Determinants'!$D$41*$D35))))),0)</f>
        <v>0</v>
      </c>
      <c r="M35" s="70">
        <f>IFERROR(IF(M$4="",0,IF($E35="kWh",VLOOKUP(M$4,'4. Billing Determinants'!$B$19:$P$41,4,0)/'4. Billing Determinants'!$E$41*$D35,IF($E35="kW",VLOOKUP(M$4,'4. Billing Determinants'!$B$19:$P$41,5,0)/'4. Billing Determinants'!$F$41*$D35,IF($E35="Non-RPP kWh",VLOOKUP(M$4,'4. Billing Determinants'!$B$19:$P$41,6,0)/'4. Billing Determinants'!$G$41*$D35,IF($E35="Distribution Rev.",VLOOKUP(M$4,'4. Billing Determinants'!$B$19:$P$41,8,0)/'4. Billing Determinants'!$I$41*$D35, VLOOKUP(M$4,'4. Billing Determinants'!$B$19:$P$41,3,0)/'4. Billing Determinants'!$D$41*$D35))))),0)</f>
        <v>0</v>
      </c>
      <c r="N35" s="70">
        <f>IFERROR(IF(N$4="",0,IF($E35="kWh",VLOOKUP(N$4,'4. Billing Determinants'!$B$19:$P$41,4,0)/'4. Billing Determinants'!$E$41*$D35,IF($E35="kW",VLOOKUP(N$4,'4. Billing Determinants'!$B$19:$P$41,5,0)/'4. Billing Determinants'!$F$41*$D35,IF($E35="Non-RPP kWh",VLOOKUP(N$4,'4. Billing Determinants'!$B$19:$P$41,6,0)/'4. Billing Determinants'!$G$41*$D35,IF($E35="Distribution Rev.",VLOOKUP(N$4,'4. Billing Determinants'!$B$19:$P$41,8,0)/'4. Billing Determinants'!$I$41*$D35, VLOOKUP(N$4,'4. Billing Determinants'!$B$19:$P$41,3,0)/'4. Billing Determinants'!$D$41*$D35))))),0)</f>
        <v>0</v>
      </c>
      <c r="O35" s="70">
        <f>IFERROR(IF(O$4="",0,IF($E35="kWh",VLOOKUP(O$4,'4. Billing Determinants'!$B$19:$P$41,4,0)/'4. Billing Determinants'!$E$41*$D35,IF($E35="kW",VLOOKUP(O$4,'4. Billing Determinants'!$B$19:$P$41,5,0)/'4. Billing Determinants'!$F$41*$D35,IF($E35="Non-RPP kWh",VLOOKUP(O$4,'4. Billing Determinants'!$B$19:$P$41,6,0)/'4. Billing Determinants'!$G$41*$D35,IF($E35="Distribution Rev.",VLOOKUP(O$4,'4. Billing Determinants'!$B$19:$P$41,8,0)/'4. Billing Determinants'!$I$41*$D35, VLOOKUP(O$4,'4. Billing Determinants'!$B$19:$P$41,3,0)/'4. Billing Determinants'!$D$41*$D35))))),0)</f>
        <v>0</v>
      </c>
      <c r="P35" s="70">
        <f>IFERROR(IF(P$4="",0,IF($E35="kWh",VLOOKUP(P$4,'4. Billing Determinants'!$B$19:$P$41,4,0)/'4. Billing Determinants'!$E$41*$D35,IF($E35="kW",VLOOKUP(P$4,'4. Billing Determinants'!$B$19:$P$41,5,0)/'4. Billing Determinants'!$F$41*$D35,IF($E35="Non-RPP kWh",VLOOKUP(P$4,'4. Billing Determinants'!$B$19:$P$41,6,0)/'4. Billing Determinants'!$G$41*$D35,IF($E35="Distribution Rev.",VLOOKUP(P$4,'4. Billing Determinants'!$B$19:$P$41,8,0)/'4. Billing Determinants'!$I$41*$D35, VLOOKUP(P$4,'4. Billing Determinants'!$B$19:$P$41,3,0)/'4. Billing Determinants'!$D$41*$D35))))),0)</f>
        <v>0</v>
      </c>
      <c r="Q35" s="70">
        <f>IFERROR(IF(Q$4="",0,IF($E35="kWh",VLOOKUP(Q$4,'4. Billing Determinants'!$B$19:$P$41,4,0)/'4. Billing Determinants'!$E$41*$D35,IF($E35="kW",VLOOKUP(Q$4,'4. Billing Determinants'!$B$19:$P$41,5,0)/'4. Billing Determinants'!$F$41*$D35,IF($E35="Non-RPP kWh",VLOOKUP(Q$4,'4. Billing Determinants'!$B$19:$P$41,6,0)/'4. Billing Determinants'!$G$41*$D35,IF($E35="Distribution Rev.",VLOOKUP(Q$4,'4. Billing Determinants'!$B$19:$P$41,8,0)/'4. Billing Determinants'!$I$41*$D35, VLOOKUP(Q$4,'4. Billing Determinants'!$B$19:$P$41,3,0)/'4. Billing Determinants'!$D$41*$D35))))),0)</f>
        <v>0</v>
      </c>
      <c r="R35" s="70">
        <f>IFERROR(IF(R$4="",0,IF($E35="kWh",VLOOKUP(R$4,'4. Billing Determinants'!$B$19:$P$41,4,0)/'4. Billing Determinants'!$E$41*$D35,IF($E35="kW",VLOOKUP(R$4,'4. Billing Determinants'!$B$19:$P$41,5,0)/'4. Billing Determinants'!$F$41*$D35,IF($E35="Non-RPP kWh",VLOOKUP(R$4,'4. Billing Determinants'!$B$19:$P$41,6,0)/'4. Billing Determinants'!$G$41*$D35,IF($E35="Distribution Rev.",VLOOKUP(R$4,'4. Billing Determinants'!$B$19:$P$41,8,0)/'4. Billing Determinants'!$I$41*$D35, VLOOKUP(R$4,'4. Billing Determinants'!$B$19:$P$41,3,0)/'4. Billing Determinants'!$D$41*$D35))))),0)</f>
        <v>0</v>
      </c>
      <c r="S35" s="70">
        <f>IFERROR(IF(S$4="",0,IF($E35="kWh",VLOOKUP(S$4,'4. Billing Determinants'!$B$19:$P$41,4,0)/'4. Billing Determinants'!$E$41*$D35,IF($E35="kW",VLOOKUP(S$4,'4. Billing Determinants'!$B$19:$P$41,5,0)/'4. Billing Determinants'!$F$41*$D35,IF($E35="Non-RPP kWh",VLOOKUP(S$4,'4. Billing Determinants'!$B$19:$P$41,6,0)/'4. Billing Determinants'!$G$41*$D35,IF($E35="Distribution Rev.",VLOOKUP(S$4,'4. Billing Determinants'!$B$19:$P$41,8,0)/'4. Billing Determinants'!$I$41*$D35, VLOOKUP(S$4,'4. Billing Determinants'!$B$19:$P$41,3,0)/'4. Billing Determinants'!$D$41*$D35))))),0)</f>
        <v>0</v>
      </c>
      <c r="T35" s="70">
        <f>IFERROR(IF(T$4="",0,IF($E35="kWh",VLOOKUP(T$4,'4. Billing Determinants'!$B$19:$P$41,4,0)/'4. Billing Determinants'!$E$41*$D35,IF($E35="kW",VLOOKUP(T$4,'4. Billing Determinants'!$B$19:$P$41,5,0)/'4. Billing Determinants'!$F$41*$D35,IF($E35="Non-RPP kWh",VLOOKUP(T$4,'4. Billing Determinants'!$B$19:$P$41,6,0)/'4. Billing Determinants'!$G$41*$D35,IF($E35="Distribution Rev.",VLOOKUP(T$4,'4. Billing Determinants'!$B$19:$P$41,8,0)/'4. Billing Determinants'!$I$41*$D35, VLOOKUP(T$4,'4. Billing Determinants'!$B$19:$P$41,3,0)/'4. Billing Determinants'!$D$41*$D35))))),0)</f>
        <v>0</v>
      </c>
      <c r="U35" s="70">
        <f>IFERROR(IF(U$4="",0,IF($E35="kWh",VLOOKUP(U$4,'4. Billing Determinants'!$B$19:$P$41,4,0)/'4. Billing Determinants'!$E$41*$D35,IF($E35="kW",VLOOKUP(U$4,'4. Billing Determinants'!$B$19:$P$41,5,0)/'4. Billing Determinants'!$F$41*$D35,IF($E35="Non-RPP kWh",VLOOKUP(U$4,'4. Billing Determinants'!$B$19:$P$41,6,0)/'4. Billing Determinants'!$G$41*$D35,IF($E35="Distribution Rev.",VLOOKUP(U$4,'4. Billing Determinants'!$B$19:$P$41,8,0)/'4. Billing Determinants'!$I$41*$D35, VLOOKUP(U$4,'4. Billing Determinants'!$B$19:$P$41,3,0)/'4. Billing Determinants'!$D$41*$D35))))),0)</f>
        <v>0</v>
      </c>
      <c r="V35" s="70">
        <f>IFERROR(IF(V$4="",0,IF($E35="kWh",VLOOKUP(V$4,'4. Billing Determinants'!$B$19:$P$41,4,0)/'4. Billing Determinants'!$E$41*$D35,IF($E35="kW",VLOOKUP(V$4,'4. Billing Determinants'!$B$19:$P$41,5,0)/'4. Billing Determinants'!$F$41*$D35,IF($E35="Non-RPP kWh",VLOOKUP(V$4,'4. Billing Determinants'!$B$19:$P$41,6,0)/'4. Billing Determinants'!$G$41*$D35,IF($E35="Distribution Rev.",VLOOKUP(V$4,'4. Billing Determinants'!$B$19:$P$41,8,0)/'4. Billing Determinants'!$I$41*$D35, VLOOKUP(V$4,'4. Billing Determinants'!$B$19:$P$41,3,0)/'4. Billing Determinants'!$D$41*$D35))))),0)</f>
        <v>0</v>
      </c>
      <c r="W35" s="70">
        <f>IFERROR(IF(W$4="",0,IF($E35="kWh",VLOOKUP(W$4,'4. Billing Determinants'!$B$19:$P$41,4,0)/'4. Billing Determinants'!$E$41*$D35,IF($E35="kW",VLOOKUP(W$4,'4. Billing Determinants'!$B$19:$P$41,5,0)/'4. Billing Determinants'!$F$41*$D35,IF($E35="Non-RPP kWh",VLOOKUP(W$4,'4. Billing Determinants'!$B$19:$P$41,6,0)/'4. Billing Determinants'!$G$41*$D35,IF($E35="Distribution Rev.",VLOOKUP(W$4,'4. Billing Determinants'!$B$19:$P$41,8,0)/'4. Billing Determinants'!$I$41*$D35, VLOOKUP(W$4,'4. Billing Determinants'!$B$19:$P$41,3,0)/'4. Billing Determinants'!$D$41*$D35))))),0)</f>
        <v>0</v>
      </c>
      <c r="X35" s="70">
        <f>IFERROR(IF(X$4="",0,IF($E35="kWh",VLOOKUP(X$4,'4. Billing Determinants'!$B$19:$P$41,4,0)/'4. Billing Determinants'!$E$41*$D35,IF($E35="kW",VLOOKUP(X$4,'4. Billing Determinants'!$B$19:$P$41,5,0)/'4. Billing Determinants'!$F$41*$D35,IF($E35="Non-RPP kWh",VLOOKUP(X$4,'4. Billing Determinants'!$B$19:$P$41,6,0)/'4. Billing Determinants'!$G$41*$D35,IF($E35="Distribution Rev.",VLOOKUP(X$4,'4. Billing Determinants'!$B$19:$P$41,8,0)/'4. Billing Determinants'!$I$41*$D35, VLOOKUP(X$4,'4. Billing Determinants'!$B$19:$P$41,3,0)/'4. Billing Determinants'!$D$41*$D35))))),0)</f>
        <v>0</v>
      </c>
      <c r="Y35" s="70">
        <f>IFERROR(IF(Y$4="",0,IF($E35="kWh",VLOOKUP(Y$4,'4. Billing Determinants'!$B$19:$P$41,4,0)/'4. Billing Determinants'!$E$41*$D35,IF($E35="kW",VLOOKUP(Y$4,'4. Billing Determinants'!$B$19:$P$41,5,0)/'4. Billing Determinants'!$F$41*$D35,IF($E35="Non-RPP kWh",VLOOKUP(Y$4,'4. Billing Determinants'!$B$19:$P$41,6,0)/'4. Billing Determinants'!$G$41*$D35,IF($E35="Distribution Rev.",VLOOKUP(Y$4,'4. Billing Determinants'!$B$19:$P$41,8,0)/'4. Billing Determinants'!$I$41*$D35, VLOOKUP(Y$4,'4. Billing Determinants'!$B$19:$P$41,3,0)/'4. Billing Determinants'!$D$41*$D35))))),0)</f>
        <v>0</v>
      </c>
    </row>
    <row r="36" spans="1:25" x14ac:dyDescent="0.2">
      <c r="B36" s="68" t="s">
        <v>40</v>
      </c>
      <c r="C36" s="69">
        <v>1582</v>
      </c>
      <c r="D36" s="70">
        <f>'2. 2014 Continuity Schedule'!BO59</f>
        <v>1.3642420526593924E-12</v>
      </c>
      <c r="E36" s="130"/>
      <c r="F36" s="70">
        <f>IFERROR(IF(F$4="",0,IF($E36="kWh",VLOOKUP(F$4,'4. Billing Determinants'!$B$19:$P$41,4,0)/'4. Billing Determinants'!$E$41*$D36,IF($E36="kW",VLOOKUP(F$4,'4. Billing Determinants'!$B$19:$P$41,5,0)/'4. Billing Determinants'!$F$41*$D36,IF($E36="Non-RPP kWh",VLOOKUP(F$4,'4. Billing Determinants'!$B$19:$P$41,6,0)/'4. Billing Determinants'!$G$41*$D36,IF($E36="Distribution Rev.",VLOOKUP(F$4,'4. Billing Determinants'!$B$19:$P$41,8,0)/'4. Billing Determinants'!$I$41*$D36, VLOOKUP(F$4,'4. Billing Determinants'!$B$19:$P$41,3,0)/'4. Billing Determinants'!$D$41*$D36))))),0)</f>
        <v>1.2184465990766578E-12</v>
      </c>
      <c r="G36" s="70">
        <f>IFERROR(IF(G$4="",0,IF($E36="kWh",VLOOKUP(G$4,'4. Billing Determinants'!$B$19:$P$41,4,0)/'4. Billing Determinants'!$E$41*$D36,IF($E36="kW",VLOOKUP(G$4,'4. Billing Determinants'!$B$19:$P$41,5,0)/'4. Billing Determinants'!$F$41*$D36,IF($E36="Non-RPP kWh",VLOOKUP(G$4,'4. Billing Determinants'!$B$19:$P$41,6,0)/'4. Billing Determinants'!$G$41*$D36,IF($E36="Distribution Rev.",VLOOKUP(G$4,'4. Billing Determinants'!$B$19:$P$41,8,0)/'4. Billing Determinants'!$I$41*$D36, VLOOKUP(G$4,'4. Billing Determinants'!$B$19:$P$41,3,0)/'4. Billing Determinants'!$D$41*$D36))))),0)</f>
        <v>1.1361881564195399E-13</v>
      </c>
      <c r="H36" s="70">
        <f>IFERROR(IF(H$4="",0,IF($E36="kWh",VLOOKUP(H$4,'4. Billing Determinants'!$B$19:$P$41,4,0)/'4. Billing Determinants'!$E$41*$D36,IF($E36="kW",VLOOKUP(H$4,'4. Billing Determinants'!$B$19:$P$41,5,0)/'4. Billing Determinants'!$F$41*$D36,IF($E36="Non-RPP kWh",VLOOKUP(H$4,'4. Billing Determinants'!$B$19:$P$41,6,0)/'4. Billing Determinants'!$G$41*$D36,IF($E36="Distribution Rev.",VLOOKUP(H$4,'4. Billing Determinants'!$B$19:$P$41,8,0)/'4. Billing Determinants'!$I$41*$D36, VLOOKUP(H$4,'4. Billing Determinants'!$B$19:$P$41,3,0)/'4. Billing Determinants'!$D$41*$D36))))),0)</f>
        <v>2.2723763128390796E-14</v>
      </c>
      <c r="I36" s="70">
        <f>IFERROR(IF(I$4="",0,IF($E36="kWh",VLOOKUP(I$4,'4. Billing Determinants'!$B$19:$P$41,4,0)/'4. Billing Determinants'!$E$41*$D36,IF($E36="kW",VLOOKUP(I$4,'4. Billing Determinants'!$B$19:$P$41,5,0)/'4. Billing Determinants'!$F$41*$D36,IF($E36="Non-RPP kWh",VLOOKUP(I$4,'4. Billing Determinants'!$B$19:$P$41,6,0)/'4. Billing Determinants'!$G$41*$D36,IF($E36="Distribution Rev.",VLOOKUP(I$4,'4. Billing Determinants'!$B$19:$P$41,8,0)/'4. Billing Determinants'!$I$41*$D36, VLOOKUP(I$4,'4. Billing Determinants'!$B$19:$P$41,3,0)/'4. Billing Determinants'!$D$41*$D36))))),0)</f>
        <v>4.4762916938892654E-16</v>
      </c>
      <c r="J36" s="70">
        <f>IFERROR(IF(J$4="",0,IF($E36="kWh",VLOOKUP(J$4,'4. Billing Determinants'!$B$19:$P$41,4,0)/'4. Billing Determinants'!$E$41*$D36,IF($E36="kW",VLOOKUP(J$4,'4. Billing Determinants'!$B$19:$P$41,5,0)/'4. Billing Determinants'!$F$41*$D36,IF($E36="Non-RPP kWh",VLOOKUP(J$4,'4. Billing Determinants'!$B$19:$P$41,6,0)/'4. Billing Determinants'!$G$41*$D36,IF($E36="Distribution Rev.",VLOOKUP(J$4,'4. Billing Determinants'!$B$19:$P$41,8,0)/'4. Billing Determinants'!$I$41*$D36, VLOOKUP(J$4,'4. Billing Determinants'!$B$19:$P$41,3,0)/'4. Billing Determinants'!$D$41*$D36))))),0)</f>
        <v>8.8735900049451906E-15</v>
      </c>
      <c r="K36" s="70">
        <f>IFERROR(IF(K$4="",0,IF($E36="kWh",VLOOKUP(K$4,'4. Billing Determinants'!$B$19:$P$41,4,0)/'4. Billing Determinants'!$E$41*$D36,IF($E36="kW",VLOOKUP(K$4,'4. Billing Determinants'!$B$19:$P$41,5,0)/'4. Billing Determinants'!$F$41*$D36,IF($E36="Non-RPP kWh",VLOOKUP(K$4,'4. Billing Determinants'!$B$19:$P$41,6,0)/'4. Billing Determinants'!$G$41*$D36,IF($E36="Distribution Rev.",VLOOKUP(K$4,'4. Billing Determinants'!$B$19:$P$41,8,0)/'4. Billing Determinants'!$I$41*$D36, VLOOKUP(K$4,'4. Billing Determinants'!$B$19:$P$41,3,0)/'4. Billing Determinants'!$D$41*$D36))))),0)</f>
        <v>1.3165563805556661E-16</v>
      </c>
      <c r="L36" s="70">
        <f>IFERROR(IF(L$4="",0,IF($E36="kWh",VLOOKUP(L$4,'4. Billing Determinants'!$B$19:$P$41,4,0)/'4. Billing Determinants'!$E$41*$D36,IF($E36="kW",VLOOKUP(L$4,'4. Billing Determinants'!$B$19:$P$41,5,0)/'4. Billing Determinants'!$F$41*$D36,IF($E36="Non-RPP kWh",VLOOKUP(L$4,'4. Billing Determinants'!$B$19:$P$41,6,0)/'4. Billing Determinants'!$G$41*$D36,IF($E36="Distribution Rev.",VLOOKUP(L$4,'4. Billing Determinants'!$B$19:$P$41,8,0)/'4. Billing Determinants'!$I$41*$D36, VLOOKUP(L$4,'4. Billing Determinants'!$B$19:$P$41,3,0)/'4. Billing Determinants'!$D$41*$D36))))),0)</f>
        <v>0</v>
      </c>
      <c r="M36" s="70">
        <f>IFERROR(IF(M$4="",0,IF($E36="kWh",VLOOKUP(M$4,'4. Billing Determinants'!$B$19:$P$41,4,0)/'4. Billing Determinants'!$E$41*$D36,IF($E36="kW",VLOOKUP(M$4,'4. Billing Determinants'!$B$19:$P$41,5,0)/'4. Billing Determinants'!$F$41*$D36,IF($E36="Non-RPP kWh",VLOOKUP(M$4,'4. Billing Determinants'!$B$19:$P$41,6,0)/'4. Billing Determinants'!$G$41*$D36,IF($E36="Distribution Rev.",VLOOKUP(M$4,'4. Billing Determinants'!$B$19:$P$41,8,0)/'4. Billing Determinants'!$I$41*$D36, VLOOKUP(M$4,'4. Billing Determinants'!$B$19:$P$41,3,0)/'4. Billing Determinants'!$D$41*$D36))))),0)</f>
        <v>0</v>
      </c>
      <c r="N36" s="70">
        <f>IFERROR(IF(N$4="",0,IF($E36="kWh",VLOOKUP(N$4,'4. Billing Determinants'!$B$19:$P$41,4,0)/'4. Billing Determinants'!$E$41*$D36,IF($E36="kW",VLOOKUP(N$4,'4. Billing Determinants'!$B$19:$P$41,5,0)/'4. Billing Determinants'!$F$41*$D36,IF($E36="Non-RPP kWh",VLOOKUP(N$4,'4. Billing Determinants'!$B$19:$P$41,6,0)/'4. Billing Determinants'!$G$41*$D36,IF($E36="Distribution Rev.",VLOOKUP(N$4,'4. Billing Determinants'!$B$19:$P$41,8,0)/'4. Billing Determinants'!$I$41*$D36, VLOOKUP(N$4,'4. Billing Determinants'!$B$19:$P$41,3,0)/'4. Billing Determinants'!$D$41*$D36))))),0)</f>
        <v>0</v>
      </c>
      <c r="O36" s="70">
        <f>IFERROR(IF(O$4="",0,IF($E36="kWh",VLOOKUP(O$4,'4. Billing Determinants'!$B$19:$P$41,4,0)/'4. Billing Determinants'!$E$41*$D36,IF($E36="kW",VLOOKUP(O$4,'4. Billing Determinants'!$B$19:$P$41,5,0)/'4. Billing Determinants'!$F$41*$D36,IF($E36="Non-RPP kWh",VLOOKUP(O$4,'4. Billing Determinants'!$B$19:$P$41,6,0)/'4. Billing Determinants'!$G$41*$D36,IF($E36="Distribution Rev.",VLOOKUP(O$4,'4. Billing Determinants'!$B$19:$P$41,8,0)/'4. Billing Determinants'!$I$41*$D36, VLOOKUP(O$4,'4. Billing Determinants'!$B$19:$P$41,3,0)/'4. Billing Determinants'!$D$41*$D36))))),0)</f>
        <v>0</v>
      </c>
      <c r="P36" s="70">
        <f>IFERROR(IF(P$4="",0,IF($E36="kWh",VLOOKUP(P$4,'4. Billing Determinants'!$B$19:$P$41,4,0)/'4. Billing Determinants'!$E$41*$D36,IF($E36="kW",VLOOKUP(P$4,'4. Billing Determinants'!$B$19:$P$41,5,0)/'4. Billing Determinants'!$F$41*$D36,IF($E36="Non-RPP kWh",VLOOKUP(P$4,'4. Billing Determinants'!$B$19:$P$41,6,0)/'4. Billing Determinants'!$G$41*$D36,IF($E36="Distribution Rev.",VLOOKUP(P$4,'4. Billing Determinants'!$B$19:$P$41,8,0)/'4. Billing Determinants'!$I$41*$D36, VLOOKUP(P$4,'4. Billing Determinants'!$B$19:$P$41,3,0)/'4. Billing Determinants'!$D$41*$D36))))),0)</f>
        <v>0</v>
      </c>
      <c r="Q36" s="70">
        <f>IFERROR(IF(Q$4="",0,IF($E36="kWh",VLOOKUP(Q$4,'4. Billing Determinants'!$B$19:$P$41,4,0)/'4. Billing Determinants'!$E$41*$D36,IF($E36="kW",VLOOKUP(Q$4,'4. Billing Determinants'!$B$19:$P$41,5,0)/'4. Billing Determinants'!$F$41*$D36,IF($E36="Non-RPP kWh",VLOOKUP(Q$4,'4. Billing Determinants'!$B$19:$P$41,6,0)/'4. Billing Determinants'!$G$41*$D36,IF($E36="Distribution Rev.",VLOOKUP(Q$4,'4. Billing Determinants'!$B$19:$P$41,8,0)/'4. Billing Determinants'!$I$41*$D36, VLOOKUP(Q$4,'4. Billing Determinants'!$B$19:$P$41,3,0)/'4. Billing Determinants'!$D$41*$D36))))),0)</f>
        <v>0</v>
      </c>
      <c r="R36" s="70">
        <f>IFERROR(IF(R$4="",0,IF($E36="kWh",VLOOKUP(R$4,'4. Billing Determinants'!$B$19:$P$41,4,0)/'4. Billing Determinants'!$E$41*$D36,IF($E36="kW",VLOOKUP(R$4,'4. Billing Determinants'!$B$19:$P$41,5,0)/'4. Billing Determinants'!$F$41*$D36,IF($E36="Non-RPP kWh",VLOOKUP(R$4,'4. Billing Determinants'!$B$19:$P$41,6,0)/'4. Billing Determinants'!$G$41*$D36,IF($E36="Distribution Rev.",VLOOKUP(R$4,'4. Billing Determinants'!$B$19:$P$41,8,0)/'4. Billing Determinants'!$I$41*$D36, VLOOKUP(R$4,'4. Billing Determinants'!$B$19:$P$41,3,0)/'4. Billing Determinants'!$D$41*$D36))))),0)</f>
        <v>0</v>
      </c>
      <c r="S36" s="70">
        <f>IFERROR(IF(S$4="",0,IF($E36="kWh",VLOOKUP(S$4,'4. Billing Determinants'!$B$19:$P$41,4,0)/'4. Billing Determinants'!$E$41*$D36,IF($E36="kW",VLOOKUP(S$4,'4. Billing Determinants'!$B$19:$P$41,5,0)/'4. Billing Determinants'!$F$41*$D36,IF($E36="Non-RPP kWh",VLOOKUP(S$4,'4. Billing Determinants'!$B$19:$P$41,6,0)/'4. Billing Determinants'!$G$41*$D36,IF($E36="Distribution Rev.",VLOOKUP(S$4,'4. Billing Determinants'!$B$19:$P$41,8,0)/'4. Billing Determinants'!$I$41*$D36, VLOOKUP(S$4,'4. Billing Determinants'!$B$19:$P$41,3,0)/'4. Billing Determinants'!$D$41*$D36))))),0)</f>
        <v>0</v>
      </c>
      <c r="T36" s="70">
        <f>IFERROR(IF(T$4="",0,IF($E36="kWh",VLOOKUP(T$4,'4. Billing Determinants'!$B$19:$P$41,4,0)/'4. Billing Determinants'!$E$41*$D36,IF($E36="kW",VLOOKUP(T$4,'4. Billing Determinants'!$B$19:$P$41,5,0)/'4. Billing Determinants'!$F$41*$D36,IF($E36="Non-RPP kWh",VLOOKUP(T$4,'4. Billing Determinants'!$B$19:$P$41,6,0)/'4. Billing Determinants'!$G$41*$D36,IF($E36="Distribution Rev.",VLOOKUP(T$4,'4. Billing Determinants'!$B$19:$P$41,8,0)/'4. Billing Determinants'!$I$41*$D36, VLOOKUP(T$4,'4. Billing Determinants'!$B$19:$P$41,3,0)/'4. Billing Determinants'!$D$41*$D36))))),0)</f>
        <v>0</v>
      </c>
      <c r="U36" s="70">
        <f>IFERROR(IF(U$4="",0,IF($E36="kWh",VLOOKUP(U$4,'4. Billing Determinants'!$B$19:$P$41,4,0)/'4. Billing Determinants'!$E$41*$D36,IF($E36="kW",VLOOKUP(U$4,'4. Billing Determinants'!$B$19:$P$41,5,0)/'4. Billing Determinants'!$F$41*$D36,IF($E36="Non-RPP kWh",VLOOKUP(U$4,'4. Billing Determinants'!$B$19:$P$41,6,0)/'4. Billing Determinants'!$G$41*$D36,IF($E36="Distribution Rev.",VLOOKUP(U$4,'4. Billing Determinants'!$B$19:$P$41,8,0)/'4. Billing Determinants'!$I$41*$D36, VLOOKUP(U$4,'4. Billing Determinants'!$B$19:$P$41,3,0)/'4. Billing Determinants'!$D$41*$D36))))),0)</f>
        <v>0</v>
      </c>
      <c r="V36" s="70">
        <f>IFERROR(IF(V$4="",0,IF($E36="kWh",VLOOKUP(V$4,'4. Billing Determinants'!$B$19:$P$41,4,0)/'4. Billing Determinants'!$E$41*$D36,IF($E36="kW",VLOOKUP(V$4,'4. Billing Determinants'!$B$19:$P$41,5,0)/'4. Billing Determinants'!$F$41*$D36,IF($E36="Non-RPP kWh",VLOOKUP(V$4,'4. Billing Determinants'!$B$19:$P$41,6,0)/'4. Billing Determinants'!$G$41*$D36,IF($E36="Distribution Rev.",VLOOKUP(V$4,'4. Billing Determinants'!$B$19:$P$41,8,0)/'4. Billing Determinants'!$I$41*$D36, VLOOKUP(V$4,'4. Billing Determinants'!$B$19:$P$41,3,0)/'4. Billing Determinants'!$D$41*$D36))))),0)</f>
        <v>0</v>
      </c>
      <c r="W36" s="70">
        <f>IFERROR(IF(W$4="",0,IF($E36="kWh",VLOOKUP(W$4,'4. Billing Determinants'!$B$19:$P$41,4,0)/'4. Billing Determinants'!$E$41*$D36,IF($E36="kW",VLOOKUP(W$4,'4. Billing Determinants'!$B$19:$P$41,5,0)/'4. Billing Determinants'!$F$41*$D36,IF($E36="Non-RPP kWh",VLOOKUP(W$4,'4. Billing Determinants'!$B$19:$P$41,6,0)/'4. Billing Determinants'!$G$41*$D36,IF($E36="Distribution Rev.",VLOOKUP(W$4,'4. Billing Determinants'!$B$19:$P$41,8,0)/'4. Billing Determinants'!$I$41*$D36, VLOOKUP(W$4,'4. Billing Determinants'!$B$19:$P$41,3,0)/'4. Billing Determinants'!$D$41*$D36))))),0)</f>
        <v>0</v>
      </c>
      <c r="X36" s="70">
        <f>IFERROR(IF(X$4="",0,IF($E36="kWh",VLOOKUP(X$4,'4. Billing Determinants'!$B$19:$P$41,4,0)/'4. Billing Determinants'!$E$41*$D36,IF($E36="kW",VLOOKUP(X$4,'4. Billing Determinants'!$B$19:$P$41,5,0)/'4. Billing Determinants'!$F$41*$D36,IF($E36="Non-RPP kWh",VLOOKUP(X$4,'4. Billing Determinants'!$B$19:$P$41,6,0)/'4. Billing Determinants'!$G$41*$D36,IF($E36="Distribution Rev.",VLOOKUP(X$4,'4. Billing Determinants'!$B$19:$P$41,8,0)/'4. Billing Determinants'!$I$41*$D36, VLOOKUP(X$4,'4. Billing Determinants'!$B$19:$P$41,3,0)/'4. Billing Determinants'!$D$41*$D36))))),0)</f>
        <v>0</v>
      </c>
      <c r="Y36" s="70">
        <f>IFERROR(IF(Y$4="",0,IF($E36="kWh",VLOOKUP(Y$4,'4. Billing Determinants'!$B$19:$P$41,4,0)/'4. Billing Determinants'!$E$41*$D36,IF($E36="kW",VLOOKUP(Y$4,'4. Billing Determinants'!$B$19:$P$41,5,0)/'4. Billing Determinants'!$F$41*$D36,IF($E36="Non-RPP kWh",VLOOKUP(Y$4,'4. Billing Determinants'!$B$19:$P$41,6,0)/'4. Billing Determinants'!$G$41*$D36,IF($E36="Distribution Rev.",VLOOKUP(Y$4,'4. Billing Determinants'!$B$19:$P$41,8,0)/'4. Billing Determinants'!$I$41*$D36, VLOOKUP(Y$4,'4. Billing Determinants'!$B$19:$P$41,3,0)/'4. Billing Determinants'!$D$41*$D36))))),0)</f>
        <v>0</v>
      </c>
    </row>
    <row r="37" spans="1:25" x14ac:dyDescent="0.2">
      <c r="B37" s="68" t="s">
        <v>7</v>
      </c>
      <c r="C37" s="69">
        <v>2425</v>
      </c>
      <c r="D37" s="70">
        <f>'2. 2014 Continuity Schedule'!BO60</f>
        <v>0</v>
      </c>
      <c r="E37" s="130"/>
      <c r="F37" s="70">
        <f>IFERROR(IF(F$4="",0,IF($E37="kWh",VLOOKUP(F$4,'4. Billing Determinants'!$B$19:$P$41,4,0)/'4. Billing Determinants'!$E$41*$D37,IF($E37="kW",VLOOKUP(F$4,'4. Billing Determinants'!$B$19:$P$41,5,0)/'4. Billing Determinants'!$F$41*$D37,IF($E37="Non-RPP kWh",VLOOKUP(F$4,'4. Billing Determinants'!$B$19:$P$41,6,0)/'4. Billing Determinants'!$G$41*$D37,IF($E37="Distribution Rev.",VLOOKUP(F$4,'4. Billing Determinants'!$B$19:$P$41,8,0)/'4. Billing Determinants'!$I$41*$D37, VLOOKUP(F$4,'4. Billing Determinants'!$B$19:$P$41,3,0)/'4. Billing Determinants'!$D$41*$D37))))),0)</f>
        <v>0</v>
      </c>
      <c r="G37" s="70">
        <f>IFERROR(IF(G$4="",0,IF($E37="kWh",VLOOKUP(G$4,'4. Billing Determinants'!$B$19:$P$41,4,0)/'4. Billing Determinants'!$E$41*$D37,IF($E37="kW",VLOOKUP(G$4,'4. Billing Determinants'!$B$19:$P$41,5,0)/'4. Billing Determinants'!$F$41*$D37,IF($E37="Non-RPP kWh",VLOOKUP(G$4,'4. Billing Determinants'!$B$19:$P$41,6,0)/'4. Billing Determinants'!$G$41*$D37,IF($E37="Distribution Rev.",VLOOKUP(G$4,'4. Billing Determinants'!$B$19:$P$41,8,0)/'4. Billing Determinants'!$I$41*$D37, VLOOKUP(G$4,'4. Billing Determinants'!$B$19:$P$41,3,0)/'4. Billing Determinants'!$D$41*$D37))))),0)</f>
        <v>0</v>
      </c>
      <c r="H37" s="70">
        <f>IFERROR(IF(H$4="",0,IF($E37="kWh",VLOOKUP(H$4,'4. Billing Determinants'!$B$19:$P$41,4,0)/'4. Billing Determinants'!$E$41*$D37,IF($E37="kW",VLOOKUP(H$4,'4. Billing Determinants'!$B$19:$P$41,5,0)/'4. Billing Determinants'!$F$41*$D37,IF($E37="Non-RPP kWh",VLOOKUP(H$4,'4. Billing Determinants'!$B$19:$P$41,6,0)/'4. Billing Determinants'!$G$41*$D37,IF($E37="Distribution Rev.",VLOOKUP(H$4,'4. Billing Determinants'!$B$19:$P$41,8,0)/'4. Billing Determinants'!$I$41*$D37, VLOOKUP(H$4,'4. Billing Determinants'!$B$19:$P$41,3,0)/'4. Billing Determinants'!$D$41*$D37))))),0)</f>
        <v>0</v>
      </c>
      <c r="I37" s="70">
        <f>IFERROR(IF(I$4="",0,IF($E37="kWh",VLOOKUP(I$4,'4. Billing Determinants'!$B$19:$P$41,4,0)/'4. Billing Determinants'!$E$41*$D37,IF($E37="kW",VLOOKUP(I$4,'4. Billing Determinants'!$B$19:$P$41,5,0)/'4. Billing Determinants'!$F$41*$D37,IF($E37="Non-RPP kWh",VLOOKUP(I$4,'4. Billing Determinants'!$B$19:$P$41,6,0)/'4. Billing Determinants'!$G$41*$D37,IF($E37="Distribution Rev.",VLOOKUP(I$4,'4. Billing Determinants'!$B$19:$P$41,8,0)/'4. Billing Determinants'!$I$41*$D37, VLOOKUP(I$4,'4. Billing Determinants'!$B$19:$P$41,3,0)/'4. Billing Determinants'!$D$41*$D37))))),0)</f>
        <v>0</v>
      </c>
      <c r="J37" s="70">
        <f>IFERROR(IF(J$4="",0,IF($E37="kWh",VLOOKUP(J$4,'4. Billing Determinants'!$B$19:$P$41,4,0)/'4. Billing Determinants'!$E$41*$D37,IF($E37="kW",VLOOKUP(J$4,'4. Billing Determinants'!$B$19:$P$41,5,0)/'4. Billing Determinants'!$F$41*$D37,IF($E37="Non-RPP kWh",VLOOKUP(J$4,'4. Billing Determinants'!$B$19:$P$41,6,0)/'4. Billing Determinants'!$G$41*$D37,IF($E37="Distribution Rev.",VLOOKUP(J$4,'4. Billing Determinants'!$B$19:$P$41,8,0)/'4. Billing Determinants'!$I$41*$D37, VLOOKUP(J$4,'4. Billing Determinants'!$B$19:$P$41,3,0)/'4. Billing Determinants'!$D$41*$D37))))),0)</f>
        <v>0</v>
      </c>
      <c r="K37" s="70">
        <f>IFERROR(IF(K$4="",0,IF($E37="kWh",VLOOKUP(K$4,'4. Billing Determinants'!$B$19:$P$41,4,0)/'4. Billing Determinants'!$E$41*$D37,IF($E37="kW",VLOOKUP(K$4,'4. Billing Determinants'!$B$19:$P$41,5,0)/'4. Billing Determinants'!$F$41*$D37,IF($E37="Non-RPP kWh",VLOOKUP(K$4,'4. Billing Determinants'!$B$19:$P$41,6,0)/'4. Billing Determinants'!$G$41*$D37,IF($E37="Distribution Rev.",VLOOKUP(K$4,'4. Billing Determinants'!$B$19:$P$41,8,0)/'4. Billing Determinants'!$I$41*$D37, VLOOKUP(K$4,'4. Billing Determinants'!$B$19:$P$41,3,0)/'4. Billing Determinants'!$D$41*$D37))))),0)</f>
        <v>0</v>
      </c>
      <c r="L37" s="70">
        <f>IFERROR(IF(L$4="",0,IF($E37="kWh",VLOOKUP(L$4,'4. Billing Determinants'!$B$19:$P$41,4,0)/'4. Billing Determinants'!$E$41*$D37,IF($E37="kW",VLOOKUP(L$4,'4. Billing Determinants'!$B$19:$P$41,5,0)/'4. Billing Determinants'!$F$41*$D37,IF($E37="Non-RPP kWh",VLOOKUP(L$4,'4. Billing Determinants'!$B$19:$P$41,6,0)/'4. Billing Determinants'!$G$41*$D37,IF($E37="Distribution Rev.",VLOOKUP(L$4,'4. Billing Determinants'!$B$19:$P$41,8,0)/'4. Billing Determinants'!$I$41*$D37, VLOOKUP(L$4,'4. Billing Determinants'!$B$19:$P$41,3,0)/'4. Billing Determinants'!$D$41*$D37))))),0)</f>
        <v>0</v>
      </c>
      <c r="M37" s="70">
        <f>IFERROR(IF(M$4="",0,IF($E37="kWh",VLOOKUP(M$4,'4. Billing Determinants'!$B$19:$P$41,4,0)/'4. Billing Determinants'!$E$41*$D37,IF($E37="kW",VLOOKUP(M$4,'4. Billing Determinants'!$B$19:$P$41,5,0)/'4. Billing Determinants'!$F$41*$D37,IF($E37="Non-RPP kWh",VLOOKUP(M$4,'4. Billing Determinants'!$B$19:$P$41,6,0)/'4. Billing Determinants'!$G$41*$D37,IF($E37="Distribution Rev.",VLOOKUP(M$4,'4. Billing Determinants'!$B$19:$P$41,8,0)/'4. Billing Determinants'!$I$41*$D37, VLOOKUP(M$4,'4. Billing Determinants'!$B$19:$P$41,3,0)/'4. Billing Determinants'!$D$41*$D37))))),0)</f>
        <v>0</v>
      </c>
      <c r="N37" s="70">
        <f>IFERROR(IF(N$4="",0,IF($E37="kWh",VLOOKUP(N$4,'4. Billing Determinants'!$B$19:$P$41,4,0)/'4. Billing Determinants'!$E$41*$D37,IF($E37="kW",VLOOKUP(N$4,'4. Billing Determinants'!$B$19:$P$41,5,0)/'4. Billing Determinants'!$F$41*$D37,IF($E37="Non-RPP kWh",VLOOKUP(N$4,'4. Billing Determinants'!$B$19:$P$41,6,0)/'4. Billing Determinants'!$G$41*$D37,IF($E37="Distribution Rev.",VLOOKUP(N$4,'4. Billing Determinants'!$B$19:$P$41,8,0)/'4. Billing Determinants'!$I$41*$D37, VLOOKUP(N$4,'4. Billing Determinants'!$B$19:$P$41,3,0)/'4. Billing Determinants'!$D$41*$D37))))),0)</f>
        <v>0</v>
      </c>
      <c r="O37" s="70">
        <f>IFERROR(IF(O$4="",0,IF($E37="kWh",VLOOKUP(O$4,'4. Billing Determinants'!$B$19:$P$41,4,0)/'4. Billing Determinants'!$E$41*$D37,IF($E37="kW",VLOOKUP(O$4,'4. Billing Determinants'!$B$19:$P$41,5,0)/'4. Billing Determinants'!$F$41*$D37,IF($E37="Non-RPP kWh",VLOOKUP(O$4,'4. Billing Determinants'!$B$19:$P$41,6,0)/'4. Billing Determinants'!$G$41*$D37,IF($E37="Distribution Rev.",VLOOKUP(O$4,'4. Billing Determinants'!$B$19:$P$41,8,0)/'4. Billing Determinants'!$I$41*$D37, VLOOKUP(O$4,'4. Billing Determinants'!$B$19:$P$41,3,0)/'4. Billing Determinants'!$D$41*$D37))))),0)</f>
        <v>0</v>
      </c>
      <c r="P37" s="70">
        <f>IFERROR(IF(P$4="",0,IF($E37="kWh",VLOOKUP(P$4,'4. Billing Determinants'!$B$19:$P$41,4,0)/'4. Billing Determinants'!$E$41*$D37,IF($E37="kW",VLOOKUP(P$4,'4. Billing Determinants'!$B$19:$P$41,5,0)/'4. Billing Determinants'!$F$41*$D37,IF($E37="Non-RPP kWh",VLOOKUP(P$4,'4. Billing Determinants'!$B$19:$P$41,6,0)/'4. Billing Determinants'!$G$41*$D37,IF($E37="Distribution Rev.",VLOOKUP(P$4,'4. Billing Determinants'!$B$19:$P$41,8,0)/'4. Billing Determinants'!$I$41*$D37, VLOOKUP(P$4,'4. Billing Determinants'!$B$19:$P$41,3,0)/'4. Billing Determinants'!$D$41*$D37))))),0)</f>
        <v>0</v>
      </c>
      <c r="Q37" s="70">
        <f>IFERROR(IF(Q$4="",0,IF($E37="kWh",VLOOKUP(Q$4,'4. Billing Determinants'!$B$19:$P$41,4,0)/'4. Billing Determinants'!$E$41*$D37,IF($E37="kW",VLOOKUP(Q$4,'4. Billing Determinants'!$B$19:$P$41,5,0)/'4. Billing Determinants'!$F$41*$D37,IF($E37="Non-RPP kWh",VLOOKUP(Q$4,'4. Billing Determinants'!$B$19:$P$41,6,0)/'4. Billing Determinants'!$G$41*$D37,IF($E37="Distribution Rev.",VLOOKUP(Q$4,'4. Billing Determinants'!$B$19:$P$41,8,0)/'4. Billing Determinants'!$I$41*$D37, VLOOKUP(Q$4,'4. Billing Determinants'!$B$19:$P$41,3,0)/'4. Billing Determinants'!$D$41*$D37))))),0)</f>
        <v>0</v>
      </c>
      <c r="R37" s="70">
        <f>IFERROR(IF(R$4="",0,IF($E37="kWh",VLOOKUP(R$4,'4. Billing Determinants'!$B$19:$P$41,4,0)/'4. Billing Determinants'!$E$41*$D37,IF($E37="kW",VLOOKUP(R$4,'4. Billing Determinants'!$B$19:$P$41,5,0)/'4. Billing Determinants'!$F$41*$D37,IF($E37="Non-RPP kWh",VLOOKUP(R$4,'4. Billing Determinants'!$B$19:$P$41,6,0)/'4. Billing Determinants'!$G$41*$D37,IF($E37="Distribution Rev.",VLOOKUP(R$4,'4. Billing Determinants'!$B$19:$P$41,8,0)/'4. Billing Determinants'!$I$41*$D37, VLOOKUP(R$4,'4. Billing Determinants'!$B$19:$P$41,3,0)/'4. Billing Determinants'!$D$41*$D37))))),0)</f>
        <v>0</v>
      </c>
      <c r="S37" s="70">
        <f>IFERROR(IF(S$4="",0,IF($E37="kWh",VLOOKUP(S$4,'4. Billing Determinants'!$B$19:$P$41,4,0)/'4. Billing Determinants'!$E$41*$D37,IF($E37="kW",VLOOKUP(S$4,'4. Billing Determinants'!$B$19:$P$41,5,0)/'4. Billing Determinants'!$F$41*$D37,IF($E37="Non-RPP kWh",VLOOKUP(S$4,'4. Billing Determinants'!$B$19:$P$41,6,0)/'4. Billing Determinants'!$G$41*$D37,IF($E37="Distribution Rev.",VLOOKUP(S$4,'4. Billing Determinants'!$B$19:$P$41,8,0)/'4. Billing Determinants'!$I$41*$D37, VLOOKUP(S$4,'4. Billing Determinants'!$B$19:$P$41,3,0)/'4. Billing Determinants'!$D$41*$D37))))),0)</f>
        <v>0</v>
      </c>
      <c r="T37" s="70">
        <f>IFERROR(IF(T$4="",0,IF($E37="kWh",VLOOKUP(T$4,'4. Billing Determinants'!$B$19:$P$41,4,0)/'4. Billing Determinants'!$E$41*$D37,IF($E37="kW",VLOOKUP(T$4,'4. Billing Determinants'!$B$19:$P$41,5,0)/'4. Billing Determinants'!$F$41*$D37,IF($E37="Non-RPP kWh",VLOOKUP(T$4,'4. Billing Determinants'!$B$19:$P$41,6,0)/'4. Billing Determinants'!$G$41*$D37,IF($E37="Distribution Rev.",VLOOKUP(T$4,'4. Billing Determinants'!$B$19:$P$41,8,0)/'4. Billing Determinants'!$I$41*$D37, VLOOKUP(T$4,'4. Billing Determinants'!$B$19:$P$41,3,0)/'4. Billing Determinants'!$D$41*$D37))))),0)</f>
        <v>0</v>
      </c>
      <c r="U37" s="70">
        <f>IFERROR(IF(U$4="",0,IF($E37="kWh",VLOOKUP(U$4,'4. Billing Determinants'!$B$19:$P$41,4,0)/'4. Billing Determinants'!$E$41*$D37,IF($E37="kW",VLOOKUP(U$4,'4. Billing Determinants'!$B$19:$P$41,5,0)/'4. Billing Determinants'!$F$41*$D37,IF($E37="Non-RPP kWh",VLOOKUP(U$4,'4. Billing Determinants'!$B$19:$P$41,6,0)/'4. Billing Determinants'!$G$41*$D37,IF($E37="Distribution Rev.",VLOOKUP(U$4,'4. Billing Determinants'!$B$19:$P$41,8,0)/'4. Billing Determinants'!$I$41*$D37, VLOOKUP(U$4,'4. Billing Determinants'!$B$19:$P$41,3,0)/'4. Billing Determinants'!$D$41*$D37))))),0)</f>
        <v>0</v>
      </c>
      <c r="V37" s="70">
        <f>IFERROR(IF(V$4="",0,IF($E37="kWh",VLOOKUP(V$4,'4. Billing Determinants'!$B$19:$P$41,4,0)/'4. Billing Determinants'!$E$41*$D37,IF($E37="kW",VLOOKUP(V$4,'4. Billing Determinants'!$B$19:$P$41,5,0)/'4. Billing Determinants'!$F$41*$D37,IF($E37="Non-RPP kWh",VLOOKUP(V$4,'4. Billing Determinants'!$B$19:$P$41,6,0)/'4. Billing Determinants'!$G$41*$D37,IF($E37="Distribution Rev.",VLOOKUP(V$4,'4. Billing Determinants'!$B$19:$P$41,8,0)/'4. Billing Determinants'!$I$41*$D37, VLOOKUP(V$4,'4. Billing Determinants'!$B$19:$P$41,3,0)/'4. Billing Determinants'!$D$41*$D37))))),0)</f>
        <v>0</v>
      </c>
      <c r="W37" s="70">
        <f>IFERROR(IF(W$4="",0,IF($E37="kWh",VLOOKUP(W$4,'4. Billing Determinants'!$B$19:$P$41,4,0)/'4. Billing Determinants'!$E$41*$D37,IF($E37="kW",VLOOKUP(W$4,'4. Billing Determinants'!$B$19:$P$41,5,0)/'4. Billing Determinants'!$F$41*$D37,IF($E37="Non-RPP kWh",VLOOKUP(W$4,'4. Billing Determinants'!$B$19:$P$41,6,0)/'4. Billing Determinants'!$G$41*$D37,IF($E37="Distribution Rev.",VLOOKUP(W$4,'4. Billing Determinants'!$B$19:$P$41,8,0)/'4. Billing Determinants'!$I$41*$D37, VLOOKUP(W$4,'4. Billing Determinants'!$B$19:$P$41,3,0)/'4. Billing Determinants'!$D$41*$D37))))),0)</f>
        <v>0</v>
      </c>
      <c r="X37" s="70">
        <f>IFERROR(IF(X$4="",0,IF($E37="kWh",VLOOKUP(X$4,'4. Billing Determinants'!$B$19:$P$41,4,0)/'4. Billing Determinants'!$E$41*$D37,IF($E37="kW",VLOOKUP(X$4,'4. Billing Determinants'!$B$19:$P$41,5,0)/'4. Billing Determinants'!$F$41*$D37,IF($E37="Non-RPP kWh",VLOOKUP(X$4,'4. Billing Determinants'!$B$19:$P$41,6,0)/'4. Billing Determinants'!$G$41*$D37,IF($E37="Distribution Rev.",VLOOKUP(X$4,'4. Billing Determinants'!$B$19:$P$41,8,0)/'4. Billing Determinants'!$I$41*$D37, VLOOKUP(X$4,'4. Billing Determinants'!$B$19:$P$41,3,0)/'4. Billing Determinants'!$D$41*$D37))))),0)</f>
        <v>0</v>
      </c>
      <c r="Y37" s="70">
        <f>IFERROR(IF(Y$4="",0,IF($E37="kWh",VLOOKUP(Y$4,'4. Billing Determinants'!$B$19:$P$41,4,0)/'4. Billing Determinants'!$E$41*$D37,IF($E37="kW",VLOOKUP(Y$4,'4. Billing Determinants'!$B$19:$P$41,5,0)/'4. Billing Determinants'!$F$41*$D37,IF($E37="Non-RPP kWh",VLOOKUP(Y$4,'4. Billing Determinants'!$B$19:$P$41,6,0)/'4. Billing Determinants'!$G$41*$D37,IF($E37="Distribution Rev.",VLOOKUP(Y$4,'4. Billing Determinants'!$B$19:$P$41,8,0)/'4. Billing Determinants'!$I$41*$D37, VLOOKUP(Y$4,'4. Billing Determinants'!$B$19:$P$41,3,0)/'4. Billing Determinants'!$D$41*$D37))))),0)</f>
        <v>0</v>
      </c>
    </row>
    <row r="38" spans="1:25" s="57" customFormat="1" x14ac:dyDescent="0.2">
      <c r="A38" s="56"/>
      <c r="B38" s="88" t="s">
        <v>114</v>
      </c>
      <c r="C38" s="90"/>
      <c r="D38" s="89">
        <f>SUM(D19:D37)</f>
        <v>360669.01678800001</v>
      </c>
      <c r="E38" s="90"/>
      <c r="F38" s="89">
        <f t="shared" ref="F38:Y38" si="1">SUM(F19:F37)</f>
        <v>307888.61565963679</v>
      </c>
      <c r="G38" s="89">
        <f t="shared" si="1"/>
        <v>31739.728748512018</v>
      </c>
      <c r="H38" s="89">
        <f t="shared" si="1"/>
        <v>18297.675472246759</v>
      </c>
      <c r="I38" s="89">
        <f t="shared" si="1"/>
        <v>307.84736265481331</v>
      </c>
      <c r="J38" s="89">
        <f t="shared" si="1"/>
        <v>2145.5123146169835</v>
      </c>
      <c r="K38" s="89">
        <f t="shared" si="1"/>
        <v>289.6372303325951</v>
      </c>
      <c r="L38" s="89">
        <f t="shared" si="1"/>
        <v>0</v>
      </c>
      <c r="M38" s="89">
        <f t="shared" si="1"/>
        <v>0</v>
      </c>
      <c r="N38" s="89">
        <f t="shared" si="1"/>
        <v>0</v>
      </c>
      <c r="O38" s="89">
        <f t="shared" si="1"/>
        <v>0</v>
      </c>
      <c r="P38" s="89">
        <f t="shared" si="1"/>
        <v>0</v>
      </c>
      <c r="Q38" s="89">
        <f t="shared" si="1"/>
        <v>0</v>
      </c>
      <c r="R38" s="89">
        <f t="shared" si="1"/>
        <v>0</v>
      </c>
      <c r="S38" s="89">
        <f t="shared" si="1"/>
        <v>0</v>
      </c>
      <c r="T38" s="89">
        <f t="shared" si="1"/>
        <v>0</v>
      </c>
      <c r="U38" s="89">
        <f t="shared" si="1"/>
        <v>0</v>
      </c>
      <c r="V38" s="89">
        <f t="shared" si="1"/>
        <v>0</v>
      </c>
      <c r="W38" s="89">
        <f t="shared" si="1"/>
        <v>0</v>
      </c>
      <c r="X38" s="89">
        <f t="shared" si="1"/>
        <v>0</v>
      </c>
      <c r="Y38" s="89">
        <f t="shared" si="1"/>
        <v>0</v>
      </c>
    </row>
    <row r="39" spans="1:25" s="76" customFormat="1" x14ac:dyDescent="0.2">
      <c r="B39" s="77"/>
      <c r="C39" s="78"/>
      <c r="D39" s="79"/>
      <c r="E39" s="84"/>
      <c r="F39" s="79"/>
      <c r="G39" s="79"/>
      <c r="H39" s="79"/>
      <c r="I39" s="79"/>
      <c r="J39" s="79"/>
      <c r="K39" s="79"/>
      <c r="L39" s="79"/>
      <c r="M39" s="79"/>
      <c r="N39" s="79"/>
      <c r="O39" s="79"/>
      <c r="P39" s="79"/>
      <c r="Q39" s="79"/>
      <c r="R39" s="79"/>
      <c r="S39" s="79"/>
      <c r="T39" s="79"/>
      <c r="U39" s="79"/>
      <c r="V39" s="79"/>
      <c r="W39" s="79"/>
      <c r="X39" s="79"/>
      <c r="Y39" s="79"/>
    </row>
    <row r="40" spans="1:25" x14ac:dyDescent="0.2">
      <c r="B40" s="85" t="s">
        <v>8</v>
      </c>
      <c r="C40" s="83">
        <v>1562</v>
      </c>
      <c r="D40" s="70">
        <f>'2. 2014 Continuity Schedule'!BO64</f>
        <v>-5.8207660913467407E-11</v>
      </c>
      <c r="E40" s="130"/>
      <c r="F40" s="70">
        <f>IFERROR(IF(F$4="",0,IF($E40="kWh",VLOOKUP(F$4,'4. Billing Determinants'!$B$19:$P$41,4,0)/'4. Billing Determinants'!$E$41*$D40,IF($E40="kW",VLOOKUP(F$4,'4. Billing Determinants'!$B$19:$P$41,5,0)/'4. Billing Determinants'!$F$41*$D40,IF($E40="Non-RPP kWh",VLOOKUP(F$4,'4. Billing Determinants'!$B$19:$P$41,6,0)/'4. Billing Determinants'!$G$41*$D40,IF($E40="Distribution Rev.",VLOOKUP(F$4,'4. Billing Determinants'!$B$19:$P$41,8,0)/'4. Billing Determinants'!$I$41*$D40, VLOOKUP(F$4,'4. Billing Determinants'!$B$19:$P$41,3,0)/'4. Billing Determinants'!$D$41*$D40))))),0)</f>
        <v>-5.1987054893937402E-11</v>
      </c>
      <c r="G40" s="70">
        <f>IFERROR(IF(G$4="",0,IF($E40="kWh",VLOOKUP(G$4,'4. Billing Determinants'!$B$19:$P$41,4,0)/'4. Billing Determinants'!$E$41*$D40,IF($E40="kW",VLOOKUP(G$4,'4. Billing Determinants'!$B$19:$P$41,5,0)/'4. Billing Determinants'!$F$41*$D40,IF($E40="Non-RPP kWh",VLOOKUP(G$4,'4. Billing Determinants'!$B$19:$P$41,6,0)/'4. Billing Determinants'!$G$41*$D40,IF($E40="Distribution Rev.",VLOOKUP(G$4,'4. Billing Determinants'!$B$19:$P$41,8,0)/'4. Billing Determinants'!$I$41*$D40, VLOOKUP(G$4,'4. Billing Determinants'!$B$19:$P$41,3,0)/'4. Billing Determinants'!$D$41*$D40))))),0)</f>
        <v>-4.8477361340567035E-12</v>
      </c>
      <c r="H40" s="70">
        <f>IFERROR(IF(H$4="",0,IF($E40="kWh",VLOOKUP(H$4,'4. Billing Determinants'!$B$19:$P$41,4,0)/'4. Billing Determinants'!$E$41*$D40,IF($E40="kW",VLOOKUP(H$4,'4. Billing Determinants'!$B$19:$P$41,5,0)/'4. Billing Determinants'!$F$41*$D40,IF($E40="Non-RPP kWh",VLOOKUP(H$4,'4. Billing Determinants'!$B$19:$P$41,6,0)/'4. Billing Determinants'!$G$41*$D40,IF($E40="Distribution Rev.",VLOOKUP(H$4,'4. Billing Determinants'!$B$19:$P$41,8,0)/'4. Billing Determinants'!$I$41*$D40, VLOOKUP(H$4,'4. Billing Determinants'!$B$19:$P$41,3,0)/'4. Billing Determinants'!$D$41*$D40))))),0)</f>
        <v>-9.6954722681134061E-13</v>
      </c>
      <c r="I40" s="70">
        <f>IFERROR(IF(I$4="",0,IF($E40="kWh",VLOOKUP(I$4,'4. Billing Determinants'!$B$19:$P$41,4,0)/'4. Billing Determinants'!$E$41*$D40,IF($E40="kW",VLOOKUP(I$4,'4. Billing Determinants'!$B$19:$P$41,5,0)/'4. Billing Determinants'!$F$41*$D40,IF($E40="Non-RPP kWh",VLOOKUP(I$4,'4. Billing Determinants'!$B$19:$P$41,6,0)/'4. Billing Determinants'!$G$41*$D40,IF($E40="Distribution Rev.",VLOOKUP(I$4,'4. Billing Determinants'!$B$19:$P$41,8,0)/'4. Billing Determinants'!$I$41*$D40, VLOOKUP(I$4,'4. Billing Determinants'!$B$19:$P$41,3,0)/'4. Billing Determinants'!$D$41*$D40))))),0)</f>
        <v>-1.9098844560594197E-14</v>
      </c>
      <c r="J40" s="70">
        <f>IFERROR(IF(J$4="",0,IF($E40="kWh",VLOOKUP(J$4,'4. Billing Determinants'!$B$19:$P$41,4,0)/'4. Billing Determinants'!$E$41*$D40,IF($E40="kW",VLOOKUP(J$4,'4. Billing Determinants'!$B$19:$P$41,5,0)/'4. Billing Determinants'!$F$41*$D40,IF($E40="Non-RPP kWh",VLOOKUP(J$4,'4. Billing Determinants'!$B$19:$P$41,6,0)/'4. Billing Determinants'!$G$41*$D40,IF($E40="Distribution Rev.",VLOOKUP(J$4,'4. Billing Determinants'!$B$19:$P$41,8,0)/'4. Billing Determinants'!$I$41*$D40, VLOOKUP(J$4,'4. Billing Determinants'!$B$19:$P$41,3,0)/'4. Billing Determinants'!$D$41*$D40))))),0)</f>
        <v>-3.7860650687766145E-13</v>
      </c>
      <c r="K40" s="70">
        <f>IFERROR(IF(K$4="",0,IF($E40="kWh",VLOOKUP(K$4,'4. Billing Determinants'!$B$19:$P$41,4,0)/'4. Billing Determinants'!$E$41*$D40,IF($E40="kW",VLOOKUP(K$4,'4. Billing Determinants'!$B$19:$P$41,5,0)/'4. Billing Determinants'!$F$41*$D40,IF($E40="Non-RPP kWh",VLOOKUP(K$4,'4. Billing Determinants'!$B$19:$P$41,6,0)/'4. Billing Determinants'!$G$41*$D40,IF($E40="Distribution Rev.",VLOOKUP(K$4,'4. Billing Determinants'!$B$19:$P$41,8,0)/'4. Billing Determinants'!$I$41*$D40, VLOOKUP(K$4,'4. Billing Determinants'!$B$19:$P$41,3,0)/'4. Billing Determinants'!$D$41*$D40))))),0)</f>
        <v>-5.6173072237041755E-15</v>
      </c>
      <c r="L40" s="70">
        <f>IFERROR(IF(L$4="",0,IF($E40="kWh",VLOOKUP(L$4,'4. Billing Determinants'!$B$19:$P$41,4,0)/'4. Billing Determinants'!$E$41*$D40,IF($E40="kW",VLOOKUP(L$4,'4. Billing Determinants'!$B$19:$P$41,5,0)/'4. Billing Determinants'!$F$41*$D40,IF($E40="Non-RPP kWh",VLOOKUP(L$4,'4. Billing Determinants'!$B$19:$P$41,6,0)/'4. Billing Determinants'!$G$41*$D40,IF($E40="Distribution Rev.",VLOOKUP(L$4,'4. Billing Determinants'!$B$19:$P$41,8,0)/'4. Billing Determinants'!$I$41*$D40, VLOOKUP(L$4,'4. Billing Determinants'!$B$19:$P$41,3,0)/'4. Billing Determinants'!$D$41*$D40))))),0)</f>
        <v>0</v>
      </c>
      <c r="M40" s="70">
        <f>IFERROR(IF(M$4="",0,IF($E40="kWh",VLOOKUP(M$4,'4. Billing Determinants'!$B$19:$P$41,4,0)/'4. Billing Determinants'!$E$41*$D40,IF($E40="kW",VLOOKUP(M$4,'4. Billing Determinants'!$B$19:$P$41,5,0)/'4. Billing Determinants'!$F$41*$D40,IF($E40="Non-RPP kWh",VLOOKUP(M$4,'4. Billing Determinants'!$B$19:$P$41,6,0)/'4. Billing Determinants'!$G$41*$D40,IF($E40="Distribution Rev.",VLOOKUP(M$4,'4. Billing Determinants'!$B$19:$P$41,8,0)/'4. Billing Determinants'!$I$41*$D40, VLOOKUP(M$4,'4. Billing Determinants'!$B$19:$P$41,3,0)/'4. Billing Determinants'!$D$41*$D40))))),0)</f>
        <v>0</v>
      </c>
      <c r="N40" s="70">
        <f>IFERROR(IF(N$4="",0,IF($E40="kWh",VLOOKUP(N$4,'4. Billing Determinants'!$B$19:$P$41,4,0)/'4. Billing Determinants'!$E$41*$D40,IF($E40="kW",VLOOKUP(N$4,'4. Billing Determinants'!$B$19:$P$41,5,0)/'4. Billing Determinants'!$F$41*$D40,IF($E40="Non-RPP kWh",VLOOKUP(N$4,'4. Billing Determinants'!$B$19:$P$41,6,0)/'4. Billing Determinants'!$G$41*$D40,IF($E40="Distribution Rev.",VLOOKUP(N$4,'4. Billing Determinants'!$B$19:$P$41,8,0)/'4. Billing Determinants'!$I$41*$D40, VLOOKUP(N$4,'4. Billing Determinants'!$B$19:$P$41,3,0)/'4. Billing Determinants'!$D$41*$D40))))),0)</f>
        <v>0</v>
      </c>
      <c r="O40" s="70">
        <f>IFERROR(IF(O$4="",0,IF($E40="kWh",VLOOKUP(O$4,'4. Billing Determinants'!$B$19:$P$41,4,0)/'4. Billing Determinants'!$E$41*$D40,IF($E40="kW",VLOOKUP(O$4,'4. Billing Determinants'!$B$19:$P$41,5,0)/'4. Billing Determinants'!$F$41*$D40,IF($E40="Non-RPP kWh",VLOOKUP(O$4,'4. Billing Determinants'!$B$19:$P$41,6,0)/'4. Billing Determinants'!$G$41*$D40,IF($E40="Distribution Rev.",VLOOKUP(O$4,'4. Billing Determinants'!$B$19:$P$41,8,0)/'4. Billing Determinants'!$I$41*$D40, VLOOKUP(O$4,'4. Billing Determinants'!$B$19:$P$41,3,0)/'4. Billing Determinants'!$D$41*$D40))))),0)</f>
        <v>0</v>
      </c>
      <c r="P40" s="70">
        <f>IFERROR(IF(P$4="",0,IF($E40="kWh",VLOOKUP(P$4,'4. Billing Determinants'!$B$19:$P$41,4,0)/'4. Billing Determinants'!$E$41*$D40,IF($E40="kW",VLOOKUP(P$4,'4. Billing Determinants'!$B$19:$P$41,5,0)/'4. Billing Determinants'!$F$41*$D40,IF($E40="Non-RPP kWh",VLOOKUP(P$4,'4. Billing Determinants'!$B$19:$P$41,6,0)/'4. Billing Determinants'!$G$41*$D40,IF($E40="Distribution Rev.",VLOOKUP(P$4,'4. Billing Determinants'!$B$19:$P$41,8,0)/'4. Billing Determinants'!$I$41*$D40, VLOOKUP(P$4,'4. Billing Determinants'!$B$19:$P$41,3,0)/'4. Billing Determinants'!$D$41*$D40))))),0)</f>
        <v>0</v>
      </c>
      <c r="Q40" s="70">
        <f>IFERROR(IF(Q$4="",0,IF($E40="kWh",VLOOKUP(Q$4,'4. Billing Determinants'!$B$19:$P$41,4,0)/'4. Billing Determinants'!$E$41*$D40,IF($E40="kW",VLOOKUP(Q$4,'4. Billing Determinants'!$B$19:$P$41,5,0)/'4. Billing Determinants'!$F$41*$D40,IF($E40="Non-RPP kWh",VLOOKUP(Q$4,'4. Billing Determinants'!$B$19:$P$41,6,0)/'4. Billing Determinants'!$G$41*$D40,IF($E40="Distribution Rev.",VLOOKUP(Q$4,'4. Billing Determinants'!$B$19:$P$41,8,0)/'4. Billing Determinants'!$I$41*$D40, VLOOKUP(Q$4,'4. Billing Determinants'!$B$19:$P$41,3,0)/'4. Billing Determinants'!$D$41*$D40))))),0)</f>
        <v>0</v>
      </c>
      <c r="R40" s="70">
        <f>IFERROR(IF(R$4="",0,IF($E40="kWh",VLOOKUP(R$4,'4. Billing Determinants'!$B$19:$P$41,4,0)/'4. Billing Determinants'!$E$41*$D40,IF($E40="kW",VLOOKUP(R$4,'4. Billing Determinants'!$B$19:$P$41,5,0)/'4. Billing Determinants'!$F$41*$D40,IF($E40="Non-RPP kWh",VLOOKUP(R$4,'4. Billing Determinants'!$B$19:$P$41,6,0)/'4. Billing Determinants'!$G$41*$D40,IF($E40="Distribution Rev.",VLOOKUP(R$4,'4. Billing Determinants'!$B$19:$P$41,8,0)/'4. Billing Determinants'!$I$41*$D40, VLOOKUP(R$4,'4. Billing Determinants'!$B$19:$P$41,3,0)/'4. Billing Determinants'!$D$41*$D40))))),0)</f>
        <v>0</v>
      </c>
      <c r="S40" s="70">
        <f>IFERROR(IF(S$4="",0,IF($E40="kWh",VLOOKUP(S$4,'4. Billing Determinants'!$B$19:$P$41,4,0)/'4. Billing Determinants'!$E$41*$D40,IF($E40="kW",VLOOKUP(S$4,'4. Billing Determinants'!$B$19:$P$41,5,0)/'4. Billing Determinants'!$F$41*$D40,IF($E40="Non-RPP kWh",VLOOKUP(S$4,'4. Billing Determinants'!$B$19:$P$41,6,0)/'4. Billing Determinants'!$G$41*$D40,IF($E40="Distribution Rev.",VLOOKUP(S$4,'4. Billing Determinants'!$B$19:$P$41,8,0)/'4. Billing Determinants'!$I$41*$D40, VLOOKUP(S$4,'4. Billing Determinants'!$B$19:$P$41,3,0)/'4. Billing Determinants'!$D$41*$D40))))),0)</f>
        <v>0</v>
      </c>
      <c r="T40" s="70">
        <f>IFERROR(IF(T$4="",0,IF($E40="kWh",VLOOKUP(T$4,'4. Billing Determinants'!$B$19:$P$41,4,0)/'4. Billing Determinants'!$E$41*$D40,IF($E40="kW",VLOOKUP(T$4,'4. Billing Determinants'!$B$19:$P$41,5,0)/'4. Billing Determinants'!$F$41*$D40,IF($E40="Non-RPP kWh",VLOOKUP(T$4,'4. Billing Determinants'!$B$19:$P$41,6,0)/'4. Billing Determinants'!$G$41*$D40,IF($E40="Distribution Rev.",VLOOKUP(T$4,'4. Billing Determinants'!$B$19:$P$41,8,0)/'4. Billing Determinants'!$I$41*$D40, VLOOKUP(T$4,'4. Billing Determinants'!$B$19:$P$41,3,0)/'4. Billing Determinants'!$D$41*$D40))))),0)</f>
        <v>0</v>
      </c>
      <c r="U40" s="70">
        <f>IFERROR(IF(U$4="",0,IF($E40="kWh",VLOOKUP(U$4,'4. Billing Determinants'!$B$19:$P$41,4,0)/'4. Billing Determinants'!$E$41*$D40,IF($E40="kW",VLOOKUP(U$4,'4. Billing Determinants'!$B$19:$P$41,5,0)/'4. Billing Determinants'!$F$41*$D40,IF($E40="Non-RPP kWh",VLOOKUP(U$4,'4. Billing Determinants'!$B$19:$P$41,6,0)/'4. Billing Determinants'!$G$41*$D40,IF($E40="Distribution Rev.",VLOOKUP(U$4,'4. Billing Determinants'!$B$19:$P$41,8,0)/'4. Billing Determinants'!$I$41*$D40, VLOOKUP(U$4,'4. Billing Determinants'!$B$19:$P$41,3,0)/'4. Billing Determinants'!$D$41*$D40))))),0)</f>
        <v>0</v>
      </c>
      <c r="V40" s="70">
        <f>IFERROR(IF(V$4="",0,IF($E40="kWh",VLOOKUP(V$4,'4. Billing Determinants'!$B$19:$P$41,4,0)/'4. Billing Determinants'!$E$41*$D40,IF($E40="kW",VLOOKUP(V$4,'4. Billing Determinants'!$B$19:$P$41,5,0)/'4. Billing Determinants'!$F$41*$D40,IF($E40="Non-RPP kWh",VLOOKUP(V$4,'4. Billing Determinants'!$B$19:$P$41,6,0)/'4. Billing Determinants'!$G$41*$D40,IF($E40="Distribution Rev.",VLOOKUP(V$4,'4. Billing Determinants'!$B$19:$P$41,8,0)/'4. Billing Determinants'!$I$41*$D40, VLOOKUP(V$4,'4. Billing Determinants'!$B$19:$P$41,3,0)/'4. Billing Determinants'!$D$41*$D40))))),0)</f>
        <v>0</v>
      </c>
      <c r="W40" s="70">
        <f>IFERROR(IF(W$4="",0,IF($E40="kWh",VLOOKUP(W$4,'4. Billing Determinants'!$B$19:$P$41,4,0)/'4. Billing Determinants'!$E$41*$D40,IF($E40="kW",VLOOKUP(W$4,'4. Billing Determinants'!$B$19:$P$41,5,0)/'4. Billing Determinants'!$F$41*$D40,IF($E40="Non-RPP kWh",VLOOKUP(W$4,'4. Billing Determinants'!$B$19:$P$41,6,0)/'4. Billing Determinants'!$G$41*$D40,IF($E40="Distribution Rev.",VLOOKUP(W$4,'4. Billing Determinants'!$B$19:$P$41,8,0)/'4. Billing Determinants'!$I$41*$D40, VLOOKUP(W$4,'4. Billing Determinants'!$B$19:$P$41,3,0)/'4. Billing Determinants'!$D$41*$D40))))),0)</f>
        <v>0</v>
      </c>
      <c r="X40" s="70">
        <f>IFERROR(IF(X$4="",0,IF($E40="kWh",VLOOKUP(X$4,'4. Billing Determinants'!$B$19:$P$41,4,0)/'4. Billing Determinants'!$E$41*$D40,IF($E40="kW",VLOOKUP(X$4,'4. Billing Determinants'!$B$19:$P$41,5,0)/'4. Billing Determinants'!$F$41*$D40,IF($E40="Non-RPP kWh",VLOOKUP(X$4,'4. Billing Determinants'!$B$19:$P$41,6,0)/'4. Billing Determinants'!$G$41*$D40,IF($E40="Distribution Rev.",VLOOKUP(X$4,'4. Billing Determinants'!$B$19:$P$41,8,0)/'4. Billing Determinants'!$I$41*$D40, VLOOKUP(X$4,'4. Billing Determinants'!$B$19:$P$41,3,0)/'4. Billing Determinants'!$D$41*$D40))))),0)</f>
        <v>0</v>
      </c>
      <c r="Y40" s="70">
        <f>IFERROR(IF(Y$4="",0,IF($E40="kWh",VLOOKUP(Y$4,'4. Billing Determinants'!$B$19:$P$41,4,0)/'4. Billing Determinants'!$E$41*$D40,IF($E40="kW",VLOOKUP(Y$4,'4. Billing Determinants'!$B$19:$P$41,5,0)/'4. Billing Determinants'!$F$41*$D40,IF($E40="Non-RPP kWh",VLOOKUP(Y$4,'4. Billing Determinants'!$B$19:$P$41,6,0)/'4. Billing Determinants'!$G$41*$D40,IF($E40="Distribution Rev.",VLOOKUP(Y$4,'4. Billing Determinants'!$B$19:$P$41,8,0)/'4. Billing Determinants'!$I$41*$D40, VLOOKUP(Y$4,'4. Billing Determinants'!$B$19:$P$41,3,0)/'4. Billing Determinants'!$D$41*$D40))))),0)</f>
        <v>0</v>
      </c>
    </row>
    <row r="41" spans="1:25" ht="25.5" x14ac:dyDescent="0.2">
      <c r="B41" s="86" t="s">
        <v>117</v>
      </c>
      <c r="C41" s="83">
        <v>1592</v>
      </c>
      <c r="D41" s="70">
        <f>'2. 2014 Continuity Schedule'!BO65</f>
        <v>0</v>
      </c>
      <c r="E41" s="130"/>
      <c r="F41" s="70">
        <f>IFERROR(IF(F$4="",0,IF($E41="kWh",VLOOKUP(F$4,'4. Billing Determinants'!$B$19:$P$41,4,0)/'4. Billing Determinants'!$E$41*$D41,IF($E41="kW",VLOOKUP(F$4,'4. Billing Determinants'!$B$19:$P$41,5,0)/'4. Billing Determinants'!$F$41*$D41,IF($E41="Non-RPP kWh",VLOOKUP(F$4,'4. Billing Determinants'!$B$19:$P$41,6,0)/'4. Billing Determinants'!$G$41*$D41,IF($E41="Distribution Rev.",VLOOKUP(F$4,'4. Billing Determinants'!$B$19:$P$41,8,0)/'4. Billing Determinants'!$I$41*$D41, VLOOKUP(F$4,'4. Billing Determinants'!$B$19:$P$41,3,0)/'4. Billing Determinants'!$D$41*$D41))))),0)</f>
        <v>0</v>
      </c>
      <c r="G41" s="70">
        <f>IFERROR(IF(G$4="",0,IF($E41="kWh",VLOOKUP(G$4,'4. Billing Determinants'!$B$19:$P$41,4,0)/'4. Billing Determinants'!$E$41*$D41,IF($E41="kW",VLOOKUP(G$4,'4. Billing Determinants'!$B$19:$P$41,5,0)/'4. Billing Determinants'!$F$41*$D41,IF($E41="Non-RPP kWh",VLOOKUP(G$4,'4. Billing Determinants'!$B$19:$P$41,6,0)/'4. Billing Determinants'!$G$41*$D41,IF($E41="Distribution Rev.",VLOOKUP(G$4,'4. Billing Determinants'!$B$19:$P$41,8,0)/'4. Billing Determinants'!$I$41*$D41, VLOOKUP(G$4,'4. Billing Determinants'!$B$19:$P$41,3,0)/'4. Billing Determinants'!$D$41*$D41))))),0)</f>
        <v>0</v>
      </c>
      <c r="H41" s="70">
        <f>IFERROR(IF(H$4="",0,IF($E41="kWh",VLOOKUP(H$4,'4. Billing Determinants'!$B$19:$P$41,4,0)/'4. Billing Determinants'!$E$41*$D41,IF($E41="kW",VLOOKUP(H$4,'4. Billing Determinants'!$B$19:$P$41,5,0)/'4. Billing Determinants'!$F$41*$D41,IF($E41="Non-RPP kWh",VLOOKUP(H$4,'4. Billing Determinants'!$B$19:$P$41,6,0)/'4. Billing Determinants'!$G$41*$D41,IF($E41="Distribution Rev.",VLOOKUP(H$4,'4. Billing Determinants'!$B$19:$P$41,8,0)/'4. Billing Determinants'!$I$41*$D41, VLOOKUP(H$4,'4. Billing Determinants'!$B$19:$P$41,3,0)/'4. Billing Determinants'!$D$41*$D41))))),0)</f>
        <v>0</v>
      </c>
      <c r="I41" s="70">
        <f>IFERROR(IF(I$4="",0,IF($E41="kWh",VLOOKUP(I$4,'4. Billing Determinants'!$B$19:$P$41,4,0)/'4. Billing Determinants'!$E$41*$D41,IF($E41="kW",VLOOKUP(I$4,'4. Billing Determinants'!$B$19:$P$41,5,0)/'4. Billing Determinants'!$F$41*$D41,IF($E41="Non-RPP kWh",VLOOKUP(I$4,'4. Billing Determinants'!$B$19:$P$41,6,0)/'4. Billing Determinants'!$G$41*$D41,IF($E41="Distribution Rev.",VLOOKUP(I$4,'4. Billing Determinants'!$B$19:$P$41,8,0)/'4. Billing Determinants'!$I$41*$D41, VLOOKUP(I$4,'4. Billing Determinants'!$B$19:$P$41,3,0)/'4. Billing Determinants'!$D$41*$D41))))),0)</f>
        <v>0</v>
      </c>
      <c r="J41" s="70">
        <f>IFERROR(IF(J$4="",0,IF($E41="kWh",VLOOKUP(J$4,'4. Billing Determinants'!$B$19:$P$41,4,0)/'4. Billing Determinants'!$E$41*$D41,IF($E41="kW",VLOOKUP(J$4,'4. Billing Determinants'!$B$19:$P$41,5,0)/'4. Billing Determinants'!$F$41*$D41,IF($E41="Non-RPP kWh",VLOOKUP(J$4,'4. Billing Determinants'!$B$19:$P$41,6,0)/'4. Billing Determinants'!$G$41*$D41,IF($E41="Distribution Rev.",VLOOKUP(J$4,'4. Billing Determinants'!$B$19:$P$41,8,0)/'4. Billing Determinants'!$I$41*$D41, VLOOKUP(J$4,'4. Billing Determinants'!$B$19:$P$41,3,0)/'4. Billing Determinants'!$D$41*$D41))))),0)</f>
        <v>0</v>
      </c>
      <c r="K41" s="70">
        <f>IFERROR(IF(K$4="",0,IF($E41="kWh",VLOOKUP(K$4,'4. Billing Determinants'!$B$19:$P$41,4,0)/'4. Billing Determinants'!$E$41*$D41,IF($E41="kW",VLOOKUP(K$4,'4. Billing Determinants'!$B$19:$P$41,5,0)/'4. Billing Determinants'!$F$41*$D41,IF($E41="Non-RPP kWh",VLOOKUP(K$4,'4. Billing Determinants'!$B$19:$P$41,6,0)/'4. Billing Determinants'!$G$41*$D41,IF($E41="Distribution Rev.",VLOOKUP(K$4,'4. Billing Determinants'!$B$19:$P$41,8,0)/'4. Billing Determinants'!$I$41*$D41, VLOOKUP(K$4,'4. Billing Determinants'!$B$19:$P$41,3,0)/'4. Billing Determinants'!$D$41*$D41))))),0)</f>
        <v>0</v>
      </c>
      <c r="L41" s="70">
        <f>IFERROR(IF(L$4="",0,IF($E41="kWh",VLOOKUP(L$4,'4. Billing Determinants'!$B$19:$P$41,4,0)/'4. Billing Determinants'!$E$41*$D41,IF($E41="kW",VLOOKUP(L$4,'4. Billing Determinants'!$B$19:$P$41,5,0)/'4. Billing Determinants'!$F$41*$D41,IF($E41="Non-RPP kWh",VLOOKUP(L$4,'4. Billing Determinants'!$B$19:$P$41,6,0)/'4. Billing Determinants'!$G$41*$D41,IF($E41="Distribution Rev.",VLOOKUP(L$4,'4. Billing Determinants'!$B$19:$P$41,8,0)/'4. Billing Determinants'!$I$41*$D41, VLOOKUP(L$4,'4. Billing Determinants'!$B$19:$P$41,3,0)/'4. Billing Determinants'!$D$41*$D41))))),0)</f>
        <v>0</v>
      </c>
      <c r="M41" s="70">
        <f>IFERROR(IF(M$4="",0,IF($E41="kWh",VLOOKUP(M$4,'4. Billing Determinants'!$B$19:$P$41,4,0)/'4. Billing Determinants'!$E$41*$D41,IF($E41="kW",VLOOKUP(M$4,'4. Billing Determinants'!$B$19:$P$41,5,0)/'4. Billing Determinants'!$F$41*$D41,IF($E41="Non-RPP kWh",VLOOKUP(M$4,'4. Billing Determinants'!$B$19:$P$41,6,0)/'4. Billing Determinants'!$G$41*$D41,IF($E41="Distribution Rev.",VLOOKUP(M$4,'4. Billing Determinants'!$B$19:$P$41,8,0)/'4. Billing Determinants'!$I$41*$D41, VLOOKUP(M$4,'4. Billing Determinants'!$B$19:$P$41,3,0)/'4. Billing Determinants'!$D$41*$D41))))),0)</f>
        <v>0</v>
      </c>
      <c r="N41" s="70">
        <f>IFERROR(IF(N$4="",0,IF($E41="kWh",VLOOKUP(N$4,'4. Billing Determinants'!$B$19:$P$41,4,0)/'4. Billing Determinants'!$E$41*$D41,IF($E41="kW",VLOOKUP(N$4,'4. Billing Determinants'!$B$19:$P$41,5,0)/'4. Billing Determinants'!$F$41*$D41,IF($E41="Non-RPP kWh",VLOOKUP(N$4,'4. Billing Determinants'!$B$19:$P$41,6,0)/'4. Billing Determinants'!$G$41*$D41,IF($E41="Distribution Rev.",VLOOKUP(N$4,'4. Billing Determinants'!$B$19:$P$41,8,0)/'4. Billing Determinants'!$I$41*$D41, VLOOKUP(N$4,'4. Billing Determinants'!$B$19:$P$41,3,0)/'4. Billing Determinants'!$D$41*$D41))))),0)</f>
        <v>0</v>
      </c>
      <c r="O41" s="70">
        <f>IFERROR(IF(O$4="",0,IF($E41="kWh",VLOOKUP(O$4,'4. Billing Determinants'!$B$19:$P$41,4,0)/'4. Billing Determinants'!$E$41*$D41,IF($E41="kW",VLOOKUP(O$4,'4. Billing Determinants'!$B$19:$P$41,5,0)/'4. Billing Determinants'!$F$41*$D41,IF($E41="Non-RPP kWh",VLOOKUP(O$4,'4. Billing Determinants'!$B$19:$P$41,6,0)/'4. Billing Determinants'!$G$41*$D41,IF($E41="Distribution Rev.",VLOOKUP(O$4,'4. Billing Determinants'!$B$19:$P$41,8,0)/'4. Billing Determinants'!$I$41*$D41, VLOOKUP(O$4,'4. Billing Determinants'!$B$19:$P$41,3,0)/'4. Billing Determinants'!$D$41*$D41))))),0)</f>
        <v>0</v>
      </c>
      <c r="P41" s="70">
        <f>IFERROR(IF(P$4="",0,IF($E41="kWh",VLOOKUP(P$4,'4. Billing Determinants'!$B$19:$P$41,4,0)/'4. Billing Determinants'!$E$41*$D41,IF($E41="kW",VLOOKUP(P$4,'4. Billing Determinants'!$B$19:$P$41,5,0)/'4. Billing Determinants'!$F$41*$D41,IF($E41="Non-RPP kWh",VLOOKUP(P$4,'4. Billing Determinants'!$B$19:$P$41,6,0)/'4. Billing Determinants'!$G$41*$D41,IF($E41="Distribution Rev.",VLOOKUP(P$4,'4. Billing Determinants'!$B$19:$P$41,8,0)/'4. Billing Determinants'!$I$41*$D41, VLOOKUP(P$4,'4. Billing Determinants'!$B$19:$P$41,3,0)/'4. Billing Determinants'!$D$41*$D41))))),0)</f>
        <v>0</v>
      </c>
      <c r="Q41" s="70">
        <f>IFERROR(IF(Q$4="",0,IF($E41="kWh",VLOOKUP(Q$4,'4. Billing Determinants'!$B$19:$P$41,4,0)/'4. Billing Determinants'!$E$41*$D41,IF($E41="kW",VLOOKUP(Q$4,'4. Billing Determinants'!$B$19:$P$41,5,0)/'4. Billing Determinants'!$F$41*$D41,IF($E41="Non-RPP kWh",VLOOKUP(Q$4,'4. Billing Determinants'!$B$19:$P$41,6,0)/'4. Billing Determinants'!$G$41*$D41,IF($E41="Distribution Rev.",VLOOKUP(Q$4,'4. Billing Determinants'!$B$19:$P$41,8,0)/'4. Billing Determinants'!$I$41*$D41, VLOOKUP(Q$4,'4. Billing Determinants'!$B$19:$P$41,3,0)/'4. Billing Determinants'!$D$41*$D41))))),0)</f>
        <v>0</v>
      </c>
      <c r="R41" s="70">
        <f>IFERROR(IF(R$4="",0,IF($E41="kWh",VLOOKUP(R$4,'4. Billing Determinants'!$B$19:$P$41,4,0)/'4. Billing Determinants'!$E$41*$D41,IF($E41="kW",VLOOKUP(R$4,'4. Billing Determinants'!$B$19:$P$41,5,0)/'4. Billing Determinants'!$F$41*$D41,IF($E41="Non-RPP kWh",VLOOKUP(R$4,'4. Billing Determinants'!$B$19:$P$41,6,0)/'4. Billing Determinants'!$G$41*$D41,IF($E41="Distribution Rev.",VLOOKUP(R$4,'4. Billing Determinants'!$B$19:$P$41,8,0)/'4. Billing Determinants'!$I$41*$D41, VLOOKUP(R$4,'4. Billing Determinants'!$B$19:$P$41,3,0)/'4. Billing Determinants'!$D$41*$D41))))),0)</f>
        <v>0</v>
      </c>
      <c r="S41" s="70">
        <f>IFERROR(IF(S$4="",0,IF($E41="kWh",VLOOKUP(S$4,'4. Billing Determinants'!$B$19:$P$41,4,0)/'4. Billing Determinants'!$E$41*$D41,IF($E41="kW",VLOOKUP(S$4,'4. Billing Determinants'!$B$19:$P$41,5,0)/'4. Billing Determinants'!$F$41*$D41,IF($E41="Non-RPP kWh",VLOOKUP(S$4,'4. Billing Determinants'!$B$19:$P$41,6,0)/'4. Billing Determinants'!$G$41*$D41,IF($E41="Distribution Rev.",VLOOKUP(S$4,'4. Billing Determinants'!$B$19:$P$41,8,0)/'4. Billing Determinants'!$I$41*$D41, VLOOKUP(S$4,'4. Billing Determinants'!$B$19:$P$41,3,0)/'4. Billing Determinants'!$D$41*$D41))))),0)</f>
        <v>0</v>
      </c>
      <c r="T41" s="70">
        <f>IFERROR(IF(T$4="",0,IF($E41="kWh",VLOOKUP(T$4,'4. Billing Determinants'!$B$19:$P$41,4,0)/'4. Billing Determinants'!$E$41*$D41,IF($E41="kW",VLOOKUP(T$4,'4. Billing Determinants'!$B$19:$P$41,5,0)/'4. Billing Determinants'!$F$41*$D41,IF($E41="Non-RPP kWh",VLOOKUP(T$4,'4. Billing Determinants'!$B$19:$P$41,6,0)/'4. Billing Determinants'!$G$41*$D41,IF($E41="Distribution Rev.",VLOOKUP(T$4,'4. Billing Determinants'!$B$19:$P$41,8,0)/'4. Billing Determinants'!$I$41*$D41, VLOOKUP(T$4,'4. Billing Determinants'!$B$19:$P$41,3,0)/'4. Billing Determinants'!$D$41*$D41))))),0)</f>
        <v>0</v>
      </c>
      <c r="U41" s="70">
        <f>IFERROR(IF(U$4="",0,IF($E41="kWh",VLOOKUP(U$4,'4. Billing Determinants'!$B$19:$P$41,4,0)/'4. Billing Determinants'!$E$41*$D41,IF($E41="kW",VLOOKUP(U$4,'4. Billing Determinants'!$B$19:$P$41,5,0)/'4. Billing Determinants'!$F$41*$D41,IF($E41="Non-RPP kWh",VLOOKUP(U$4,'4. Billing Determinants'!$B$19:$P$41,6,0)/'4. Billing Determinants'!$G$41*$D41,IF($E41="Distribution Rev.",VLOOKUP(U$4,'4. Billing Determinants'!$B$19:$P$41,8,0)/'4. Billing Determinants'!$I$41*$D41, VLOOKUP(U$4,'4. Billing Determinants'!$B$19:$P$41,3,0)/'4. Billing Determinants'!$D$41*$D41))))),0)</f>
        <v>0</v>
      </c>
      <c r="V41" s="70">
        <f>IFERROR(IF(V$4="",0,IF($E41="kWh",VLOOKUP(V$4,'4. Billing Determinants'!$B$19:$P$41,4,0)/'4. Billing Determinants'!$E$41*$D41,IF($E41="kW",VLOOKUP(V$4,'4. Billing Determinants'!$B$19:$P$41,5,0)/'4. Billing Determinants'!$F$41*$D41,IF($E41="Non-RPP kWh",VLOOKUP(V$4,'4. Billing Determinants'!$B$19:$P$41,6,0)/'4. Billing Determinants'!$G$41*$D41,IF($E41="Distribution Rev.",VLOOKUP(V$4,'4. Billing Determinants'!$B$19:$P$41,8,0)/'4. Billing Determinants'!$I$41*$D41, VLOOKUP(V$4,'4. Billing Determinants'!$B$19:$P$41,3,0)/'4. Billing Determinants'!$D$41*$D41))))),0)</f>
        <v>0</v>
      </c>
      <c r="W41" s="70">
        <f>IFERROR(IF(W$4="",0,IF($E41="kWh",VLOOKUP(W$4,'4. Billing Determinants'!$B$19:$P$41,4,0)/'4. Billing Determinants'!$E$41*$D41,IF($E41="kW",VLOOKUP(W$4,'4. Billing Determinants'!$B$19:$P$41,5,0)/'4. Billing Determinants'!$F$41*$D41,IF($E41="Non-RPP kWh",VLOOKUP(W$4,'4. Billing Determinants'!$B$19:$P$41,6,0)/'4. Billing Determinants'!$G$41*$D41,IF($E41="Distribution Rev.",VLOOKUP(W$4,'4. Billing Determinants'!$B$19:$P$41,8,0)/'4. Billing Determinants'!$I$41*$D41, VLOOKUP(W$4,'4. Billing Determinants'!$B$19:$P$41,3,0)/'4. Billing Determinants'!$D$41*$D41))))),0)</f>
        <v>0</v>
      </c>
      <c r="X41" s="70">
        <f>IFERROR(IF(X$4="",0,IF($E41="kWh",VLOOKUP(X$4,'4. Billing Determinants'!$B$19:$P$41,4,0)/'4. Billing Determinants'!$E$41*$D41,IF($E41="kW",VLOOKUP(X$4,'4. Billing Determinants'!$B$19:$P$41,5,0)/'4. Billing Determinants'!$F$41*$D41,IF($E41="Non-RPP kWh",VLOOKUP(X$4,'4. Billing Determinants'!$B$19:$P$41,6,0)/'4. Billing Determinants'!$G$41*$D41,IF($E41="Distribution Rev.",VLOOKUP(X$4,'4. Billing Determinants'!$B$19:$P$41,8,0)/'4. Billing Determinants'!$I$41*$D41, VLOOKUP(X$4,'4. Billing Determinants'!$B$19:$P$41,3,0)/'4. Billing Determinants'!$D$41*$D41))))),0)</f>
        <v>0</v>
      </c>
      <c r="Y41" s="70">
        <f>IFERROR(IF(Y$4="",0,IF($E41="kWh",VLOOKUP(Y$4,'4. Billing Determinants'!$B$19:$P$41,4,0)/'4. Billing Determinants'!$E$41*$D41,IF($E41="kW",VLOOKUP(Y$4,'4. Billing Determinants'!$B$19:$P$41,5,0)/'4. Billing Determinants'!$F$41*$D41,IF($E41="Non-RPP kWh",VLOOKUP(Y$4,'4. Billing Determinants'!$B$19:$P$41,6,0)/'4. Billing Determinants'!$G$41*$D41,IF($E41="Distribution Rev.",VLOOKUP(Y$4,'4. Billing Determinants'!$B$19:$P$41,8,0)/'4. Billing Determinants'!$I$41*$D41, VLOOKUP(Y$4,'4. Billing Determinants'!$B$19:$P$41,3,0)/'4. Billing Determinants'!$D$41*$D41))))),0)</f>
        <v>0</v>
      </c>
    </row>
    <row r="42" spans="1:25" ht="25.5" x14ac:dyDescent="0.2">
      <c r="B42" s="86" t="s">
        <v>112</v>
      </c>
      <c r="C42" s="83">
        <v>1592</v>
      </c>
      <c r="D42" s="70">
        <f>'2. 2014 Continuity Schedule'!BO66</f>
        <v>-63049.565979999992</v>
      </c>
      <c r="E42" s="130" t="s">
        <v>297</v>
      </c>
      <c r="F42" s="70">
        <f>IFERROR(IF(F$4="",0,IF($E42="kWh",VLOOKUP(F$4,'4. Billing Determinants'!$B$19:$P$41,4,0)/'4. Billing Determinants'!$E$41*$D42,IF($E42="kW",VLOOKUP(F$4,'4. Billing Determinants'!$B$19:$P$41,5,0)/'4. Billing Determinants'!$F$41*$D42,IF($E42="Non-RPP kWh",VLOOKUP(F$4,'4. Billing Determinants'!$B$19:$P$41,6,0)/'4. Billing Determinants'!$G$41*$D42,IF($E42="Distribution Rev.",VLOOKUP(F$4,'4. Billing Determinants'!$B$19:$P$41,8,0)/'4. Billing Determinants'!$I$41*$D42, VLOOKUP(F$4,'4. Billing Determinants'!$B$19:$P$41,3,0)/'4. Billing Determinants'!$D$41*$D42))))),0)</f>
        <v>-35412.654286530102</v>
      </c>
      <c r="G42" s="70">
        <f>IFERROR(IF(G$4="",0,IF($E42="kWh",VLOOKUP(G$4,'4. Billing Determinants'!$B$19:$P$41,4,0)/'4. Billing Determinants'!$E$41*$D42,IF($E42="kW",VLOOKUP(G$4,'4. Billing Determinants'!$B$19:$P$41,5,0)/'4. Billing Determinants'!$F$41*$D42,IF($E42="Non-RPP kWh",VLOOKUP(G$4,'4. Billing Determinants'!$B$19:$P$41,6,0)/'4. Billing Determinants'!$G$41*$D42,IF($E42="Distribution Rev.",VLOOKUP(G$4,'4. Billing Determinants'!$B$19:$P$41,8,0)/'4. Billing Determinants'!$I$41*$D42, VLOOKUP(G$4,'4. Billing Determinants'!$B$19:$P$41,3,0)/'4. Billing Determinants'!$D$41*$D42))))),0)</f>
        <v>-7749.5148711315669</v>
      </c>
      <c r="H42" s="70">
        <f>IFERROR(IF(H$4="",0,IF($E42="kWh",VLOOKUP(H$4,'4. Billing Determinants'!$B$19:$P$41,4,0)/'4. Billing Determinants'!$E$41*$D42,IF($E42="kW",VLOOKUP(H$4,'4. Billing Determinants'!$B$19:$P$41,5,0)/'4. Billing Determinants'!$F$41*$D42,IF($E42="Non-RPP kWh",VLOOKUP(H$4,'4. Billing Determinants'!$B$19:$P$41,6,0)/'4. Billing Determinants'!$G$41*$D42,IF($E42="Distribution Rev.",VLOOKUP(H$4,'4. Billing Determinants'!$B$19:$P$41,8,0)/'4. Billing Determinants'!$I$41*$D42, VLOOKUP(H$4,'4. Billing Determinants'!$B$19:$P$41,3,0)/'4. Billing Determinants'!$D$41*$D42))))),0)</f>
        <v>-19092.456997874458</v>
      </c>
      <c r="I42" s="70">
        <f>IFERROR(IF(I$4="",0,IF($E42="kWh",VLOOKUP(I$4,'4. Billing Determinants'!$B$19:$P$41,4,0)/'4. Billing Determinants'!$E$41*$D42,IF($E42="kW",VLOOKUP(I$4,'4. Billing Determinants'!$B$19:$P$41,5,0)/'4. Billing Determinants'!$F$41*$D42,IF($E42="Non-RPP kWh",VLOOKUP(I$4,'4. Billing Determinants'!$B$19:$P$41,6,0)/'4. Billing Determinants'!$G$41*$D42,IF($E42="Distribution Rev.",VLOOKUP(I$4,'4. Billing Determinants'!$B$19:$P$41,8,0)/'4. Billing Determinants'!$I$41*$D42, VLOOKUP(I$4,'4. Billing Determinants'!$B$19:$P$41,3,0)/'4. Billing Determinants'!$D$41*$D42))))),0)</f>
        <v>-298.88823368710331</v>
      </c>
      <c r="J42" s="70">
        <f>IFERROR(IF(J$4="",0,IF($E42="kWh",VLOOKUP(J$4,'4. Billing Determinants'!$B$19:$P$41,4,0)/'4. Billing Determinants'!$E$41*$D42,IF($E42="kW",VLOOKUP(J$4,'4. Billing Determinants'!$B$19:$P$41,5,0)/'4. Billing Determinants'!$F$41*$D42,IF($E42="Non-RPP kWh",VLOOKUP(J$4,'4. Billing Determinants'!$B$19:$P$41,6,0)/'4. Billing Determinants'!$G$41*$D42,IF($E42="Distribution Rev.",VLOOKUP(J$4,'4. Billing Determinants'!$B$19:$P$41,8,0)/'4. Billing Determinants'!$I$41*$D42, VLOOKUP(J$4,'4. Billing Determinants'!$B$19:$P$41,3,0)/'4. Billing Determinants'!$D$41*$D42))))),0)</f>
        <v>-115.86761410453165</v>
      </c>
      <c r="K42" s="70">
        <f>IFERROR(IF(K$4="",0,IF($E42="kWh",VLOOKUP(K$4,'4. Billing Determinants'!$B$19:$P$41,4,0)/'4. Billing Determinants'!$E$41*$D42,IF($E42="kW",VLOOKUP(K$4,'4. Billing Determinants'!$B$19:$P$41,5,0)/'4. Billing Determinants'!$F$41*$D42,IF($E42="Non-RPP kWh",VLOOKUP(K$4,'4. Billing Determinants'!$B$19:$P$41,6,0)/'4. Billing Determinants'!$G$41*$D42,IF($E42="Distribution Rev.",VLOOKUP(K$4,'4. Billing Determinants'!$B$19:$P$41,8,0)/'4. Billing Determinants'!$I$41*$D42, VLOOKUP(K$4,'4. Billing Determinants'!$B$19:$P$41,3,0)/'4. Billing Determinants'!$D$41*$D42))))),0)</f>
        <v>-380.18397667222712</v>
      </c>
      <c r="L42" s="70">
        <f>IFERROR(IF(L$4="",0,IF($E42="kWh",VLOOKUP(L$4,'4. Billing Determinants'!$B$19:$P$41,4,0)/'4. Billing Determinants'!$E$41*$D42,IF($E42="kW",VLOOKUP(L$4,'4. Billing Determinants'!$B$19:$P$41,5,0)/'4. Billing Determinants'!$F$41*$D42,IF($E42="Non-RPP kWh",VLOOKUP(L$4,'4. Billing Determinants'!$B$19:$P$41,6,0)/'4. Billing Determinants'!$G$41*$D42,IF($E42="Distribution Rev.",VLOOKUP(L$4,'4. Billing Determinants'!$B$19:$P$41,8,0)/'4. Billing Determinants'!$I$41*$D42, VLOOKUP(L$4,'4. Billing Determinants'!$B$19:$P$41,3,0)/'4. Billing Determinants'!$D$41*$D42))))),0)</f>
        <v>0</v>
      </c>
      <c r="M42" s="70">
        <f>IFERROR(IF(M$4="",0,IF($E42="kWh",VLOOKUP(M$4,'4. Billing Determinants'!$B$19:$P$41,4,0)/'4. Billing Determinants'!$E$41*$D42,IF($E42="kW",VLOOKUP(M$4,'4. Billing Determinants'!$B$19:$P$41,5,0)/'4. Billing Determinants'!$F$41*$D42,IF($E42="Non-RPP kWh",VLOOKUP(M$4,'4. Billing Determinants'!$B$19:$P$41,6,0)/'4. Billing Determinants'!$G$41*$D42,IF($E42="Distribution Rev.",VLOOKUP(M$4,'4. Billing Determinants'!$B$19:$P$41,8,0)/'4. Billing Determinants'!$I$41*$D42, VLOOKUP(M$4,'4. Billing Determinants'!$B$19:$P$41,3,0)/'4. Billing Determinants'!$D$41*$D42))))),0)</f>
        <v>0</v>
      </c>
      <c r="N42" s="70">
        <f>IFERROR(IF(N$4="",0,IF($E42="kWh",VLOOKUP(N$4,'4. Billing Determinants'!$B$19:$P$41,4,0)/'4. Billing Determinants'!$E$41*$D42,IF($E42="kW",VLOOKUP(N$4,'4. Billing Determinants'!$B$19:$P$41,5,0)/'4. Billing Determinants'!$F$41*$D42,IF($E42="Non-RPP kWh",VLOOKUP(N$4,'4. Billing Determinants'!$B$19:$P$41,6,0)/'4. Billing Determinants'!$G$41*$D42,IF($E42="Distribution Rev.",VLOOKUP(N$4,'4. Billing Determinants'!$B$19:$P$41,8,0)/'4. Billing Determinants'!$I$41*$D42, VLOOKUP(N$4,'4. Billing Determinants'!$B$19:$P$41,3,0)/'4. Billing Determinants'!$D$41*$D42))))),0)</f>
        <v>0</v>
      </c>
      <c r="O42" s="70">
        <f>IFERROR(IF(O$4="",0,IF($E42="kWh",VLOOKUP(O$4,'4. Billing Determinants'!$B$19:$P$41,4,0)/'4. Billing Determinants'!$E$41*$D42,IF($E42="kW",VLOOKUP(O$4,'4. Billing Determinants'!$B$19:$P$41,5,0)/'4. Billing Determinants'!$F$41*$D42,IF($E42="Non-RPP kWh",VLOOKUP(O$4,'4. Billing Determinants'!$B$19:$P$41,6,0)/'4. Billing Determinants'!$G$41*$D42,IF($E42="Distribution Rev.",VLOOKUP(O$4,'4. Billing Determinants'!$B$19:$P$41,8,0)/'4. Billing Determinants'!$I$41*$D42, VLOOKUP(O$4,'4. Billing Determinants'!$B$19:$P$41,3,0)/'4. Billing Determinants'!$D$41*$D42))))),0)</f>
        <v>0</v>
      </c>
      <c r="P42" s="70">
        <f>IFERROR(IF(P$4="",0,IF($E42="kWh",VLOOKUP(P$4,'4. Billing Determinants'!$B$19:$P$41,4,0)/'4. Billing Determinants'!$E$41*$D42,IF($E42="kW",VLOOKUP(P$4,'4. Billing Determinants'!$B$19:$P$41,5,0)/'4. Billing Determinants'!$F$41*$D42,IF($E42="Non-RPP kWh",VLOOKUP(P$4,'4. Billing Determinants'!$B$19:$P$41,6,0)/'4. Billing Determinants'!$G$41*$D42,IF($E42="Distribution Rev.",VLOOKUP(P$4,'4. Billing Determinants'!$B$19:$P$41,8,0)/'4. Billing Determinants'!$I$41*$D42, VLOOKUP(P$4,'4. Billing Determinants'!$B$19:$P$41,3,0)/'4. Billing Determinants'!$D$41*$D42))))),0)</f>
        <v>0</v>
      </c>
      <c r="Q42" s="70">
        <f>IFERROR(IF(Q$4="",0,IF($E42="kWh",VLOOKUP(Q$4,'4. Billing Determinants'!$B$19:$P$41,4,0)/'4. Billing Determinants'!$E$41*$D42,IF($E42="kW",VLOOKUP(Q$4,'4. Billing Determinants'!$B$19:$P$41,5,0)/'4. Billing Determinants'!$F$41*$D42,IF($E42="Non-RPP kWh",VLOOKUP(Q$4,'4. Billing Determinants'!$B$19:$P$41,6,0)/'4. Billing Determinants'!$G$41*$D42,IF($E42="Distribution Rev.",VLOOKUP(Q$4,'4. Billing Determinants'!$B$19:$P$41,8,0)/'4. Billing Determinants'!$I$41*$D42, VLOOKUP(Q$4,'4. Billing Determinants'!$B$19:$P$41,3,0)/'4. Billing Determinants'!$D$41*$D42))))),0)</f>
        <v>0</v>
      </c>
      <c r="R42" s="70">
        <f>IFERROR(IF(R$4="",0,IF($E42="kWh",VLOOKUP(R$4,'4. Billing Determinants'!$B$19:$P$41,4,0)/'4. Billing Determinants'!$E$41*$D42,IF($E42="kW",VLOOKUP(R$4,'4. Billing Determinants'!$B$19:$P$41,5,0)/'4. Billing Determinants'!$F$41*$D42,IF($E42="Non-RPP kWh",VLOOKUP(R$4,'4. Billing Determinants'!$B$19:$P$41,6,0)/'4. Billing Determinants'!$G$41*$D42,IF($E42="Distribution Rev.",VLOOKUP(R$4,'4. Billing Determinants'!$B$19:$P$41,8,0)/'4. Billing Determinants'!$I$41*$D42, VLOOKUP(R$4,'4. Billing Determinants'!$B$19:$P$41,3,0)/'4. Billing Determinants'!$D$41*$D42))))),0)</f>
        <v>0</v>
      </c>
      <c r="S42" s="70">
        <f>IFERROR(IF(S$4="",0,IF($E42="kWh",VLOOKUP(S$4,'4. Billing Determinants'!$B$19:$P$41,4,0)/'4. Billing Determinants'!$E$41*$D42,IF($E42="kW",VLOOKUP(S$4,'4. Billing Determinants'!$B$19:$P$41,5,0)/'4. Billing Determinants'!$F$41*$D42,IF($E42="Non-RPP kWh",VLOOKUP(S$4,'4. Billing Determinants'!$B$19:$P$41,6,0)/'4. Billing Determinants'!$G$41*$D42,IF($E42="Distribution Rev.",VLOOKUP(S$4,'4. Billing Determinants'!$B$19:$P$41,8,0)/'4. Billing Determinants'!$I$41*$D42, VLOOKUP(S$4,'4. Billing Determinants'!$B$19:$P$41,3,0)/'4. Billing Determinants'!$D$41*$D42))))),0)</f>
        <v>0</v>
      </c>
      <c r="T42" s="70">
        <f>IFERROR(IF(T$4="",0,IF($E42="kWh",VLOOKUP(T$4,'4. Billing Determinants'!$B$19:$P$41,4,0)/'4. Billing Determinants'!$E$41*$D42,IF($E42="kW",VLOOKUP(T$4,'4. Billing Determinants'!$B$19:$P$41,5,0)/'4. Billing Determinants'!$F$41*$D42,IF($E42="Non-RPP kWh",VLOOKUP(T$4,'4. Billing Determinants'!$B$19:$P$41,6,0)/'4. Billing Determinants'!$G$41*$D42,IF($E42="Distribution Rev.",VLOOKUP(T$4,'4. Billing Determinants'!$B$19:$P$41,8,0)/'4. Billing Determinants'!$I$41*$D42, VLOOKUP(T$4,'4. Billing Determinants'!$B$19:$P$41,3,0)/'4. Billing Determinants'!$D$41*$D42))))),0)</f>
        <v>0</v>
      </c>
      <c r="U42" s="70">
        <f>IFERROR(IF(U$4="",0,IF($E42="kWh",VLOOKUP(U$4,'4. Billing Determinants'!$B$19:$P$41,4,0)/'4. Billing Determinants'!$E$41*$D42,IF($E42="kW",VLOOKUP(U$4,'4. Billing Determinants'!$B$19:$P$41,5,0)/'4. Billing Determinants'!$F$41*$D42,IF($E42="Non-RPP kWh",VLOOKUP(U$4,'4. Billing Determinants'!$B$19:$P$41,6,0)/'4. Billing Determinants'!$G$41*$D42,IF($E42="Distribution Rev.",VLOOKUP(U$4,'4. Billing Determinants'!$B$19:$P$41,8,0)/'4. Billing Determinants'!$I$41*$D42, VLOOKUP(U$4,'4. Billing Determinants'!$B$19:$P$41,3,0)/'4. Billing Determinants'!$D$41*$D42))))),0)</f>
        <v>0</v>
      </c>
      <c r="V42" s="70">
        <f>IFERROR(IF(V$4="",0,IF($E42="kWh",VLOOKUP(V$4,'4. Billing Determinants'!$B$19:$P$41,4,0)/'4. Billing Determinants'!$E$41*$D42,IF($E42="kW",VLOOKUP(V$4,'4. Billing Determinants'!$B$19:$P$41,5,0)/'4. Billing Determinants'!$F$41*$D42,IF($E42="Non-RPP kWh",VLOOKUP(V$4,'4. Billing Determinants'!$B$19:$P$41,6,0)/'4. Billing Determinants'!$G$41*$D42,IF($E42="Distribution Rev.",VLOOKUP(V$4,'4. Billing Determinants'!$B$19:$P$41,8,0)/'4. Billing Determinants'!$I$41*$D42, VLOOKUP(V$4,'4. Billing Determinants'!$B$19:$P$41,3,0)/'4. Billing Determinants'!$D$41*$D42))))),0)</f>
        <v>0</v>
      </c>
      <c r="W42" s="70">
        <f>IFERROR(IF(W$4="",0,IF($E42="kWh",VLOOKUP(W$4,'4. Billing Determinants'!$B$19:$P$41,4,0)/'4. Billing Determinants'!$E$41*$D42,IF($E42="kW",VLOOKUP(W$4,'4. Billing Determinants'!$B$19:$P$41,5,0)/'4. Billing Determinants'!$F$41*$D42,IF($E42="Non-RPP kWh",VLOOKUP(W$4,'4. Billing Determinants'!$B$19:$P$41,6,0)/'4. Billing Determinants'!$G$41*$D42,IF($E42="Distribution Rev.",VLOOKUP(W$4,'4. Billing Determinants'!$B$19:$P$41,8,0)/'4. Billing Determinants'!$I$41*$D42, VLOOKUP(W$4,'4. Billing Determinants'!$B$19:$P$41,3,0)/'4. Billing Determinants'!$D$41*$D42))))),0)</f>
        <v>0</v>
      </c>
      <c r="X42" s="70">
        <f>IFERROR(IF(X$4="",0,IF($E42="kWh",VLOOKUP(X$4,'4. Billing Determinants'!$B$19:$P$41,4,0)/'4. Billing Determinants'!$E$41*$D42,IF($E42="kW",VLOOKUP(X$4,'4. Billing Determinants'!$B$19:$P$41,5,0)/'4. Billing Determinants'!$F$41*$D42,IF($E42="Non-RPP kWh",VLOOKUP(X$4,'4. Billing Determinants'!$B$19:$P$41,6,0)/'4. Billing Determinants'!$G$41*$D42,IF($E42="Distribution Rev.",VLOOKUP(X$4,'4. Billing Determinants'!$B$19:$P$41,8,0)/'4. Billing Determinants'!$I$41*$D42, VLOOKUP(X$4,'4. Billing Determinants'!$B$19:$P$41,3,0)/'4. Billing Determinants'!$D$41*$D42))))),0)</f>
        <v>0</v>
      </c>
      <c r="Y42" s="70">
        <f>IFERROR(IF(Y$4="",0,IF($E42="kWh",VLOOKUP(Y$4,'4. Billing Determinants'!$B$19:$P$41,4,0)/'4. Billing Determinants'!$E$41*$D42,IF($E42="kW",VLOOKUP(Y$4,'4. Billing Determinants'!$B$19:$P$41,5,0)/'4. Billing Determinants'!$F$41*$D42,IF($E42="Non-RPP kWh",VLOOKUP(Y$4,'4. Billing Determinants'!$B$19:$P$41,6,0)/'4. Billing Determinants'!$G$41*$D42,IF($E42="Distribution Rev.",VLOOKUP(Y$4,'4. Billing Determinants'!$B$19:$P$41,8,0)/'4. Billing Determinants'!$I$41*$D42, VLOOKUP(Y$4,'4. Billing Determinants'!$B$19:$P$41,3,0)/'4. Billing Determinants'!$D$41*$D42))))),0)</f>
        <v>0</v>
      </c>
    </row>
    <row r="43" spans="1:25" s="57" customFormat="1" x14ac:dyDescent="0.2">
      <c r="A43" s="56"/>
      <c r="B43" s="88" t="s">
        <v>118</v>
      </c>
      <c r="C43" s="90"/>
      <c r="D43" s="89">
        <f>SUM(D40:D42)</f>
        <v>-63049.56598000005</v>
      </c>
      <c r="E43" s="90"/>
      <c r="F43" s="89">
        <f>SUM(F40:F42)</f>
        <v>-35412.654286530153</v>
      </c>
      <c r="G43" s="89">
        <f t="shared" ref="G43:Y43" si="2">SUM(G40:G42)</f>
        <v>-7749.5148711315715</v>
      </c>
      <c r="H43" s="89">
        <f t="shared" si="2"/>
        <v>-19092.456997874458</v>
      </c>
      <c r="I43" s="89">
        <f t="shared" si="2"/>
        <v>-298.88823368710331</v>
      </c>
      <c r="J43" s="89">
        <f t="shared" si="2"/>
        <v>-115.86761410453204</v>
      </c>
      <c r="K43" s="89">
        <f t="shared" si="2"/>
        <v>-380.18397667222712</v>
      </c>
      <c r="L43" s="89">
        <f t="shared" si="2"/>
        <v>0</v>
      </c>
      <c r="M43" s="89">
        <f t="shared" si="2"/>
        <v>0</v>
      </c>
      <c r="N43" s="89">
        <f t="shared" si="2"/>
        <v>0</v>
      </c>
      <c r="O43" s="89">
        <f t="shared" si="2"/>
        <v>0</v>
      </c>
      <c r="P43" s="89">
        <f t="shared" si="2"/>
        <v>0</v>
      </c>
      <c r="Q43" s="89">
        <f t="shared" si="2"/>
        <v>0</v>
      </c>
      <c r="R43" s="89">
        <f t="shared" si="2"/>
        <v>0</v>
      </c>
      <c r="S43" s="89">
        <f t="shared" si="2"/>
        <v>0</v>
      </c>
      <c r="T43" s="89">
        <f t="shared" si="2"/>
        <v>0</v>
      </c>
      <c r="U43" s="89">
        <f t="shared" si="2"/>
        <v>0</v>
      </c>
      <c r="V43" s="89">
        <f t="shared" si="2"/>
        <v>0</v>
      </c>
      <c r="W43" s="89">
        <f t="shared" si="2"/>
        <v>0</v>
      </c>
      <c r="X43" s="89">
        <f t="shared" si="2"/>
        <v>0</v>
      </c>
      <c r="Y43" s="89">
        <f t="shared" si="2"/>
        <v>0</v>
      </c>
    </row>
    <row r="44" spans="1:25" x14ac:dyDescent="0.2">
      <c r="B44" s="77"/>
      <c r="C44" s="80"/>
      <c r="D44" s="81"/>
      <c r="E44" s="80"/>
    </row>
    <row r="45" spans="1:25" x14ac:dyDescent="0.2">
      <c r="B45" s="86" t="s">
        <v>119</v>
      </c>
      <c r="C45" s="83">
        <v>1568</v>
      </c>
      <c r="D45" s="70">
        <f>'2. 2014 Continuity Schedule'!BO71</f>
        <v>0</v>
      </c>
      <c r="E45" s="94"/>
      <c r="F45" s="131"/>
      <c r="G45" s="131"/>
      <c r="H45" s="131"/>
      <c r="I45" s="131"/>
      <c r="J45" s="131"/>
      <c r="K45" s="131"/>
      <c r="L45" s="131"/>
      <c r="M45" s="131"/>
      <c r="N45" s="131"/>
      <c r="O45" s="131"/>
      <c r="P45" s="131"/>
      <c r="Q45" s="131"/>
      <c r="R45" s="131"/>
      <c r="S45" s="131"/>
      <c r="T45" s="131"/>
      <c r="U45" s="131"/>
      <c r="V45" s="131"/>
      <c r="W45" s="131"/>
      <c r="X45" s="131"/>
      <c r="Y45" s="131"/>
    </row>
    <row r="46" spans="1:25" s="76" customFormat="1" x14ac:dyDescent="0.2">
      <c r="B46" s="270" t="s">
        <v>121</v>
      </c>
      <c r="C46" s="270"/>
      <c r="D46" s="95">
        <f>SUM(F45:Y45)</f>
        <v>0</v>
      </c>
    </row>
    <row r="47" spans="1:25" s="76" customFormat="1" x14ac:dyDescent="0.2">
      <c r="B47" s="271" t="s">
        <v>107</v>
      </c>
      <c r="C47" s="271"/>
      <c r="D47" s="79">
        <f>D45-D46</f>
        <v>0</v>
      </c>
      <c r="E47" s="93"/>
    </row>
    <row r="48" spans="1:25" s="76" customFormat="1" x14ac:dyDescent="0.2"/>
    <row r="49" spans="2:25" s="97" customFormat="1" x14ac:dyDescent="0.2">
      <c r="B49" s="272" t="s">
        <v>280</v>
      </c>
      <c r="C49" s="272"/>
      <c r="D49" s="102">
        <f>SUM(F49:Y49)</f>
        <v>-1083704.6494639998</v>
      </c>
      <c r="E49" s="103"/>
      <c r="F49" s="102">
        <f>SUM(F43,F38,F17)</f>
        <v>-201211.7563537042</v>
      </c>
      <c r="G49" s="102">
        <f t="shared" ref="G49:Y49" si="3">SUM(G43,G38,G17)</f>
        <v>-118679.63199444039</v>
      </c>
      <c r="H49" s="102">
        <f t="shared" si="3"/>
        <v>-754435.17938751297</v>
      </c>
      <c r="I49" s="102">
        <f t="shared" si="3"/>
        <v>-2573.6192194990413</v>
      </c>
      <c r="J49" s="102">
        <f t="shared" si="3"/>
        <v>1724.4789608478843</v>
      </c>
      <c r="K49" s="102">
        <f t="shared" si="3"/>
        <v>-8528.9414696911881</v>
      </c>
      <c r="L49" s="102">
        <f t="shared" si="3"/>
        <v>0</v>
      </c>
      <c r="M49" s="102">
        <f t="shared" si="3"/>
        <v>0</v>
      </c>
      <c r="N49" s="102">
        <f t="shared" si="3"/>
        <v>0</v>
      </c>
      <c r="O49" s="102">
        <f t="shared" si="3"/>
        <v>0</v>
      </c>
      <c r="P49" s="102">
        <f t="shared" si="3"/>
        <v>0</v>
      </c>
      <c r="Q49" s="102">
        <f t="shared" si="3"/>
        <v>0</v>
      </c>
      <c r="R49" s="102">
        <f t="shared" si="3"/>
        <v>0</v>
      </c>
      <c r="S49" s="102">
        <f t="shared" si="3"/>
        <v>0</v>
      </c>
      <c r="T49" s="102">
        <f t="shared" si="3"/>
        <v>0</v>
      </c>
      <c r="U49" s="102">
        <f t="shared" si="3"/>
        <v>0</v>
      </c>
      <c r="V49" s="102">
        <f t="shared" si="3"/>
        <v>0</v>
      </c>
      <c r="W49" s="102">
        <f t="shared" si="3"/>
        <v>0</v>
      </c>
      <c r="X49" s="102">
        <f t="shared" si="3"/>
        <v>0</v>
      </c>
      <c r="Y49" s="102">
        <f t="shared" si="3"/>
        <v>0</v>
      </c>
    </row>
    <row r="50" spans="2:25" s="98" customFormat="1" x14ac:dyDescent="0.2">
      <c r="B50" s="272" t="s">
        <v>149</v>
      </c>
      <c r="C50" s="272"/>
      <c r="D50" s="102">
        <f>D11</f>
        <v>1582460.9506639994</v>
      </c>
      <c r="E50" s="102"/>
      <c r="F50" s="102">
        <f>F11</f>
        <v>74796.991134517419</v>
      </c>
      <c r="G50" s="102">
        <f t="shared" ref="G50:Y50" si="4">G11</f>
        <v>40890.132523907261</v>
      </c>
      <c r="H50" s="102">
        <f t="shared" si="4"/>
        <v>1449692.9994950823</v>
      </c>
      <c r="I50" s="102">
        <f t="shared" si="4"/>
        <v>0</v>
      </c>
      <c r="J50" s="102">
        <f t="shared" si="4"/>
        <v>118.29690292641583</v>
      </c>
      <c r="K50" s="102">
        <f t="shared" si="4"/>
        <v>16962.530607565808</v>
      </c>
      <c r="L50" s="102">
        <f t="shared" si="4"/>
        <v>0</v>
      </c>
      <c r="M50" s="102">
        <f t="shared" si="4"/>
        <v>0</v>
      </c>
      <c r="N50" s="102">
        <f t="shared" si="4"/>
        <v>0</v>
      </c>
      <c r="O50" s="102">
        <f t="shared" si="4"/>
        <v>0</v>
      </c>
      <c r="P50" s="102">
        <f t="shared" si="4"/>
        <v>0</v>
      </c>
      <c r="Q50" s="102">
        <f t="shared" si="4"/>
        <v>0</v>
      </c>
      <c r="R50" s="102">
        <f t="shared" si="4"/>
        <v>0</v>
      </c>
      <c r="S50" s="102">
        <f t="shared" si="4"/>
        <v>0</v>
      </c>
      <c r="T50" s="102">
        <f t="shared" si="4"/>
        <v>0</v>
      </c>
      <c r="U50" s="102">
        <f t="shared" si="4"/>
        <v>0</v>
      </c>
      <c r="V50" s="102">
        <f t="shared" si="4"/>
        <v>0</v>
      </c>
      <c r="W50" s="102">
        <f t="shared" si="4"/>
        <v>0</v>
      </c>
      <c r="X50" s="102">
        <f t="shared" si="4"/>
        <v>0</v>
      </c>
      <c r="Y50" s="102">
        <f t="shared" si="4"/>
        <v>0</v>
      </c>
    </row>
    <row r="51" spans="2:25" s="76" customFormat="1" x14ac:dyDescent="0.2">
      <c r="B51" s="273" t="s">
        <v>281</v>
      </c>
      <c r="C51" s="273"/>
      <c r="D51" s="104">
        <f>SUM(D49:D50)</f>
        <v>498756.30119999964</v>
      </c>
      <c r="E51" s="105"/>
      <c r="F51" s="104">
        <f t="shared" ref="F51:Y51" si="5">SUM(F49:F50)</f>
        <v>-126414.76521918678</v>
      </c>
      <c r="G51" s="104">
        <f t="shared" si="5"/>
        <v>-77789.499470533134</v>
      </c>
      <c r="H51" s="104">
        <f t="shared" si="5"/>
        <v>695257.82010756934</v>
      </c>
      <c r="I51" s="104">
        <f t="shared" si="5"/>
        <v>-2573.6192194990413</v>
      </c>
      <c r="J51" s="104">
        <f t="shared" si="5"/>
        <v>1842.7758637743002</v>
      </c>
      <c r="K51" s="104">
        <f t="shared" si="5"/>
        <v>8433.5891378746201</v>
      </c>
      <c r="L51" s="104">
        <f t="shared" si="5"/>
        <v>0</v>
      </c>
      <c r="M51" s="104">
        <f t="shared" si="5"/>
        <v>0</v>
      </c>
      <c r="N51" s="104">
        <f t="shared" si="5"/>
        <v>0</v>
      </c>
      <c r="O51" s="104">
        <f t="shared" si="5"/>
        <v>0</v>
      </c>
      <c r="P51" s="104">
        <f t="shared" si="5"/>
        <v>0</v>
      </c>
      <c r="Q51" s="104">
        <f t="shared" si="5"/>
        <v>0</v>
      </c>
      <c r="R51" s="104">
        <f t="shared" si="5"/>
        <v>0</v>
      </c>
      <c r="S51" s="104">
        <f t="shared" si="5"/>
        <v>0</v>
      </c>
      <c r="T51" s="104">
        <f t="shared" si="5"/>
        <v>0</v>
      </c>
      <c r="U51" s="104">
        <f t="shared" si="5"/>
        <v>0</v>
      </c>
      <c r="V51" s="104">
        <f t="shared" si="5"/>
        <v>0</v>
      </c>
      <c r="W51" s="104">
        <f t="shared" si="5"/>
        <v>0</v>
      </c>
      <c r="X51" s="104">
        <f t="shared" si="5"/>
        <v>0</v>
      </c>
      <c r="Y51" s="104">
        <f t="shared" si="5"/>
        <v>0</v>
      </c>
    </row>
    <row r="52" spans="2:25" x14ac:dyDescent="0.2">
      <c r="D52" s="82"/>
    </row>
    <row r="53" spans="2:25" x14ac:dyDescent="0.2">
      <c r="B53" s="71" t="s">
        <v>230</v>
      </c>
      <c r="C53" s="71">
        <v>1575</v>
      </c>
      <c r="D53" s="70">
        <f>'2. 2014 Continuity Schedule'!BO81</f>
        <v>0</v>
      </c>
      <c r="E53" s="130"/>
      <c r="F53" s="70">
        <f>IFERROR(IF(F$4="",0,IF($E53="kWh",VLOOKUP(F$4,'4. Billing Determinants'!$B$19:$P$41,4,0)/'4. Billing Determinants'!$E$41*$D53,IF($E53="kW",VLOOKUP(F$4,'4. Billing Determinants'!$B$19:$P$41,5,0)/'4. Billing Determinants'!$F$41*$D53,IF($E53="Non-RPP kWh",VLOOKUP(F$4,'4. Billing Determinants'!$B$19:$P$41,6,0)/'4. Billing Determinants'!$G$41*$D53,IF($E53="Distribution Rev.",VLOOKUP(F$4,'4. Billing Determinants'!$B$19:$P$41,8,0)/'4. Billing Determinants'!$I$41*$D53, VLOOKUP(F$4,'4. Billing Determinants'!$B$19:$P$41,3,0)/'4. Billing Determinants'!$D$41*$D53))))),0)</f>
        <v>0</v>
      </c>
      <c r="G53" s="70">
        <f>IFERROR(IF(G$4="",0,IF($E53="kWh",VLOOKUP(G$4,'4. Billing Determinants'!$B$19:$P$41,4,0)/'4. Billing Determinants'!$E$41*$D53,IF($E53="kW",VLOOKUP(G$4,'4. Billing Determinants'!$B$19:$P$41,5,0)/'4. Billing Determinants'!$F$41*$D53,IF($E53="Non-RPP kWh",VLOOKUP(G$4,'4. Billing Determinants'!$B$19:$P$41,6,0)/'4. Billing Determinants'!$G$41*$D53,IF($E53="Distribution Rev.",VLOOKUP(G$4,'4. Billing Determinants'!$B$19:$P$41,8,0)/'4. Billing Determinants'!$I$41*$D53, VLOOKUP(G$4,'4. Billing Determinants'!$B$19:$P$41,3,0)/'4. Billing Determinants'!$D$41*$D53))))),0)</f>
        <v>0</v>
      </c>
      <c r="H53" s="70">
        <f>IFERROR(IF(H$4="",0,IF($E53="kWh",VLOOKUP(H$4,'4. Billing Determinants'!$B$19:$P$41,4,0)/'4. Billing Determinants'!$E$41*$D53,IF($E53="kW",VLOOKUP(H$4,'4. Billing Determinants'!$B$19:$P$41,5,0)/'4. Billing Determinants'!$F$41*$D53,IF($E53="Non-RPP kWh",VLOOKUP(H$4,'4. Billing Determinants'!$B$19:$P$41,6,0)/'4. Billing Determinants'!$G$41*$D53,IF($E53="Distribution Rev.",VLOOKUP(H$4,'4. Billing Determinants'!$B$19:$P$41,8,0)/'4. Billing Determinants'!$I$41*$D53, VLOOKUP(H$4,'4. Billing Determinants'!$B$19:$P$41,3,0)/'4. Billing Determinants'!$D$41*$D53))))),0)</f>
        <v>0</v>
      </c>
      <c r="I53" s="70">
        <f>IFERROR(IF(I$4="",0,IF($E53="kWh",VLOOKUP(I$4,'4. Billing Determinants'!$B$19:$P$41,4,0)/'4. Billing Determinants'!$E$41*$D53,IF($E53="kW",VLOOKUP(I$4,'4. Billing Determinants'!$B$19:$P$41,5,0)/'4. Billing Determinants'!$F$41*$D53,IF($E53="Non-RPP kWh",VLOOKUP(I$4,'4. Billing Determinants'!$B$19:$P$41,6,0)/'4. Billing Determinants'!$G$41*$D53,IF($E53="Distribution Rev.",VLOOKUP(I$4,'4. Billing Determinants'!$B$19:$P$41,8,0)/'4. Billing Determinants'!$I$41*$D53, VLOOKUP(I$4,'4. Billing Determinants'!$B$19:$P$41,3,0)/'4. Billing Determinants'!$D$41*$D53))))),0)</f>
        <v>0</v>
      </c>
      <c r="J53" s="70">
        <f>IFERROR(IF(J$4="",0,IF($E53="kWh",VLOOKUP(J$4,'4. Billing Determinants'!$B$19:$P$41,4,0)/'4. Billing Determinants'!$E$41*$D53,IF($E53="kW",VLOOKUP(J$4,'4. Billing Determinants'!$B$19:$P$41,5,0)/'4. Billing Determinants'!$F$41*$D53,IF($E53="Non-RPP kWh",VLOOKUP(J$4,'4. Billing Determinants'!$B$19:$P$41,6,0)/'4. Billing Determinants'!$G$41*$D53,IF($E53="Distribution Rev.",VLOOKUP(J$4,'4. Billing Determinants'!$B$19:$P$41,8,0)/'4. Billing Determinants'!$I$41*$D53, VLOOKUP(J$4,'4. Billing Determinants'!$B$19:$P$41,3,0)/'4. Billing Determinants'!$D$41*$D53))))),0)</f>
        <v>0</v>
      </c>
      <c r="K53" s="70">
        <f>IFERROR(IF(K$4="",0,IF($E53="kWh",VLOOKUP(K$4,'4. Billing Determinants'!$B$19:$P$41,4,0)/'4. Billing Determinants'!$E$41*$D53,IF($E53="kW",VLOOKUP(K$4,'4. Billing Determinants'!$B$19:$P$41,5,0)/'4. Billing Determinants'!$F$41*$D53,IF($E53="Non-RPP kWh",VLOOKUP(K$4,'4. Billing Determinants'!$B$19:$P$41,6,0)/'4. Billing Determinants'!$G$41*$D53,IF($E53="Distribution Rev.",VLOOKUP(K$4,'4. Billing Determinants'!$B$19:$P$41,8,0)/'4. Billing Determinants'!$I$41*$D53, VLOOKUP(K$4,'4. Billing Determinants'!$B$19:$P$41,3,0)/'4. Billing Determinants'!$D$41*$D53))))),0)</f>
        <v>0</v>
      </c>
      <c r="L53" s="70">
        <f>IFERROR(IF(L$4="",0,IF($E53="kWh",VLOOKUP(L$4,'4. Billing Determinants'!$B$19:$P$41,4,0)/'4. Billing Determinants'!$E$41*$D53,IF($E53="kW",VLOOKUP(L$4,'4. Billing Determinants'!$B$19:$P$41,5,0)/'4. Billing Determinants'!$F$41*$D53,IF($E53="Non-RPP kWh",VLOOKUP(L$4,'4. Billing Determinants'!$B$19:$P$41,6,0)/'4. Billing Determinants'!$G$41*$D53,IF($E53="Distribution Rev.",VLOOKUP(L$4,'4. Billing Determinants'!$B$19:$P$41,8,0)/'4. Billing Determinants'!$I$41*$D53, VLOOKUP(L$4,'4. Billing Determinants'!$B$19:$P$41,3,0)/'4. Billing Determinants'!$D$41*$D53))))),0)</f>
        <v>0</v>
      </c>
      <c r="M53" s="70">
        <f>IFERROR(IF(M$4="",0,IF($E53="kWh",VLOOKUP(M$4,'4. Billing Determinants'!$B$19:$P$41,4,0)/'4. Billing Determinants'!$E$41*$D53,IF($E53="kW",VLOOKUP(M$4,'4. Billing Determinants'!$B$19:$P$41,5,0)/'4. Billing Determinants'!$F$41*$D53,IF($E53="Non-RPP kWh",VLOOKUP(M$4,'4. Billing Determinants'!$B$19:$P$41,6,0)/'4. Billing Determinants'!$G$41*$D53,IF($E53="Distribution Rev.",VLOOKUP(M$4,'4. Billing Determinants'!$B$19:$P$41,8,0)/'4. Billing Determinants'!$I$41*$D53, VLOOKUP(M$4,'4. Billing Determinants'!$B$19:$P$41,3,0)/'4. Billing Determinants'!$D$41*$D53))))),0)</f>
        <v>0</v>
      </c>
      <c r="N53" s="70">
        <f>IFERROR(IF(N$4="",0,IF($E53="kWh",VLOOKUP(N$4,'4. Billing Determinants'!$B$19:$P$41,4,0)/'4. Billing Determinants'!$E$41*$D53,IF($E53="kW",VLOOKUP(N$4,'4. Billing Determinants'!$B$19:$P$41,5,0)/'4. Billing Determinants'!$F$41*$D53,IF($E53="Non-RPP kWh",VLOOKUP(N$4,'4. Billing Determinants'!$B$19:$P$41,6,0)/'4. Billing Determinants'!$G$41*$D53,IF($E53="Distribution Rev.",VLOOKUP(N$4,'4. Billing Determinants'!$B$19:$P$41,8,0)/'4. Billing Determinants'!$I$41*$D53, VLOOKUP(N$4,'4. Billing Determinants'!$B$19:$P$41,3,0)/'4. Billing Determinants'!$D$41*$D53))))),0)</f>
        <v>0</v>
      </c>
      <c r="O53" s="70">
        <f>IFERROR(IF(O$4="",0,IF($E53="kWh",VLOOKUP(O$4,'4. Billing Determinants'!$B$19:$P$41,4,0)/'4. Billing Determinants'!$E$41*$D53,IF($E53="kW",VLOOKUP(O$4,'4. Billing Determinants'!$B$19:$P$41,5,0)/'4. Billing Determinants'!$F$41*$D53,IF($E53="Non-RPP kWh",VLOOKUP(O$4,'4. Billing Determinants'!$B$19:$P$41,6,0)/'4. Billing Determinants'!$G$41*$D53,IF($E53="Distribution Rev.",VLOOKUP(O$4,'4. Billing Determinants'!$B$19:$P$41,8,0)/'4. Billing Determinants'!$I$41*$D53, VLOOKUP(O$4,'4. Billing Determinants'!$B$19:$P$41,3,0)/'4. Billing Determinants'!$D$41*$D53))))),0)</f>
        <v>0</v>
      </c>
      <c r="P53" s="70">
        <f>IFERROR(IF(P$4="",0,IF($E53="kWh",VLOOKUP(P$4,'4. Billing Determinants'!$B$19:$P$41,4,0)/'4. Billing Determinants'!$E$41*$D53,IF($E53="kW",VLOOKUP(P$4,'4. Billing Determinants'!$B$19:$P$41,5,0)/'4. Billing Determinants'!$F$41*$D53,IF($E53="Non-RPP kWh",VLOOKUP(P$4,'4. Billing Determinants'!$B$19:$P$41,6,0)/'4. Billing Determinants'!$G$41*$D53,IF($E53="Distribution Rev.",VLOOKUP(P$4,'4. Billing Determinants'!$B$19:$P$41,8,0)/'4. Billing Determinants'!$I$41*$D53, VLOOKUP(P$4,'4. Billing Determinants'!$B$19:$P$41,3,0)/'4. Billing Determinants'!$D$41*$D53))))),0)</f>
        <v>0</v>
      </c>
      <c r="Q53" s="70">
        <f>IFERROR(IF(Q$4="",0,IF($E53="kWh",VLOOKUP(Q$4,'4. Billing Determinants'!$B$19:$P$41,4,0)/'4. Billing Determinants'!$E$41*$D53,IF($E53="kW",VLOOKUP(Q$4,'4. Billing Determinants'!$B$19:$P$41,5,0)/'4. Billing Determinants'!$F$41*$D53,IF($E53="Non-RPP kWh",VLOOKUP(Q$4,'4. Billing Determinants'!$B$19:$P$41,6,0)/'4. Billing Determinants'!$G$41*$D53,IF($E53="Distribution Rev.",VLOOKUP(Q$4,'4. Billing Determinants'!$B$19:$P$41,8,0)/'4. Billing Determinants'!$I$41*$D53, VLOOKUP(Q$4,'4. Billing Determinants'!$B$19:$P$41,3,0)/'4. Billing Determinants'!$D$41*$D53))))),0)</f>
        <v>0</v>
      </c>
      <c r="R53" s="70">
        <f>IFERROR(IF(R$4="",0,IF($E53="kWh",VLOOKUP(R$4,'4. Billing Determinants'!$B$19:$P$41,4,0)/'4. Billing Determinants'!$E$41*$D53,IF($E53="kW",VLOOKUP(R$4,'4. Billing Determinants'!$B$19:$P$41,5,0)/'4. Billing Determinants'!$F$41*$D53,IF($E53="Non-RPP kWh",VLOOKUP(R$4,'4. Billing Determinants'!$B$19:$P$41,6,0)/'4. Billing Determinants'!$G$41*$D53,IF($E53="Distribution Rev.",VLOOKUP(R$4,'4. Billing Determinants'!$B$19:$P$41,8,0)/'4. Billing Determinants'!$I$41*$D53, VLOOKUP(R$4,'4. Billing Determinants'!$B$19:$P$41,3,0)/'4. Billing Determinants'!$D$41*$D53))))),0)</f>
        <v>0</v>
      </c>
      <c r="S53" s="70">
        <f>IFERROR(IF(S$4="",0,IF($E53="kWh",VLOOKUP(S$4,'4. Billing Determinants'!$B$19:$P$41,4,0)/'4. Billing Determinants'!$E$41*$D53,IF($E53="kW",VLOOKUP(S$4,'4. Billing Determinants'!$B$19:$P$41,5,0)/'4. Billing Determinants'!$F$41*$D53,IF($E53="Non-RPP kWh",VLOOKUP(S$4,'4. Billing Determinants'!$B$19:$P$41,6,0)/'4. Billing Determinants'!$G$41*$D53,IF($E53="Distribution Rev.",VLOOKUP(S$4,'4. Billing Determinants'!$B$19:$P$41,8,0)/'4. Billing Determinants'!$I$41*$D53, VLOOKUP(S$4,'4. Billing Determinants'!$B$19:$P$41,3,0)/'4. Billing Determinants'!$D$41*$D53))))),0)</f>
        <v>0</v>
      </c>
      <c r="T53" s="70">
        <f>IFERROR(IF(T$4="",0,IF($E53="kWh",VLOOKUP(T$4,'4. Billing Determinants'!$B$19:$P$41,4,0)/'4. Billing Determinants'!$E$41*$D53,IF($E53="kW",VLOOKUP(T$4,'4. Billing Determinants'!$B$19:$P$41,5,0)/'4. Billing Determinants'!$F$41*$D53,IF($E53="Non-RPP kWh",VLOOKUP(T$4,'4. Billing Determinants'!$B$19:$P$41,6,0)/'4. Billing Determinants'!$G$41*$D53,IF($E53="Distribution Rev.",VLOOKUP(T$4,'4. Billing Determinants'!$B$19:$P$41,8,0)/'4. Billing Determinants'!$I$41*$D53, VLOOKUP(T$4,'4. Billing Determinants'!$B$19:$P$41,3,0)/'4. Billing Determinants'!$D$41*$D53))))),0)</f>
        <v>0</v>
      </c>
      <c r="U53" s="70">
        <f>IFERROR(IF(U$4="",0,IF($E53="kWh",VLOOKUP(U$4,'4. Billing Determinants'!$B$19:$P$41,4,0)/'4. Billing Determinants'!$E$41*$D53,IF($E53="kW",VLOOKUP(U$4,'4. Billing Determinants'!$B$19:$P$41,5,0)/'4. Billing Determinants'!$F$41*$D53,IF($E53="Non-RPP kWh",VLOOKUP(U$4,'4. Billing Determinants'!$B$19:$P$41,6,0)/'4. Billing Determinants'!$G$41*$D53,IF($E53="Distribution Rev.",VLOOKUP(U$4,'4. Billing Determinants'!$B$19:$P$41,8,0)/'4. Billing Determinants'!$I$41*$D53, VLOOKUP(U$4,'4. Billing Determinants'!$B$19:$P$41,3,0)/'4. Billing Determinants'!$D$41*$D53))))),0)</f>
        <v>0</v>
      </c>
      <c r="V53" s="70">
        <f>IFERROR(IF(V$4="",0,IF($E53="kWh",VLOOKUP(V$4,'4. Billing Determinants'!$B$19:$P$41,4,0)/'4. Billing Determinants'!$E$41*$D53,IF($E53="kW",VLOOKUP(V$4,'4. Billing Determinants'!$B$19:$P$41,5,0)/'4. Billing Determinants'!$F$41*$D53,IF($E53="Non-RPP kWh",VLOOKUP(V$4,'4. Billing Determinants'!$B$19:$P$41,6,0)/'4. Billing Determinants'!$G$41*$D53,IF($E53="Distribution Rev.",VLOOKUP(V$4,'4. Billing Determinants'!$B$19:$P$41,8,0)/'4. Billing Determinants'!$I$41*$D53, VLOOKUP(V$4,'4. Billing Determinants'!$B$19:$P$41,3,0)/'4. Billing Determinants'!$D$41*$D53))))),0)</f>
        <v>0</v>
      </c>
      <c r="W53" s="70">
        <f>IFERROR(IF(W$4="",0,IF($E53="kWh",VLOOKUP(W$4,'4. Billing Determinants'!$B$19:$P$41,4,0)/'4. Billing Determinants'!$E$41*$D53,IF($E53="kW",VLOOKUP(W$4,'4. Billing Determinants'!$B$19:$P$41,5,0)/'4. Billing Determinants'!$F$41*$D53,IF($E53="Non-RPP kWh",VLOOKUP(W$4,'4. Billing Determinants'!$B$19:$P$41,6,0)/'4. Billing Determinants'!$G$41*$D53,IF($E53="Distribution Rev.",VLOOKUP(W$4,'4. Billing Determinants'!$B$19:$P$41,8,0)/'4. Billing Determinants'!$I$41*$D53, VLOOKUP(W$4,'4. Billing Determinants'!$B$19:$P$41,3,0)/'4. Billing Determinants'!$D$41*$D53))))),0)</f>
        <v>0</v>
      </c>
      <c r="X53" s="70">
        <f>IFERROR(IF(X$4="",0,IF($E53="kWh",VLOOKUP(X$4,'4. Billing Determinants'!$B$19:$P$41,4,0)/'4. Billing Determinants'!$E$41*$D53,IF($E53="kW",VLOOKUP(X$4,'4. Billing Determinants'!$B$19:$P$41,5,0)/'4. Billing Determinants'!$F$41*$D53,IF($E53="Non-RPP kWh",VLOOKUP(X$4,'4. Billing Determinants'!$B$19:$P$41,6,0)/'4. Billing Determinants'!$G$41*$D53,IF($E53="Distribution Rev.",VLOOKUP(X$4,'4. Billing Determinants'!$B$19:$P$41,8,0)/'4. Billing Determinants'!$I$41*$D53, VLOOKUP(X$4,'4. Billing Determinants'!$B$19:$P$41,3,0)/'4. Billing Determinants'!$D$41*$D53))))),0)</f>
        <v>0</v>
      </c>
      <c r="Y53" s="70">
        <f>IFERROR(IF(Y$4="",0,IF($E53="kWh",VLOOKUP(Y$4,'4. Billing Determinants'!$B$19:$P$41,4,0)/'4. Billing Determinants'!$E$41*$D53,IF($E53="kW",VLOOKUP(Y$4,'4. Billing Determinants'!$B$19:$P$41,5,0)/'4. Billing Determinants'!$F$41*$D53,IF($E53="Non-RPP kWh",VLOOKUP(Y$4,'4. Billing Determinants'!$B$19:$P$41,6,0)/'4. Billing Determinants'!$G$41*$D53,IF($E53="Distribution Rev.",VLOOKUP(Y$4,'4. Billing Determinants'!$B$19:$P$41,8,0)/'4. Billing Determinants'!$I$41*$D53, VLOOKUP(Y$4,'4. Billing Determinants'!$B$19:$P$41,3,0)/'4. Billing Determinants'!$D$41*$D53))))),0)</f>
        <v>0</v>
      </c>
    </row>
    <row r="54" spans="2:25" x14ac:dyDescent="0.2">
      <c r="B54" s="71" t="s">
        <v>231</v>
      </c>
      <c r="C54" s="71">
        <v>1576</v>
      </c>
      <c r="D54" s="70">
        <f>'2. 2014 Continuity Schedule'!BO82</f>
        <v>-7183832.3493090114</v>
      </c>
      <c r="E54" s="130" t="s">
        <v>276</v>
      </c>
      <c r="F54" s="70">
        <f>IFERROR(IF(F$4="",0,IF($E54="kWh",VLOOKUP(F$4,'4. Billing Determinants'!$B$19:$P$41,4,0)/'4. Billing Determinants'!$E$41*$D54,IF($E54="kW",VLOOKUP(F$4,'4. Billing Determinants'!$B$19:$P$41,5,0)/'4. Billing Determinants'!$F$41*$D54,IF($E54="Non-RPP kWh",VLOOKUP(F$4,'4. Billing Determinants'!$B$19:$P$41,6,0)/'4. Billing Determinants'!$G$41*$D54,IF($E54="Distribution Rev.",VLOOKUP(F$4,'4. Billing Determinants'!$B$19:$P$41,8,0)/'4. Billing Determinants'!$I$41*$D54, VLOOKUP(F$4,'4. Billing Determinants'!$B$19:$P$41,3,0)/'4. Billing Determinants'!$D$41*$D54))))),0)</f>
        <v>-2463502.2346515297</v>
      </c>
      <c r="G54" s="70">
        <f>IFERROR(IF(G$4="",0,IF($E54="kWh",VLOOKUP(G$4,'4. Billing Determinants'!$B$19:$P$41,4,0)/'4. Billing Determinants'!$E$41*$D54,IF($E54="kW",VLOOKUP(G$4,'4. Billing Determinants'!$B$19:$P$41,5,0)/'4. Billing Determinants'!$F$41*$D54,IF($E54="Non-RPP kWh",VLOOKUP(G$4,'4. Billing Determinants'!$B$19:$P$41,6,0)/'4. Billing Determinants'!$G$41*$D54,IF($E54="Distribution Rev.",VLOOKUP(G$4,'4. Billing Determinants'!$B$19:$P$41,8,0)/'4. Billing Determinants'!$I$41*$D54, VLOOKUP(G$4,'4. Billing Determinants'!$B$19:$P$41,3,0)/'4. Billing Determinants'!$D$41*$D54))))),0)</f>
        <v>-741980.96327318321</v>
      </c>
      <c r="H54" s="70">
        <f>IFERROR(IF(H$4="",0,IF($E54="kWh",VLOOKUP(H$4,'4. Billing Determinants'!$B$19:$P$41,4,0)/'4. Billing Determinants'!$E$41*$D54,IF($E54="kW",VLOOKUP(H$4,'4. Billing Determinants'!$B$19:$P$41,5,0)/'4. Billing Determinants'!$F$41*$D54,IF($E54="Non-RPP kWh",VLOOKUP(H$4,'4. Billing Determinants'!$B$19:$P$41,6,0)/'4. Billing Determinants'!$G$41*$D54,IF($E54="Distribution Rev.",VLOOKUP(H$4,'4. Billing Determinants'!$B$19:$P$41,8,0)/'4. Billing Determinants'!$I$41*$D54, VLOOKUP(H$4,'4. Billing Determinants'!$B$19:$P$41,3,0)/'4. Billing Determinants'!$D$41*$D54))))),0)</f>
        <v>-3919445.4675340499</v>
      </c>
      <c r="I54" s="70">
        <f>IFERROR(IF(I$4="",0,IF($E54="kWh",VLOOKUP(I$4,'4. Billing Determinants'!$B$19:$P$41,4,0)/'4. Billing Determinants'!$E$41*$D54,IF($E54="kW",VLOOKUP(I$4,'4. Billing Determinants'!$B$19:$P$41,5,0)/'4. Billing Determinants'!$F$41*$D54,IF($E54="Non-RPP kWh",VLOOKUP(I$4,'4. Billing Determinants'!$B$19:$P$41,6,0)/'4. Billing Determinants'!$G$41*$D54,IF($E54="Distribution Rev.",VLOOKUP(I$4,'4. Billing Determinants'!$B$19:$P$41,8,0)/'4. Billing Determinants'!$I$41*$D54, VLOOKUP(I$4,'4. Billing Determinants'!$B$19:$P$41,3,0)/'4. Billing Determinants'!$D$41*$D54))))),0)</f>
        <v>-13431.174244976539</v>
      </c>
      <c r="J54" s="70">
        <f>IFERROR(IF(J$4="",0,IF($E54="kWh",VLOOKUP(J$4,'4. Billing Determinants'!$B$19:$P$41,4,0)/'4. Billing Determinants'!$E$41*$D54,IF($E54="kW",VLOOKUP(J$4,'4. Billing Determinants'!$B$19:$P$41,5,0)/'4. Billing Determinants'!$F$41*$D54,IF($E54="Non-RPP kWh",VLOOKUP(J$4,'4. Billing Determinants'!$B$19:$P$41,6,0)/'4. Billing Determinants'!$G$41*$D54,IF($E54="Distribution Rev.",VLOOKUP(J$4,'4. Billing Determinants'!$B$19:$P$41,8,0)/'4. Billing Determinants'!$I$41*$D54, VLOOKUP(J$4,'4. Billing Determinants'!$B$19:$P$41,3,0)/'4. Billing Determinants'!$D$41*$D54))))),0)</f>
        <v>-1587.0864250029799</v>
      </c>
      <c r="K54" s="70">
        <f>IFERROR(IF(K$4="",0,IF($E54="kWh",VLOOKUP(K$4,'4. Billing Determinants'!$B$19:$P$41,4,0)/'4. Billing Determinants'!$E$41*$D54,IF($E54="kW",VLOOKUP(K$4,'4. Billing Determinants'!$B$19:$P$41,5,0)/'4. Billing Determinants'!$F$41*$D54,IF($E54="Non-RPP kWh",VLOOKUP(K$4,'4. Billing Determinants'!$B$19:$P$41,6,0)/'4. Billing Determinants'!$G$41*$D54,IF($E54="Distribution Rev.",VLOOKUP(K$4,'4. Billing Determinants'!$B$19:$P$41,8,0)/'4. Billing Determinants'!$I$41*$D54, VLOOKUP(K$4,'4. Billing Determinants'!$B$19:$P$41,3,0)/'4. Billing Determinants'!$D$41*$D54))))),0)</f>
        <v>-43885.423180268772</v>
      </c>
      <c r="L54" s="70">
        <f>IFERROR(IF(L$4="",0,IF($E54="kWh",VLOOKUP(L$4,'4. Billing Determinants'!$B$19:$P$41,4,0)/'4. Billing Determinants'!$E$41*$D54,IF($E54="kW",VLOOKUP(L$4,'4. Billing Determinants'!$B$19:$P$41,5,0)/'4. Billing Determinants'!$F$41*$D54,IF($E54="Non-RPP kWh",VLOOKUP(L$4,'4. Billing Determinants'!$B$19:$P$41,6,0)/'4. Billing Determinants'!$G$41*$D54,IF($E54="Distribution Rev.",VLOOKUP(L$4,'4. Billing Determinants'!$B$19:$P$41,8,0)/'4. Billing Determinants'!$I$41*$D54, VLOOKUP(L$4,'4. Billing Determinants'!$B$19:$P$41,3,0)/'4. Billing Determinants'!$D$41*$D54))))),0)</f>
        <v>0</v>
      </c>
      <c r="M54" s="70">
        <f>IFERROR(IF(M$4="",0,IF($E54="kWh",VLOOKUP(M$4,'4. Billing Determinants'!$B$19:$P$41,4,0)/'4. Billing Determinants'!$E$41*$D54,IF($E54="kW",VLOOKUP(M$4,'4. Billing Determinants'!$B$19:$P$41,5,0)/'4. Billing Determinants'!$F$41*$D54,IF($E54="Non-RPP kWh",VLOOKUP(M$4,'4. Billing Determinants'!$B$19:$P$41,6,0)/'4. Billing Determinants'!$G$41*$D54,IF($E54="Distribution Rev.",VLOOKUP(M$4,'4. Billing Determinants'!$B$19:$P$41,8,0)/'4. Billing Determinants'!$I$41*$D54, VLOOKUP(M$4,'4. Billing Determinants'!$B$19:$P$41,3,0)/'4. Billing Determinants'!$D$41*$D54))))),0)</f>
        <v>0</v>
      </c>
      <c r="N54" s="70">
        <f>IFERROR(IF(N$4="",0,IF($E54="kWh",VLOOKUP(N$4,'4. Billing Determinants'!$B$19:$P$41,4,0)/'4. Billing Determinants'!$E$41*$D54,IF($E54="kW",VLOOKUP(N$4,'4. Billing Determinants'!$B$19:$P$41,5,0)/'4. Billing Determinants'!$F$41*$D54,IF($E54="Non-RPP kWh",VLOOKUP(N$4,'4. Billing Determinants'!$B$19:$P$41,6,0)/'4. Billing Determinants'!$G$41*$D54,IF($E54="Distribution Rev.",VLOOKUP(N$4,'4. Billing Determinants'!$B$19:$P$41,8,0)/'4. Billing Determinants'!$I$41*$D54, VLOOKUP(N$4,'4. Billing Determinants'!$B$19:$P$41,3,0)/'4. Billing Determinants'!$D$41*$D54))))),0)</f>
        <v>0</v>
      </c>
      <c r="O54" s="70">
        <f>IFERROR(IF(O$4="",0,IF($E54="kWh",VLOOKUP(O$4,'4. Billing Determinants'!$B$19:$P$41,4,0)/'4. Billing Determinants'!$E$41*$D54,IF($E54="kW",VLOOKUP(O$4,'4. Billing Determinants'!$B$19:$P$41,5,0)/'4. Billing Determinants'!$F$41*$D54,IF($E54="Non-RPP kWh",VLOOKUP(O$4,'4. Billing Determinants'!$B$19:$P$41,6,0)/'4. Billing Determinants'!$G$41*$D54,IF($E54="Distribution Rev.",VLOOKUP(O$4,'4. Billing Determinants'!$B$19:$P$41,8,0)/'4. Billing Determinants'!$I$41*$D54, VLOOKUP(O$4,'4. Billing Determinants'!$B$19:$P$41,3,0)/'4. Billing Determinants'!$D$41*$D54))))),0)</f>
        <v>0</v>
      </c>
      <c r="P54" s="70">
        <f>IFERROR(IF(P$4="",0,IF($E54="kWh",VLOOKUP(P$4,'4. Billing Determinants'!$B$19:$P$41,4,0)/'4. Billing Determinants'!$E$41*$D54,IF($E54="kW",VLOOKUP(P$4,'4. Billing Determinants'!$B$19:$P$41,5,0)/'4. Billing Determinants'!$F$41*$D54,IF($E54="Non-RPP kWh",VLOOKUP(P$4,'4. Billing Determinants'!$B$19:$P$41,6,0)/'4. Billing Determinants'!$G$41*$D54,IF($E54="Distribution Rev.",VLOOKUP(P$4,'4. Billing Determinants'!$B$19:$P$41,8,0)/'4. Billing Determinants'!$I$41*$D54, VLOOKUP(P$4,'4. Billing Determinants'!$B$19:$P$41,3,0)/'4. Billing Determinants'!$D$41*$D54))))),0)</f>
        <v>0</v>
      </c>
      <c r="Q54" s="70">
        <f>IFERROR(IF(Q$4="",0,IF($E54="kWh",VLOOKUP(Q$4,'4. Billing Determinants'!$B$19:$P$41,4,0)/'4. Billing Determinants'!$E$41*$D54,IF($E54="kW",VLOOKUP(Q$4,'4. Billing Determinants'!$B$19:$P$41,5,0)/'4. Billing Determinants'!$F$41*$D54,IF($E54="Non-RPP kWh",VLOOKUP(Q$4,'4. Billing Determinants'!$B$19:$P$41,6,0)/'4. Billing Determinants'!$G$41*$D54,IF($E54="Distribution Rev.",VLOOKUP(Q$4,'4. Billing Determinants'!$B$19:$P$41,8,0)/'4. Billing Determinants'!$I$41*$D54, VLOOKUP(Q$4,'4. Billing Determinants'!$B$19:$P$41,3,0)/'4. Billing Determinants'!$D$41*$D54))))),0)</f>
        <v>0</v>
      </c>
      <c r="R54" s="70">
        <f>IFERROR(IF(R$4="",0,IF($E54="kWh",VLOOKUP(R$4,'4. Billing Determinants'!$B$19:$P$41,4,0)/'4. Billing Determinants'!$E$41*$D54,IF($E54="kW",VLOOKUP(R$4,'4. Billing Determinants'!$B$19:$P$41,5,0)/'4. Billing Determinants'!$F$41*$D54,IF($E54="Non-RPP kWh",VLOOKUP(R$4,'4. Billing Determinants'!$B$19:$P$41,6,0)/'4. Billing Determinants'!$G$41*$D54,IF($E54="Distribution Rev.",VLOOKUP(R$4,'4. Billing Determinants'!$B$19:$P$41,8,0)/'4. Billing Determinants'!$I$41*$D54, VLOOKUP(R$4,'4. Billing Determinants'!$B$19:$P$41,3,0)/'4. Billing Determinants'!$D$41*$D54))))),0)</f>
        <v>0</v>
      </c>
      <c r="S54" s="70">
        <f>IFERROR(IF(S$4="",0,IF($E54="kWh",VLOOKUP(S$4,'4. Billing Determinants'!$B$19:$P$41,4,0)/'4. Billing Determinants'!$E$41*$D54,IF($E54="kW",VLOOKUP(S$4,'4. Billing Determinants'!$B$19:$P$41,5,0)/'4. Billing Determinants'!$F$41*$D54,IF($E54="Non-RPP kWh",VLOOKUP(S$4,'4. Billing Determinants'!$B$19:$P$41,6,0)/'4. Billing Determinants'!$G$41*$D54,IF($E54="Distribution Rev.",VLOOKUP(S$4,'4. Billing Determinants'!$B$19:$P$41,8,0)/'4. Billing Determinants'!$I$41*$D54, VLOOKUP(S$4,'4. Billing Determinants'!$B$19:$P$41,3,0)/'4. Billing Determinants'!$D$41*$D54))))),0)</f>
        <v>0</v>
      </c>
      <c r="T54" s="70">
        <f>IFERROR(IF(T$4="",0,IF($E54="kWh",VLOOKUP(T$4,'4. Billing Determinants'!$B$19:$P$41,4,0)/'4. Billing Determinants'!$E$41*$D54,IF($E54="kW",VLOOKUP(T$4,'4. Billing Determinants'!$B$19:$P$41,5,0)/'4. Billing Determinants'!$F$41*$D54,IF($E54="Non-RPP kWh",VLOOKUP(T$4,'4. Billing Determinants'!$B$19:$P$41,6,0)/'4. Billing Determinants'!$G$41*$D54,IF($E54="Distribution Rev.",VLOOKUP(T$4,'4. Billing Determinants'!$B$19:$P$41,8,0)/'4. Billing Determinants'!$I$41*$D54, VLOOKUP(T$4,'4. Billing Determinants'!$B$19:$P$41,3,0)/'4. Billing Determinants'!$D$41*$D54))))),0)</f>
        <v>0</v>
      </c>
      <c r="U54" s="70">
        <f>IFERROR(IF(U$4="",0,IF($E54="kWh",VLOOKUP(U$4,'4. Billing Determinants'!$B$19:$P$41,4,0)/'4. Billing Determinants'!$E$41*$D54,IF($E54="kW",VLOOKUP(U$4,'4. Billing Determinants'!$B$19:$P$41,5,0)/'4. Billing Determinants'!$F$41*$D54,IF($E54="Non-RPP kWh",VLOOKUP(U$4,'4. Billing Determinants'!$B$19:$P$41,6,0)/'4. Billing Determinants'!$G$41*$D54,IF($E54="Distribution Rev.",VLOOKUP(U$4,'4. Billing Determinants'!$B$19:$P$41,8,0)/'4. Billing Determinants'!$I$41*$D54, VLOOKUP(U$4,'4. Billing Determinants'!$B$19:$P$41,3,0)/'4. Billing Determinants'!$D$41*$D54))))),0)</f>
        <v>0</v>
      </c>
      <c r="V54" s="70">
        <f>IFERROR(IF(V$4="",0,IF($E54="kWh",VLOOKUP(V$4,'4. Billing Determinants'!$B$19:$P$41,4,0)/'4. Billing Determinants'!$E$41*$D54,IF($E54="kW",VLOOKUP(V$4,'4. Billing Determinants'!$B$19:$P$41,5,0)/'4. Billing Determinants'!$F$41*$D54,IF($E54="Non-RPP kWh",VLOOKUP(V$4,'4. Billing Determinants'!$B$19:$P$41,6,0)/'4. Billing Determinants'!$G$41*$D54,IF($E54="Distribution Rev.",VLOOKUP(V$4,'4. Billing Determinants'!$B$19:$P$41,8,0)/'4. Billing Determinants'!$I$41*$D54, VLOOKUP(V$4,'4. Billing Determinants'!$B$19:$P$41,3,0)/'4. Billing Determinants'!$D$41*$D54))))),0)</f>
        <v>0</v>
      </c>
      <c r="W54" s="70">
        <f>IFERROR(IF(W$4="",0,IF($E54="kWh",VLOOKUP(W$4,'4. Billing Determinants'!$B$19:$P$41,4,0)/'4. Billing Determinants'!$E$41*$D54,IF($E54="kW",VLOOKUP(W$4,'4. Billing Determinants'!$B$19:$P$41,5,0)/'4. Billing Determinants'!$F$41*$D54,IF($E54="Non-RPP kWh",VLOOKUP(W$4,'4. Billing Determinants'!$B$19:$P$41,6,0)/'4. Billing Determinants'!$G$41*$D54,IF($E54="Distribution Rev.",VLOOKUP(W$4,'4. Billing Determinants'!$B$19:$P$41,8,0)/'4. Billing Determinants'!$I$41*$D54, VLOOKUP(W$4,'4. Billing Determinants'!$B$19:$P$41,3,0)/'4. Billing Determinants'!$D$41*$D54))))),0)</f>
        <v>0</v>
      </c>
      <c r="X54" s="70">
        <f>IFERROR(IF(X$4="",0,IF($E54="kWh",VLOOKUP(X$4,'4. Billing Determinants'!$B$19:$P$41,4,0)/'4. Billing Determinants'!$E$41*$D54,IF($E54="kW",VLOOKUP(X$4,'4. Billing Determinants'!$B$19:$P$41,5,0)/'4. Billing Determinants'!$F$41*$D54,IF($E54="Non-RPP kWh",VLOOKUP(X$4,'4. Billing Determinants'!$B$19:$P$41,6,0)/'4. Billing Determinants'!$G$41*$D54,IF($E54="Distribution Rev.",VLOOKUP(X$4,'4. Billing Determinants'!$B$19:$P$41,8,0)/'4. Billing Determinants'!$I$41*$D54, VLOOKUP(X$4,'4. Billing Determinants'!$B$19:$P$41,3,0)/'4. Billing Determinants'!$D$41*$D54))))),0)</f>
        <v>0</v>
      </c>
      <c r="Y54" s="70">
        <f>IFERROR(IF(Y$4="",0,IF($E54="kWh",VLOOKUP(Y$4,'4. Billing Determinants'!$B$19:$P$41,4,0)/'4. Billing Determinants'!$E$41*$D54,IF($E54="kW",VLOOKUP(Y$4,'4. Billing Determinants'!$B$19:$P$41,5,0)/'4. Billing Determinants'!$F$41*$D54,IF($E54="Non-RPP kWh",VLOOKUP(Y$4,'4. Billing Determinants'!$B$19:$P$41,6,0)/'4. Billing Determinants'!$G$41*$D54,IF($E54="Distribution Rev.",VLOOKUP(Y$4,'4. Billing Determinants'!$B$19:$P$41,8,0)/'4. Billing Determinants'!$I$41*$D54, VLOOKUP(Y$4,'4. Billing Determinants'!$B$19:$P$41,3,0)/'4. Billing Determinants'!$D$41*$D54))))),0)</f>
        <v>0</v>
      </c>
    </row>
    <row r="55" spans="2:25" x14ac:dyDescent="0.2">
      <c r="B55" s="88" t="s">
        <v>151</v>
      </c>
      <c r="C55" s="88"/>
      <c r="D55" s="89">
        <f>SUM(D53:D54)</f>
        <v>-7183832.3493090114</v>
      </c>
      <c r="E55" s="89"/>
      <c r="F55" s="89">
        <f>SUM(F53:F54)</f>
        <v>-2463502.2346515297</v>
      </c>
      <c r="G55" s="89">
        <f t="shared" ref="G55:Y55" si="6">SUM(G53:G54)</f>
        <v>-741980.96327318321</v>
      </c>
      <c r="H55" s="89">
        <f t="shared" si="6"/>
        <v>-3919445.4675340499</v>
      </c>
      <c r="I55" s="89">
        <f t="shared" si="6"/>
        <v>-13431.174244976539</v>
      </c>
      <c r="J55" s="89">
        <f t="shared" si="6"/>
        <v>-1587.0864250029799</v>
      </c>
      <c r="K55" s="89">
        <f t="shared" si="6"/>
        <v>-43885.423180268772</v>
      </c>
      <c r="L55" s="89">
        <f t="shared" si="6"/>
        <v>0</v>
      </c>
      <c r="M55" s="89">
        <f t="shared" si="6"/>
        <v>0</v>
      </c>
      <c r="N55" s="89">
        <f t="shared" si="6"/>
        <v>0</v>
      </c>
      <c r="O55" s="89">
        <f t="shared" si="6"/>
        <v>0</v>
      </c>
      <c r="P55" s="89">
        <f t="shared" si="6"/>
        <v>0</v>
      </c>
      <c r="Q55" s="89">
        <f t="shared" si="6"/>
        <v>0</v>
      </c>
      <c r="R55" s="89">
        <f t="shared" si="6"/>
        <v>0</v>
      </c>
      <c r="S55" s="89">
        <f t="shared" si="6"/>
        <v>0</v>
      </c>
      <c r="T55" s="89">
        <f t="shared" si="6"/>
        <v>0</v>
      </c>
      <c r="U55" s="89">
        <f t="shared" si="6"/>
        <v>0</v>
      </c>
      <c r="V55" s="89">
        <f t="shared" si="6"/>
        <v>0</v>
      </c>
      <c r="W55" s="89">
        <f t="shared" si="6"/>
        <v>0</v>
      </c>
      <c r="X55" s="89">
        <f t="shared" si="6"/>
        <v>0</v>
      </c>
      <c r="Y55" s="89">
        <f t="shared" si="6"/>
        <v>0</v>
      </c>
    </row>
  </sheetData>
  <sheetProtection password="F8BD" sheet="1" objects="1" scenarios="1"/>
  <mergeCells count="5">
    <mergeCell ref="B46:C46"/>
    <mergeCell ref="B47:C47"/>
    <mergeCell ref="B49:C49"/>
    <mergeCell ref="B50:C50"/>
    <mergeCell ref="B51:C51"/>
  </mergeCells>
  <dataValidations count="4">
    <dataValidation type="list" allowBlank="1" showInputMessage="1" showErrorMessage="1" sqref="E5:E11">
      <formula1>"kWh, kW, Non-RPP kWh"</formula1>
    </dataValidation>
    <dataValidation type="list" allowBlank="1" showInputMessage="1" showErrorMessage="1" sqref="E40:E43 E38 E53:E54">
      <formula1>"kWh, kW, Non-RPP kWh, Distribution Rev."</formula1>
    </dataValidation>
    <dataValidation type="list" allowBlank="1" showInputMessage="1" showErrorMessage="1" sqref="E19:E37">
      <formula1>"kWh, kW, Non-RPP kWh, Distribution Rev., # of Customers"</formula1>
    </dataValidation>
    <dataValidation type="list" allowBlank="1" showInputMessage="1" showErrorMessage="1" sqref="E12:E16">
      <formula1>"kWh, kW, Non-RPP kWh, %"</formula1>
    </dataValidation>
  </dataValidations>
  <pageMargins left="0.23622047244094491" right="0.23622047244094491" top="0.74803149606299213" bottom="0.74803149606299213" header="0.31496062992125984" footer="0.31496062992125984"/>
  <pageSetup scale="48" orientation="landscape" r:id="rId1"/>
  <colBreaks count="2" manualBreakCount="2">
    <brk id="12" max="1048575" man="1"/>
    <brk id="1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3:I123"/>
  <sheetViews>
    <sheetView showGridLines="0" zoomScale="90" zoomScaleNormal="90" workbookViewId="0">
      <selection activeCell="I21" sqref="I21"/>
    </sheetView>
  </sheetViews>
  <sheetFormatPr defaultRowHeight="12.75" x14ac:dyDescent="0.2"/>
  <cols>
    <col min="2" max="2" width="35.7109375" customWidth="1"/>
    <col min="3" max="3" width="17.42578125" customWidth="1"/>
    <col min="4" max="4" width="18.85546875" customWidth="1"/>
    <col min="5" max="5" width="18.28515625" customWidth="1"/>
    <col min="6" max="6" width="16.7109375" customWidth="1"/>
    <col min="7" max="7" width="4.5703125" customWidth="1"/>
    <col min="8" max="8" width="11.28515625" bestFit="1" customWidth="1"/>
    <col min="9" max="9" width="21" customWidth="1"/>
    <col min="10" max="10" width="21.28515625" customWidth="1"/>
  </cols>
  <sheetData>
    <row r="13" spans="2:4" x14ac:dyDescent="0.2">
      <c r="B13" s="111" t="s">
        <v>123</v>
      </c>
      <c r="C13" s="112"/>
      <c r="D13" s="113">
        <v>1</v>
      </c>
    </row>
    <row r="16" spans="2:4" ht="18" x14ac:dyDescent="0.25">
      <c r="B16" s="115" t="s">
        <v>125</v>
      </c>
    </row>
    <row r="18" spans="2:7" ht="12.75" customHeight="1" x14ac:dyDescent="0.2">
      <c r="B18" s="268" t="s">
        <v>116</v>
      </c>
      <c r="C18" s="267" t="s">
        <v>102</v>
      </c>
      <c r="D18" s="274" t="s">
        <v>124</v>
      </c>
      <c r="E18" s="274" t="s">
        <v>150</v>
      </c>
      <c r="F18" s="276" t="s">
        <v>122</v>
      </c>
    </row>
    <row r="19" spans="2:7" ht="27" customHeight="1" x14ac:dyDescent="0.2">
      <c r="B19" s="269"/>
      <c r="C19" s="267"/>
      <c r="D19" s="275"/>
      <c r="E19" s="275"/>
      <c r="F19" s="276"/>
    </row>
    <row r="20" spans="2:7" x14ac:dyDescent="0.2">
      <c r="B20" s="96" t="str">
        <f>IF(ISBLANK('4. Billing Determinants'!B21), "", '4. Billing Determinants'!B21)</f>
        <v>Residential</v>
      </c>
      <c r="C20" s="130" t="s">
        <v>276</v>
      </c>
      <c r="D20" s="99">
        <f>IF(C20="", 0, IF(C20="kWh", '4. Billing Determinants'!E21, IF(C20="kW", '4. Billing Determinants'!F21, '4. Billing Determinants'!D21)))</f>
        <v>412298278</v>
      </c>
      <c r="E20" s="100">
        <f>HLOOKUP($B20, '5. Allocation of Balances'!$C$4:$Y$49, 46,FALSE)</f>
        <v>-201211.7563537042</v>
      </c>
      <c r="F20" s="110">
        <f>IF(ISERROR(E20/D20), 0, IF(C20="# of Customers", E20/D20/12/$D$13, E20/D20/$D$13))</f>
        <v>-4.8802473134196354E-4</v>
      </c>
      <c r="G20" t="str">
        <f>IF(C20="", "", IF(C20="# of Customers", "per customer per month", "$/"&amp;C20))</f>
        <v>$/kWh</v>
      </c>
    </row>
    <row r="21" spans="2:7" x14ac:dyDescent="0.2">
      <c r="B21" s="96" t="str">
        <f>IF(ISBLANK('4. Billing Determinants'!B22), "", '4. Billing Determinants'!B22)</f>
        <v>General Service &lt; 50 kW</v>
      </c>
      <c r="C21" s="130" t="s">
        <v>276</v>
      </c>
      <c r="D21" s="99">
        <f>IF(C21="", 0, IF(C21="kWh", '4. Billing Determinants'!E22, IF(C21="kW", '4. Billing Determinants'!F22, '4. Billing Determinants'!D22)))</f>
        <v>124179905</v>
      </c>
      <c r="E21" s="100">
        <f>HLOOKUP($B21, '5. Allocation of Balances'!$C$4:$Y$49, 46,FALSE)</f>
        <v>-118679.63199444039</v>
      </c>
      <c r="F21" s="110">
        <f t="shared" ref="F21:F39" si="0">IF(ISERROR(E21/D21), 0, IF(C21="# of Customers", E21/D21/12/$D$13, E21/D21/$D$13))</f>
        <v>-9.5570722166714815E-4</v>
      </c>
      <c r="G21" t="str">
        <f t="shared" ref="G21:G39" si="1">IF(C21="", "", IF(C21="# of Customers", "per customer per month", "$/"&amp;C21))</f>
        <v>$/kWh</v>
      </c>
    </row>
    <row r="22" spans="2:7" x14ac:dyDescent="0.2">
      <c r="B22" s="96" t="str">
        <f>IF(ISBLANK('4. Billing Determinants'!B23), "", '4. Billing Determinants'!B23)</f>
        <v>General Service &gt; 50</v>
      </c>
      <c r="C22" s="130" t="s">
        <v>295</v>
      </c>
      <c r="D22" s="99">
        <f>IF(C22="", 0, IF(C22="kWh", '4. Billing Determinants'!E23, IF(C22="kW", '4. Billing Determinants'!F23, '4. Billing Determinants'!D23)))</f>
        <v>1721553.9692533722</v>
      </c>
      <c r="E22" s="100">
        <f>HLOOKUP($B22, '5. Allocation of Balances'!$C$4:$Y$49, 46,FALSE)</f>
        <v>-754435.17938751297</v>
      </c>
      <c r="F22" s="110">
        <f t="shared" si="0"/>
        <v>-0.43822917716294835</v>
      </c>
      <c r="G22" t="str">
        <f t="shared" si="1"/>
        <v>$/kW</v>
      </c>
    </row>
    <row r="23" spans="2:7" x14ac:dyDescent="0.2">
      <c r="B23" s="96" t="str">
        <f>IF(ISBLANK('4. Billing Determinants'!B24), "", '4. Billing Determinants'!B24)</f>
        <v>Unmetered Scattered Load</v>
      </c>
      <c r="C23" s="130" t="s">
        <v>276</v>
      </c>
      <c r="D23" s="99">
        <f>IF(C23="", 0, IF(C23="kWh", '4. Billing Determinants'!E24, IF(C23="kW", '4. Billing Determinants'!F24, '4. Billing Determinants'!D24)))</f>
        <v>2247877</v>
      </c>
      <c r="E23" s="100">
        <f>HLOOKUP($B23, '5. Allocation of Balances'!$C$4:$Y$49, 46,FALSE)</f>
        <v>-2573.6192194990413</v>
      </c>
      <c r="F23" s="110">
        <f t="shared" si="0"/>
        <v>-1.1449110514049662E-3</v>
      </c>
      <c r="G23" t="str">
        <f t="shared" si="1"/>
        <v>$/kWh</v>
      </c>
    </row>
    <row r="24" spans="2:7" x14ac:dyDescent="0.2">
      <c r="B24" s="96" t="str">
        <f>IF(ISBLANK('4. Billing Determinants'!B25), "", '4. Billing Determinants'!B25)</f>
        <v>Sentinel Lighting</v>
      </c>
      <c r="C24" s="130" t="s">
        <v>295</v>
      </c>
      <c r="D24" s="99">
        <f>IF(C24="", 0, IF(C24="kWh", '4. Billing Determinants'!E25, IF(C24="kW", '4. Billing Determinants'!F25, '4. Billing Determinants'!D25)))</f>
        <v>716.23040649278312</v>
      </c>
      <c r="E24" s="100">
        <f>HLOOKUP($B24, '5. Allocation of Balances'!$C$4:$Y$49, 46,FALSE)</f>
        <v>1724.4789608478843</v>
      </c>
      <c r="F24" s="110">
        <f t="shared" si="0"/>
        <v>2.4077153737332435</v>
      </c>
      <c r="G24" t="str">
        <f t="shared" si="1"/>
        <v>$/kW</v>
      </c>
    </row>
    <row r="25" spans="2:7" x14ac:dyDescent="0.2">
      <c r="B25" s="96" t="str">
        <f>IF(ISBLANK('4. Billing Determinants'!B26), "", '4. Billing Determinants'!B26)</f>
        <v>Street Lighting</v>
      </c>
      <c r="C25" s="130" t="s">
        <v>295</v>
      </c>
      <c r="D25" s="99">
        <f>IF(C25="", 0, IF(C25="kWh", '4. Billing Determinants'!E26, IF(C25="kW", '4. Billing Determinants'!F26, '4. Billing Determinants'!D26)))</f>
        <v>20808.575811577328</v>
      </c>
      <c r="E25" s="100">
        <f>HLOOKUP($B25, '5. Allocation of Balances'!$C$4:$Y$49, 46,FALSE)</f>
        <v>-8528.9414696911881</v>
      </c>
      <c r="F25" s="110">
        <f t="shared" si="0"/>
        <v>-0.40987627153925238</v>
      </c>
      <c r="G25" t="str">
        <f t="shared" si="1"/>
        <v>$/kW</v>
      </c>
    </row>
    <row r="26" spans="2:7" x14ac:dyDescent="0.2">
      <c r="B26" s="96" t="str">
        <f>IF(ISBLANK('4. Billing Determinants'!B27), "", '4. Billing Determinants'!B27)</f>
        <v/>
      </c>
      <c r="C26" s="130" t="str">
        <f>IF(ISBLANK('4. Billing Determinants'!C27), "", '4. Billing Determinants'!C27)</f>
        <v/>
      </c>
      <c r="D26" s="99">
        <f>IF(C26="", 0, IF(C26="kWh", '4. Billing Determinants'!E27, IF(C26="kW", '4. Billing Determinants'!F27, '4. Billing Determinants'!D27)))</f>
        <v>0</v>
      </c>
      <c r="E26" s="100">
        <f>HLOOKUP($B26, '5. Allocation of Balances'!$C$4:$Y$49, 46,FALSE)</f>
        <v>0</v>
      </c>
      <c r="F26" s="110">
        <f t="shared" si="0"/>
        <v>0</v>
      </c>
      <c r="G26" t="str">
        <f t="shared" si="1"/>
        <v/>
      </c>
    </row>
    <row r="27" spans="2:7" x14ac:dyDescent="0.2">
      <c r="B27" s="96" t="str">
        <f>IF(ISBLANK('4. Billing Determinants'!B28), "", '4. Billing Determinants'!B28)</f>
        <v/>
      </c>
      <c r="C27" s="130" t="str">
        <f>IF(ISBLANK('4. Billing Determinants'!C28), "", '4. Billing Determinants'!C28)</f>
        <v/>
      </c>
      <c r="D27" s="99">
        <f>IF(C27="", 0, IF(C27="kWh", '4. Billing Determinants'!E28, IF(C27="kW", '4. Billing Determinants'!F28, '4. Billing Determinants'!D28)))</f>
        <v>0</v>
      </c>
      <c r="E27" s="100">
        <f>HLOOKUP($B27, '5. Allocation of Balances'!$C$4:$Y$49, 46,FALSE)</f>
        <v>0</v>
      </c>
      <c r="F27" s="110">
        <f t="shared" si="0"/>
        <v>0</v>
      </c>
      <c r="G27" t="str">
        <f t="shared" si="1"/>
        <v/>
      </c>
    </row>
    <row r="28" spans="2:7" x14ac:dyDescent="0.2">
      <c r="B28" s="96" t="str">
        <f>IF(ISBLANK('4. Billing Determinants'!B29), "", '4. Billing Determinants'!B29)</f>
        <v/>
      </c>
      <c r="C28" s="130" t="str">
        <f>IF(ISBLANK('4. Billing Determinants'!C29), "", '4. Billing Determinants'!C29)</f>
        <v/>
      </c>
      <c r="D28" s="99">
        <f>IF(C28="", 0, IF(C28="kWh", '4. Billing Determinants'!E29, IF(C28="kW", '4. Billing Determinants'!F29, '4. Billing Determinants'!D29)))</f>
        <v>0</v>
      </c>
      <c r="E28" s="100">
        <f>HLOOKUP($B28, '5. Allocation of Balances'!$C$4:$Y$49, 46,FALSE)</f>
        <v>0</v>
      </c>
      <c r="F28" s="110">
        <f t="shared" si="0"/>
        <v>0</v>
      </c>
      <c r="G28" t="str">
        <f t="shared" si="1"/>
        <v/>
      </c>
    </row>
    <row r="29" spans="2:7" x14ac:dyDescent="0.2">
      <c r="B29" s="96" t="str">
        <f>IF(ISBLANK('4. Billing Determinants'!B30), "", '4. Billing Determinants'!B30)</f>
        <v/>
      </c>
      <c r="C29" s="130" t="str">
        <f>IF(ISBLANK('4. Billing Determinants'!C30), "", '4. Billing Determinants'!C30)</f>
        <v/>
      </c>
      <c r="D29" s="99">
        <f>IF(C29="", 0, IF(C29="kWh", '4. Billing Determinants'!E30, IF(C29="kW", '4. Billing Determinants'!F30, '4. Billing Determinants'!D30)))</f>
        <v>0</v>
      </c>
      <c r="E29" s="100">
        <f>HLOOKUP($B29, '5. Allocation of Balances'!$C$4:$Y$49, 46,FALSE)</f>
        <v>0</v>
      </c>
      <c r="F29" s="110">
        <f t="shared" si="0"/>
        <v>0</v>
      </c>
      <c r="G29" t="str">
        <f t="shared" si="1"/>
        <v/>
      </c>
    </row>
    <row r="30" spans="2:7" x14ac:dyDescent="0.2">
      <c r="B30" s="96" t="str">
        <f>IF(ISBLANK('4. Billing Determinants'!B31), "", '4. Billing Determinants'!B31)</f>
        <v/>
      </c>
      <c r="C30" s="130" t="str">
        <f>IF(ISBLANK('4. Billing Determinants'!C31), "", '4. Billing Determinants'!C31)</f>
        <v/>
      </c>
      <c r="D30" s="99">
        <f>IF(C30="", 0, IF(C30="kWh", '4. Billing Determinants'!E31, IF(C30="kW", '4. Billing Determinants'!F31, '4. Billing Determinants'!D31)))</f>
        <v>0</v>
      </c>
      <c r="E30" s="100">
        <f>HLOOKUP($B30, '5. Allocation of Balances'!$C$4:$Y$49, 46,FALSE)</f>
        <v>0</v>
      </c>
      <c r="F30" s="110">
        <f t="shared" si="0"/>
        <v>0</v>
      </c>
      <c r="G30" t="str">
        <f t="shared" si="1"/>
        <v/>
      </c>
    </row>
    <row r="31" spans="2:7" x14ac:dyDescent="0.2">
      <c r="B31" s="96" t="str">
        <f>IF(ISBLANK('4. Billing Determinants'!B32), "", '4. Billing Determinants'!B32)</f>
        <v/>
      </c>
      <c r="C31" s="130" t="str">
        <f>IF(ISBLANK('4. Billing Determinants'!C32), "", '4. Billing Determinants'!C32)</f>
        <v/>
      </c>
      <c r="D31" s="99">
        <f>IF(C31="", 0, IF(C31="kWh", '4. Billing Determinants'!E32, IF(C31="kW", '4. Billing Determinants'!F32, '4. Billing Determinants'!D32)))</f>
        <v>0</v>
      </c>
      <c r="E31" s="100">
        <f>HLOOKUP($B31, '5. Allocation of Balances'!$C$4:$Y$49, 46,FALSE)</f>
        <v>0</v>
      </c>
      <c r="F31" s="110">
        <f t="shared" si="0"/>
        <v>0</v>
      </c>
      <c r="G31" t="str">
        <f t="shared" si="1"/>
        <v/>
      </c>
    </row>
    <row r="32" spans="2:7" x14ac:dyDescent="0.2">
      <c r="B32" s="96" t="str">
        <f>IF(ISBLANK('4. Billing Determinants'!B33), "", '4. Billing Determinants'!B33)</f>
        <v/>
      </c>
      <c r="C32" s="130" t="str">
        <f>IF(ISBLANK('4. Billing Determinants'!C33), "", '4. Billing Determinants'!C33)</f>
        <v/>
      </c>
      <c r="D32" s="99">
        <f>IF(C32="", 0, IF(C32="kWh", '4. Billing Determinants'!E33, IF(C32="kW", '4. Billing Determinants'!F33, '4. Billing Determinants'!D33)))</f>
        <v>0</v>
      </c>
      <c r="E32" s="100">
        <f>HLOOKUP($B32, '5. Allocation of Balances'!$C$4:$Y$49, 46,FALSE)</f>
        <v>0</v>
      </c>
      <c r="F32" s="110">
        <f t="shared" si="0"/>
        <v>0</v>
      </c>
      <c r="G32" t="str">
        <f t="shared" si="1"/>
        <v/>
      </c>
    </row>
    <row r="33" spans="2:9" x14ac:dyDescent="0.2">
      <c r="B33" s="96" t="str">
        <f>IF(ISBLANK('4. Billing Determinants'!B34), "", '4. Billing Determinants'!B34)</f>
        <v/>
      </c>
      <c r="C33" s="130"/>
      <c r="D33" s="99">
        <f>IF(C33="", 0, IF(C33="kWh", '4. Billing Determinants'!E34, IF(C33="kW", '4. Billing Determinants'!F34, '4. Billing Determinants'!D34)))</f>
        <v>0</v>
      </c>
      <c r="E33" s="100">
        <f>HLOOKUP($B33, '5. Allocation of Balances'!$C$4:$Y$49, 46,FALSE)</f>
        <v>0</v>
      </c>
      <c r="F33" s="110">
        <f t="shared" si="0"/>
        <v>0</v>
      </c>
      <c r="G33" t="str">
        <f t="shared" si="1"/>
        <v/>
      </c>
    </row>
    <row r="34" spans="2:9" x14ac:dyDescent="0.2">
      <c r="B34" s="96" t="str">
        <f>IF(ISBLANK('4. Billing Determinants'!B35), "", '4. Billing Determinants'!B35)</f>
        <v/>
      </c>
      <c r="C34" s="130" t="str">
        <f>IF(ISBLANK('4. Billing Determinants'!C35), "", '4. Billing Determinants'!C35)</f>
        <v/>
      </c>
      <c r="D34" s="99">
        <f>IF(C34="", 0, IF(C34="kWh", '4. Billing Determinants'!E35, IF(C34="kW", '4. Billing Determinants'!F35, '4. Billing Determinants'!D35)))</f>
        <v>0</v>
      </c>
      <c r="E34" s="100">
        <f>HLOOKUP($B34, '5. Allocation of Balances'!$C$4:$Y$49, 46,FALSE)</f>
        <v>0</v>
      </c>
      <c r="F34" s="110">
        <f t="shared" si="0"/>
        <v>0</v>
      </c>
      <c r="G34" t="str">
        <f t="shared" si="1"/>
        <v/>
      </c>
    </row>
    <row r="35" spans="2:9" x14ac:dyDescent="0.2">
      <c r="B35" s="96" t="str">
        <f>IF(ISBLANK('4. Billing Determinants'!B36), "", '4. Billing Determinants'!B36)</f>
        <v/>
      </c>
      <c r="C35" s="130" t="str">
        <f>IF(ISBLANK('4. Billing Determinants'!C36), "", '4. Billing Determinants'!C36)</f>
        <v/>
      </c>
      <c r="D35" s="99">
        <f>IF(C35="", 0, IF(C35="kWh", '4. Billing Determinants'!E36, IF(C35="kW", '4. Billing Determinants'!F36, '4. Billing Determinants'!D36)))</f>
        <v>0</v>
      </c>
      <c r="E35" s="100">
        <f>HLOOKUP($B35, '5. Allocation of Balances'!$C$4:$Y$49, 46,FALSE)</f>
        <v>0</v>
      </c>
      <c r="F35" s="110">
        <f t="shared" si="0"/>
        <v>0</v>
      </c>
      <c r="G35" t="str">
        <f t="shared" si="1"/>
        <v/>
      </c>
    </row>
    <row r="36" spans="2:9" x14ac:dyDescent="0.2">
      <c r="B36" s="96" t="str">
        <f>IF(ISBLANK('4. Billing Determinants'!B37), "", '4. Billing Determinants'!B37)</f>
        <v/>
      </c>
      <c r="C36" s="130" t="str">
        <f>IF(ISBLANK('4. Billing Determinants'!C37), "", '4. Billing Determinants'!C37)</f>
        <v/>
      </c>
      <c r="D36" s="99">
        <f>IF(C36="", 0, IF(C36="kWh", '4. Billing Determinants'!E37, IF(C36="kW", '4. Billing Determinants'!F37, '4. Billing Determinants'!D37)))</f>
        <v>0</v>
      </c>
      <c r="E36" s="100">
        <f>HLOOKUP($B36, '5. Allocation of Balances'!$C$4:$Y$49, 46,FALSE)</f>
        <v>0</v>
      </c>
      <c r="F36" s="110">
        <f t="shared" si="0"/>
        <v>0</v>
      </c>
      <c r="G36" t="str">
        <f t="shared" si="1"/>
        <v/>
      </c>
    </row>
    <row r="37" spans="2:9" x14ac:dyDescent="0.2">
      <c r="B37" s="96" t="str">
        <f>IF(ISBLANK('4. Billing Determinants'!B38), "", '4. Billing Determinants'!B38)</f>
        <v/>
      </c>
      <c r="C37" s="130" t="str">
        <f>IF(ISBLANK('4. Billing Determinants'!C38), "", '4. Billing Determinants'!C38)</f>
        <v/>
      </c>
      <c r="D37" s="99">
        <f>IF(C37="", 0, IF(C37="kWh", '4. Billing Determinants'!E38, IF(C37="kW", '4. Billing Determinants'!F38, '4. Billing Determinants'!D38)))</f>
        <v>0</v>
      </c>
      <c r="E37" s="100">
        <f>HLOOKUP($B37, '5. Allocation of Balances'!$C$4:$Y$49, 46,FALSE)</f>
        <v>0</v>
      </c>
      <c r="F37" s="110">
        <f t="shared" si="0"/>
        <v>0</v>
      </c>
      <c r="G37" t="str">
        <f t="shared" si="1"/>
        <v/>
      </c>
    </row>
    <row r="38" spans="2:9" x14ac:dyDescent="0.2">
      <c r="B38" s="96" t="str">
        <f>IF(ISBLANK('4. Billing Determinants'!B39), "", '4. Billing Determinants'!B39)</f>
        <v/>
      </c>
      <c r="C38" s="130" t="str">
        <f>IF(ISBLANK('4. Billing Determinants'!C39), "", '4. Billing Determinants'!C39)</f>
        <v/>
      </c>
      <c r="D38" s="99">
        <f>IF(C38="", 0, IF(C38="kWh", '4. Billing Determinants'!E39, IF(C38="kW", '4. Billing Determinants'!F39, '4. Billing Determinants'!D39)))</f>
        <v>0</v>
      </c>
      <c r="E38" s="100">
        <f>HLOOKUP($B38, '5. Allocation of Balances'!$C$4:$Y$49, 46,FALSE)</f>
        <v>0</v>
      </c>
      <c r="F38" s="110">
        <f t="shared" si="0"/>
        <v>0</v>
      </c>
      <c r="G38" t="str">
        <f t="shared" si="1"/>
        <v/>
      </c>
      <c r="I38" s="116"/>
    </row>
    <row r="39" spans="2:9" x14ac:dyDescent="0.2">
      <c r="B39" s="96" t="str">
        <f>IF(ISBLANK('4. Billing Determinants'!B40), "", '4. Billing Determinants'!B40)</f>
        <v/>
      </c>
      <c r="C39" s="130" t="str">
        <f>IF(ISBLANK('4. Billing Determinants'!C40), "", '4. Billing Determinants'!C40)</f>
        <v/>
      </c>
      <c r="D39" s="99">
        <f>IF(C39="", 0, IF(C39="kWh", '4. Billing Determinants'!E40, IF(C39="kW", '4. Billing Determinants'!F40, '4. Billing Determinants'!D40)))</f>
        <v>0</v>
      </c>
      <c r="E39" s="100">
        <f>HLOOKUP($B39, '5. Allocation of Balances'!$C$4:$Y$49, 46,FALSE)</f>
        <v>0</v>
      </c>
      <c r="F39" s="110">
        <f t="shared" si="0"/>
        <v>0</v>
      </c>
      <c r="G39" t="str">
        <f t="shared" si="1"/>
        <v/>
      </c>
    </row>
    <row r="40" spans="2:9" x14ac:dyDescent="0.2">
      <c r="B40" s="106" t="s">
        <v>103</v>
      </c>
      <c r="C40" s="107"/>
      <c r="D40" s="108"/>
      <c r="E40" s="109">
        <f>SUM(E20:E39)</f>
        <v>-1083704.6494639998</v>
      </c>
      <c r="F40" s="106"/>
    </row>
    <row r="43" spans="2:9" ht="18" x14ac:dyDescent="0.25">
      <c r="B43" s="115" t="s">
        <v>232</v>
      </c>
    </row>
    <row r="45" spans="2:9" x14ac:dyDescent="0.2">
      <c r="B45" s="268" t="s">
        <v>116</v>
      </c>
      <c r="C45" s="267" t="s">
        <v>102</v>
      </c>
      <c r="D45" s="274" t="s">
        <v>235</v>
      </c>
      <c r="E45" s="274" t="s">
        <v>233</v>
      </c>
      <c r="F45" s="276" t="s">
        <v>234</v>
      </c>
    </row>
    <row r="46" spans="2:9" ht="54.75" customHeight="1" x14ac:dyDescent="0.2">
      <c r="B46" s="269"/>
      <c r="C46" s="267"/>
      <c r="D46" s="275"/>
      <c r="E46" s="275"/>
      <c r="F46" s="276"/>
    </row>
    <row r="47" spans="2:9" x14ac:dyDescent="0.2">
      <c r="B47" s="96" t="str">
        <f t="shared" ref="B47:B66" si="2">B20</f>
        <v>Residential</v>
      </c>
      <c r="C47" s="130" t="s">
        <v>276</v>
      </c>
      <c r="D47" s="99">
        <f>IF(C47="", 0, IF(C47="kWh", '4. Billing Determinants'!G21, IF(C47="kW", '4. Billing Determinants'!H21, '4. Billing Determinants'!D21)))</f>
        <v>32043237.623106342</v>
      </c>
      <c r="E47" s="100">
        <f>HLOOKUP($B20, '5. Allocation of Balances'!$C$4:$Y$50, 47,FALSE)</f>
        <v>74796.991134517419</v>
      </c>
      <c r="F47" s="110">
        <f>IF(ISERROR(E47/D47), 0, IF(C47="# of Customers", E47/D47/12/$D$13, E47/D47/$D$13))</f>
        <v>2.3342519883378264E-3</v>
      </c>
      <c r="G47" t="str">
        <f>IF(C47="", "", IF(C47="# of Customers", "per customer per month", "$/"&amp;C47))</f>
        <v>$/kWh</v>
      </c>
    </row>
    <row r="48" spans="2:9" x14ac:dyDescent="0.2">
      <c r="B48" s="96" t="str">
        <f t="shared" si="2"/>
        <v>General Service &lt; 50 kW</v>
      </c>
      <c r="C48" s="130" t="s">
        <v>276</v>
      </c>
      <c r="D48" s="99">
        <f>IF(C48="", 0, IF(C48="kWh", '4. Billing Determinants'!G22, IF(C48="kW", '4. Billing Determinants'!H22, '4. Billing Determinants'!D22)))</f>
        <v>17517445.729166672</v>
      </c>
      <c r="E48" s="100">
        <f>HLOOKUP($B21, '5. Allocation of Balances'!$C$4:$Y$50, 47,FALSE)</f>
        <v>40890.132523907261</v>
      </c>
      <c r="F48" s="110">
        <f t="shared" ref="F48:F66" si="3">IF(ISERROR(E48/D48), 0, IF(C48="# of Customers", E48/D48/12/$D$13, E48/D48/$D$13))</f>
        <v>2.3342519883378259E-3</v>
      </c>
      <c r="G48" t="str">
        <f t="shared" ref="G48:G66" si="4">IF(C48="", "", IF(C48="# of Customers", "per customer per month", "$/"&amp;C48))</f>
        <v>$/kWh</v>
      </c>
    </row>
    <row r="49" spans="2:7" x14ac:dyDescent="0.2">
      <c r="B49" s="96" t="str">
        <f t="shared" si="2"/>
        <v>General Service &gt; 50</v>
      </c>
      <c r="C49" s="130" t="s">
        <v>295</v>
      </c>
      <c r="D49" s="99">
        <f>IF(C49="", 0, IF(C49="kWh", '4. Billing Determinants'!G23, IF(C49="kW", '4. Billing Determinants'!H23, '4. Billing Determinants'!D23)))</f>
        <v>1629918.0138431899</v>
      </c>
      <c r="E49" s="100">
        <f>HLOOKUP($B22, '5. Allocation of Balances'!$C$4:$Y$50, 47,FALSE)</f>
        <v>1449692.9994950823</v>
      </c>
      <c r="F49" s="110">
        <f t="shared" si="3"/>
        <v>0.88942694490310326</v>
      </c>
      <c r="G49" t="str">
        <f t="shared" si="4"/>
        <v>$/kW</v>
      </c>
    </row>
    <row r="50" spans="2:7" x14ac:dyDescent="0.2">
      <c r="B50" s="96" t="str">
        <f t="shared" si="2"/>
        <v>Unmetered Scattered Load</v>
      </c>
      <c r="C50" s="130" t="s">
        <v>276</v>
      </c>
      <c r="D50" s="99">
        <f>IF(C50="", 0, IF(C50="kWh", '4. Billing Determinants'!G24, IF(C50="kW", '4. Billing Determinants'!H24, '4. Billing Determinants'!D24)))</f>
        <v>0</v>
      </c>
      <c r="E50" s="100">
        <f>HLOOKUP($B23, '5. Allocation of Balances'!$C$4:$Y$50, 47,FALSE)</f>
        <v>0</v>
      </c>
      <c r="F50" s="110">
        <f t="shared" si="3"/>
        <v>0</v>
      </c>
      <c r="G50" t="str">
        <f t="shared" si="4"/>
        <v>$/kWh</v>
      </c>
    </row>
    <row r="51" spans="2:7" x14ac:dyDescent="0.2">
      <c r="B51" s="96" t="str">
        <f t="shared" si="2"/>
        <v>Sentinel Lighting</v>
      </c>
      <c r="C51" s="130" t="s">
        <v>295</v>
      </c>
      <c r="D51" s="99">
        <f>IF(C51="", 0, IF(C51="kWh", '4. Billing Determinants'!G25, IF(C51="kW", '4. Billing Determinants'!H25, '4. Billing Determinants'!D25)))</f>
        <v>136.65302642557157</v>
      </c>
      <c r="E51" s="100">
        <f>HLOOKUP($B24, '5. Allocation of Balances'!$C$4:$Y$50, 47,FALSE)</f>
        <v>118.29690292641583</v>
      </c>
      <c r="F51" s="110">
        <f t="shared" si="3"/>
        <v>0.86567349454822751</v>
      </c>
      <c r="G51" t="str">
        <f t="shared" si="4"/>
        <v>$/kW</v>
      </c>
    </row>
    <row r="52" spans="2:7" x14ac:dyDescent="0.2">
      <c r="B52" s="96" t="str">
        <f t="shared" si="2"/>
        <v>Street Lighting</v>
      </c>
      <c r="C52" s="130" t="s">
        <v>295</v>
      </c>
      <c r="D52" s="99">
        <f>IF(C52="", 0, IF(C52="kWh", '4. Billing Determinants'!G26, IF(C52="kW", '4. Billing Determinants'!H26, '4. Billing Determinants'!D26)))</f>
        <v>20587.632774950507</v>
      </c>
      <c r="E52" s="100">
        <f>HLOOKUP($B25, '5. Allocation of Balances'!$C$4:$Y$50, 47,FALSE)</f>
        <v>16962.530607565808</v>
      </c>
      <c r="F52" s="110">
        <f t="shared" si="3"/>
        <v>0.82391845594820146</v>
      </c>
      <c r="G52" t="str">
        <f t="shared" si="4"/>
        <v>$/kW</v>
      </c>
    </row>
    <row r="53" spans="2:7" x14ac:dyDescent="0.2">
      <c r="B53" s="96" t="str">
        <f t="shared" si="2"/>
        <v/>
      </c>
      <c r="C53" s="130"/>
      <c r="D53" s="99">
        <f>IF(C53="", 0, IF(C53="kWh", '4. Billing Determinants'!G27, IF(C53="kW", '4. Billing Determinants'!H27, '4. Billing Determinants'!D27)))</f>
        <v>0</v>
      </c>
      <c r="E53" s="100">
        <f>HLOOKUP($B26, '5. Allocation of Balances'!$C$4:$Y$50, 47,FALSE)</f>
        <v>0</v>
      </c>
      <c r="F53" s="110">
        <f t="shared" si="3"/>
        <v>0</v>
      </c>
      <c r="G53" t="str">
        <f t="shared" si="4"/>
        <v/>
      </c>
    </row>
    <row r="54" spans="2:7" x14ac:dyDescent="0.2">
      <c r="B54" s="96" t="str">
        <f t="shared" si="2"/>
        <v/>
      </c>
      <c r="C54" s="130" t="str">
        <f>IF(ISBLANK('4. Billing Determinants'!C52), "", '4. Billing Determinants'!C52)</f>
        <v/>
      </c>
      <c r="D54" s="99">
        <f>IF(C54="", 0, IF(C54="kWh", '4. Billing Determinants'!G28, IF(C54="kW", '4. Billing Determinants'!H28, '4. Billing Determinants'!D28)))</f>
        <v>0</v>
      </c>
      <c r="E54" s="100">
        <f>HLOOKUP($B27, '5. Allocation of Balances'!$C$4:$Y$50, 47,FALSE)</f>
        <v>0</v>
      </c>
      <c r="F54" s="110">
        <f t="shared" si="3"/>
        <v>0</v>
      </c>
      <c r="G54" t="str">
        <f t="shared" si="4"/>
        <v/>
      </c>
    </row>
    <row r="55" spans="2:7" x14ac:dyDescent="0.2">
      <c r="B55" s="96" t="str">
        <f t="shared" si="2"/>
        <v/>
      </c>
      <c r="C55" s="130" t="str">
        <f>IF(ISBLANK('4. Billing Determinants'!C53), "", '4. Billing Determinants'!C53)</f>
        <v/>
      </c>
      <c r="D55" s="99">
        <f>IF(C55="", 0, IF(C55="kWh", '4. Billing Determinants'!G29, IF(C55="kW", '4. Billing Determinants'!H29, '4. Billing Determinants'!D29)))</f>
        <v>0</v>
      </c>
      <c r="E55" s="100">
        <f>HLOOKUP($B28, '5. Allocation of Balances'!$C$4:$Y$50, 47,FALSE)</f>
        <v>0</v>
      </c>
      <c r="F55" s="110">
        <f t="shared" si="3"/>
        <v>0</v>
      </c>
      <c r="G55" t="str">
        <f t="shared" si="4"/>
        <v/>
      </c>
    </row>
    <row r="56" spans="2:7" x14ac:dyDescent="0.2">
      <c r="B56" s="96" t="str">
        <f t="shared" si="2"/>
        <v/>
      </c>
      <c r="C56" s="130"/>
      <c r="D56" s="99">
        <f>IF(C56="", 0, IF(C56="kWh", '4. Billing Determinants'!G30, IF(C56="kW", '4. Billing Determinants'!H30, '4. Billing Determinants'!D30)))</f>
        <v>0</v>
      </c>
      <c r="E56" s="100">
        <f>HLOOKUP($B29, '5. Allocation of Balances'!$C$4:$Y$50, 47,FALSE)</f>
        <v>0</v>
      </c>
      <c r="F56" s="110">
        <f t="shared" si="3"/>
        <v>0</v>
      </c>
      <c r="G56" t="str">
        <f t="shared" si="4"/>
        <v/>
      </c>
    </row>
    <row r="57" spans="2:7" x14ac:dyDescent="0.2">
      <c r="B57" s="96" t="str">
        <f t="shared" si="2"/>
        <v/>
      </c>
      <c r="C57" s="130" t="str">
        <f>IF(ISBLANK('4. Billing Determinants'!C55), "", '4. Billing Determinants'!C55)</f>
        <v/>
      </c>
      <c r="D57" s="99">
        <f>IF(C57="", 0, IF(C57="kWh", '4. Billing Determinants'!G31, IF(C57="kW", '4. Billing Determinants'!H31, '4. Billing Determinants'!D31)))</f>
        <v>0</v>
      </c>
      <c r="E57" s="100">
        <f>HLOOKUP($B30, '5. Allocation of Balances'!$C$4:$Y$50, 47,FALSE)</f>
        <v>0</v>
      </c>
      <c r="F57" s="110">
        <f t="shared" si="3"/>
        <v>0</v>
      </c>
      <c r="G57" t="str">
        <f t="shared" si="4"/>
        <v/>
      </c>
    </row>
    <row r="58" spans="2:7" x14ac:dyDescent="0.2">
      <c r="B58" s="96" t="str">
        <f t="shared" si="2"/>
        <v/>
      </c>
      <c r="C58" s="130"/>
      <c r="D58" s="99">
        <f>IF(C58="", 0, IF(C58="kWh", '4. Billing Determinants'!G32, IF(C58="kW", '4. Billing Determinants'!H32, '4. Billing Determinants'!D32)))</f>
        <v>0</v>
      </c>
      <c r="E58" s="100">
        <f>HLOOKUP($B31, '5. Allocation of Balances'!$C$4:$Y$50, 47,FALSE)</f>
        <v>0</v>
      </c>
      <c r="F58" s="110">
        <f t="shared" si="3"/>
        <v>0</v>
      </c>
      <c r="G58" t="str">
        <f t="shared" si="4"/>
        <v/>
      </c>
    </row>
    <row r="59" spans="2:7" x14ac:dyDescent="0.2">
      <c r="B59" s="96" t="str">
        <f t="shared" si="2"/>
        <v/>
      </c>
      <c r="C59" s="130" t="str">
        <f>IF(ISBLANK('4. Billing Determinants'!C57), "", '4. Billing Determinants'!C57)</f>
        <v/>
      </c>
      <c r="D59" s="99">
        <f>IF(C59="", 0, IF(C59="kWh", '4. Billing Determinants'!G33, IF(C59="kW", '4. Billing Determinants'!H33, '4. Billing Determinants'!D33)))</f>
        <v>0</v>
      </c>
      <c r="E59" s="100">
        <f>HLOOKUP($B32, '5. Allocation of Balances'!$C$4:$Y$50, 47,FALSE)</f>
        <v>0</v>
      </c>
      <c r="F59" s="110">
        <f t="shared" si="3"/>
        <v>0</v>
      </c>
      <c r="G59" t="str">
        <f t="shared" si="4"/>
        <v/>
      </c>
    </row>
    <row r="60" spans="2:7" x14ac:dyDescent="0.2">
      <c r="B60" s="96" t="str">
        <f t="shared" si="2"/>
        <v/>
      </c>
      <c r="C60" s="130" t="str">
        <f>IF(ISBLANK('4. Billing Determinants'!C58), "", '4. Billing Determinants'!C58)</f>
        <v/>
      </c>
      <c r="D60" s="99">
        <f>IF(C60="", 0, IF(C60="kWh", '4. Billing Determinants'!G34, IF(C60="kW", '4. Billing Determinants'!H34, '4. Billing Determinants'!D34)))</f>
        <v>0</v>
      </c>
      <c r="E60" s="100">
        <f>HLOOKUP($B33, '5. Allocation of Balances'!$C$4:$Y$50, 47,FALSE)</f>
        <v>0</v>
      </c>
      <c r="F60" s="110">
        <f t="shared" si="3"/>
        <v>0</v>
      </c>
      <c r="G60" t="str">
        <f t="shared" si="4"/>
        <v/>
      </c>
    </row>
    <row r="61" spans="2:7" x14ac:dyDescent="0.2">
      <c r="B61" s="96" t="str">
        <f t="shared" si="2"/>
        <v/>
      </c>
      <c r="C61" s="130" t="str">
        <f>IF(ISBLANK('4. Billing Determinants'!C59), "", '4. Billing Determinants'!C59)</f>
        <v/>
      </c>
      <c r="D61" s="99">
        <f>IF(C61="", 0, IF(C61="kWh", '4. Billing Determinants'!G35, IF(C61="kW", '4. Billing Determinants'!H35, '4. Billing Determinants'!D35)))</f>
        <v>0</v>
      </c>
      <c r="E61" s="100">
        <f>HLOOKUP($B34, '5. Allocation of Balances'!$C$4:$Y$50, 47,FALSE)</f>
        <v>0</v>
      </c>
      <c r="F61" s="110">
        <f t="shared" si="3"/>
        <v>0</v>
      </c>
      <c r="G61" t="str">
        <f t="shared" si="4"/>
        <v/>
      </c>
    </row>
    <row r="62" spans="2:7" x14ac:dyDescent="0.2">
      <c r="B62" s="96" t="str">
        <f t="shared" si="2"/>
        <v/>
      </c>
      <c r="C62" s="130"/>
      <c r="D62" s="99">
        <f>IF(C62="", 0, IF(C62="kWh", '4. Billing Determinants'!G36, IF(C62="kW", '4. Billing Determinants'!H36, '4. Billing Determinants'!D36)))</f>
        <v>0</v>
      </c>
      <c r="E62" s="100">
        <f>HLOOKUP($B35, '5. Allocation of Balances'!$C$4:$Y$50, 47,FALSE)</f>
        <v>0</v>
      </c>
      <c r="F62" s="110">
        <f t="shared" si="3"/>
        <v>0</v>
      </c>
      <c r="G62" t="str">
        <f t="shared" si="4"/>
        <v/>
      </c>
    </row>
    <row r="63" spans="2:7" x14ac:dyDescent="0.2">
      <c r="B63" s="96" t="str">
        <f t="shared" si="2"/>
        <v/>
      </c>
      <c r="C63" s="130" t="str">
        <f>IF(ISBLANK('4. Billing Determinants'!C61), "", '4. Billing Determinants'!C61)</f>
        <v/>
      </c>
      <c r="D63" s="99">
        <f>IF(C63="", 0, IF(C63="kWh", '4. Billing Determinants'!G37, IF(C63="kW", '4. Billing Determinants'!H37, '4. Billing Determinants'!D37)))</f>
        <v>0</v>
      </c>
      <c r="E63" s="100">
        <f>HLOOKUP($B36, '5. Allocation of Balances'!$C$4:$Y$50, 47,FALSE)</f>
        <v>0</v>
      </c>
      <c r="F63" s="110">
        <f t="shared" si="3"/>
        <v>0</v>
      </c>
      <c r="G63" t="str">
        <f t="shared" si="4"/>
        <v/>
      </c>
    </row>
    <row r="64" spans="2:7" x14ac:dyDescent="0.2">
      <c r="B64" s="96" t="str">
        <f t="shared" si="2"/>
        <v/>
      </c>
      <c r="C64" s="130" t="str">
        <f>IF(ISBLANK('4. Billing Determinants'!C62), "", '4. Billing Determinants'!C62)</f>
        <v/>
      </c>
      <c r="D64" s="99">
        <f>IF(C64="", 0, IF(C64="kWh", '4. Billing Determinants'!G38, IF(C64="kW", '4. Billing Determinants'!H38, '4. Billing Determinants'!D38)))</f>
        <v>0</v>
      </c>
      <c r="E64" s="100">
        <f>HLOOKUP($B37, '5. Allocation of Balances'!$C$4:$Y$50, 47,FALSE)</f>
        <v>0</v>
      </c>
      <c r="F64" s="110">
        <f t="shared" si="3"/>
        <v>0</v>
      </c>
      <c r="G64" t="str">
        <f t="shared" si="4"/>
        <v/>
      </c>
    </row>
    <row r="65" spans="2:7" x14ac:dyDescent="0.2">
      <c r="B65" s="96" t="str">
        <f t="shared" si="2"/>
        <v/>
      </c>
      <c r="C65" s="130" t="str">
        <f>IF(ISBLANK('4. Billing Determinants'!C63), "", '4. Billing Determinants'!C63)</f>
        <v/>
      </c>
      <c r="D65" s="99">
        <f>IF(C65="", 0, IF(C65="kWh", '4. Billing Determinants'!G39, IF(C65="kW", '4. Billing Determinants'!H39, '4. Billing Determinants'!D39)))</f>
        <v>0</v>
      </c>
      <c r="E65" s="100">
        <f>HLOOKUP($B38, '5. Allocation of Balances'!$C$4:$Y$50, 47,FALSE)</f>
        <v>0</v>
      </c>
      <c r="F65" s="110">
        <f t="shared" si="3"/>
        <v>0</v>
      </c>
      <c r="G65" t="str">
        <f t="shared" si="4"/>
        <v/>
      </c>
    </row>
    <row r="66" spans="2:7" x14ac:dyDescent="0.2">
      <c r="B66" s="96" t="str">
        <f t="shared" si="2"/>
        <v/>
      </c>
      <c r="C66" s="130" t="str">
        <f>IF(ISBLANK('4. Billing Determinants'!C64), "", '4. Billing Determinants'!C64)</f>
        <v/>
      </c>
      <c r="D66" s="99">
        <f>IF(C66="", 0, IF(C66="kWh", '4. Billing Determinants'!G40, IF(C66="kW", '4. Billing Determinants'!H40, '4. Billing Determinants'!D40)))</f>
        <v>0</v>
      </c>
      <c r="E66" s="100">
        <f>HLOOKUP($B39, '5. Allocation of Balances'!$C$4:$Y$50, 47,FALSE)</f>
        <v>0</v>
      </c>
      <c r="F66" s="110">
        <f t="shared" si="3"/>
        <v>0</v>
      </c>
      <c r="G66" t="str">
        <f t="shared" si="4"/>
        <v/>
      </c>
    </row>
    <row r="67" spans="2:7" x14ac:dyDescent="0.2">
      <c r="B67" s="106" t="s">
        <v>103</v>
      </c>
      <c r="C67" s="107"/>
      <c r="D67" s="108"/>
      <c r="E67" s="109">
        <f>SUM(E47:E66)</f>
        <v>1582460.9506639992</v>
      </c>
      <c r="F67" s="106"/>
    </row>
    <row r="69" spans="2:7" ht="18" x14ac:dyDescent="0.25">
      <c r="B69" s="115" t="s">
        <v>152</v>
      </c>
    </row>
    <row r="70" spans="2:7" ht="18" x14ac:dyDescent="0.25">
      <c r="B70" s="115"/>
    </row>
    <row r="71" spans="2:7" x14ac:dyDescent="0.2">
      <c r="B71" s="111" t="s">
        <v>123</v>
      </c>
      <c r="C71" s="112"/>
      <c r="D71" s="113">
        <v>2</v>
      </c>
    </row>
    <row r="73" spans="2:7" x14ac:dyDescent="0.2">
      <c r="B73" s="268" t="s">
        <v>116</v>
      </c>
      <c r="C73" s="267" t="s">
        <v>102</v>
      </c>
      <c r="D73" s="274" t="s">
        <v>124</v>
      </c>
      <c r="E73" s="274" t="s">
        <v>153</v>
      </c>
      <c r="F73" s="276" t="s">
        <v>154</v>
      </c>
    </row>
    <row r="74" spans="2:7" ht="25.5" customHeight="1" x14ac:dyDescent="0.2">
      <c r="B74" s="269"/>
      <c r="C74" s="267"/>
      <c r="D74" s="275"/>
      <c r="E74" s="275"/>
      <c r="F74" s="276"/>
    </row>
    <row r="75" spans="2:7" x14ac:dyDescent="0.2">
      <c r="B75" s="96" t="str">
        <f>B20</f>
        <v>Residential</v>
      </c>
      <c r="C75" s="130" t="s">
        <v>276</v>
      </c>
      <c r="D75" s="99">
        <f>IF(C75="", 0, IF(C75="kWh", '4. Billing Determinants'!E21, IF(C75="kW", '4. Billing Determinants'!F21, '4. Billing Determinants'!D21)))</f>
        <v>412298278</v>
      </c>
      <c r="E75" s="100">
        <f>HLOOKUP($B75, '5. Allocation of Balances'!$C$4:$Y$55, 52,FALSE)</f>
        <v>-2463502.2346515297</v>
      </c>
      <c r="F75" s="110">
        <f>IF(ISERROR(E75/D75), 0, IF(C75="# of Customers", E75/D75/12/$D$71, E75/D75/$D$71))</f>
        <v>-2.9875242829070581E-3</v>
      </c>
      <c r="G75" t="str">
        <f t="shared" ref="G75:G94" si="5">IF(C75="", "", IF(C75="# of Customers", "per customer per month", "$/"&amp;C75))</f>
        <v>$/kWh</v>
      </c>
    </row>
    <row r="76" spans="2:7" x14ac:dyDescent="0.2">
      <c r="B76" s="96" t="str">
        <f t="shared" ref="B76:B94" si="6">B21</f>
        <v>General Service &lt; 50 kW</v>
      </c>
      <c r="C76" s="130" t="s">
        <v>276</v>
      </c>
      <c r="D76" s="99">
        <f>IF(C76="", 0, IF(C76="kWh", '4. Billing Determinants'!E22, IF(C76="kW", '4. Billing Determinants'!F22, '4. Billing Determinants'!D22)))</f>
        <v>124179905</v>
      </c>
      <c r="E76" s="100">
        <f>HLOOKUP($B76, '5. Allocation of Balances'!$C$4:$Y$55, 52,FALSE)</f>
        <v>-741980.96327318321</v>
      </c>
      <c r="F76" s="110">
        <f t="shared" ref="F76:F94" si="7">IF(ISERROR(E76/D76), 0, IF(C76="# of Customers", E76/D76/12/$D$71, E76/D76/$D$71))</f>
        <v>-2.9875242829070581E-3</v>
      </c>
      <c r="G76" t="str">
        <f t="shared" si="5"/>
        <v>$/kWh</v>
      </c>
    </row>
    <row r="77" spans="2:7" x14ac:dyDescent="0.2">
      <c r="B77" s="96" t="str">
        <f t="shared" si="6"/>
        <v>General Service &gt; 50</v>
      </c>
      <c r="C77" s="130" t="s">
        <v>295</v>
      </c>
      <c r="D77" s="99">
        <f>IF(C77="", 0, IF(C77="kWh", '4. Billing Determinants'!E23, IF(C77="kW", '4. Billing Determinants'!F23, '4. Billing Determinants'!D23)))</f>
        <v>1721553.9692533722</v>
      </c>
      <c r="E77" s="100">
        <f>HLOOKUP($B77, '5. Allocation of Balances'!$C$4:$Y$55, 52,FALSE)</f>
        <v>-3919445.4675340499</v>
      </c>
      <c r="F77" s="110">
        <f t="shared" si="7"/>
        <v>-1.1383452211009948</v>
      </c>
      <c r="G77" t="str">
        <f t="shared" si="5"/>
        <v>$/kW</v>
      </c>
    </row>
    <row r="78" spans="2:7" x14ac:dyDescent="0.2">
      <c r="B78" s="96" t="str">
        <f t="shared" si="6"/>
        <v>Unmetered Scattered Load</v>
      </c>
      <c r="C78" s="130" t="s">
        <v>276</v>
      </c>
      <c r="D78" s="99">
        <f>IF(C78="", 0, IF(C78="kWh", '4. Billing Determinants'!E24, IF(C78="kW", '4. Billing Determinants'!F24, '4. Billing Determinants'!D24)))</f>
        <v>2247877</v>
      </c>
      <c r="E78" s="100">
        <f>HLOOKUP($B78, '5. Allocation of Balances'!$C$4:$Y$55, 52,FALSE)</f>
        <v>-13431.174244976539</v>
      </c>
      <c r="F78" s="110">
        <f t="shared" si="7"/>
        <v>-2.9875242829070581E-3</v>
      </c>
      <c r="G78" t="str">
        <f t="shared" si="5"/>
        <v>$/kWh</v>
      </c>
    </row>
    <row r="79" spans="2:7" x14ac:dyDescent="0.2">
      <c r="B79" s="96" t="str">
        <f t="shared" si="6"/>
        <v>Sentinel Lighting</v>
      </c>
      <c r="C79" s="130" t="s">
        <v>295</v>
      </c>
      <c r="D79" s="99">
        <f>IF(C79="", 0, IF(C79="kWh", '4. Billing Determinants'!E25, IF(C79="kW", '4. Billing Determinants'!F25, '4. Billing Determinants'!D25)))</f>
        <v>716.23040649278312</v>
      </c>
      <c r="E79" s="100">
        <f>HLOOKUP($B79, '5. Allocation of Balances'!$C$4:$Y$55, 52,FALSE)</f>
        <v>-1587.0864250029799</v>
      </c>
      <c r="F79" s="110">
        <f t="shared" si="7"/>
        <v>-1.1079440432964722</v>
      </c>
      <c r="G79" t="str">
        <f t="shared" si="5"/>
        <v>$/kW</v>
      </c>
    </row>
    <row r="80" spans="2:7" x14ac:dyDescent="0.2">
      <c r="B80" s="96" t="str">
        <f t="shared" si="6"/>
        <v>Street Lighting</v>
      </c>
      <c r="C80" s="130" t="s">
        <v>295</v>
      </c>
      <c r="D80" s="99">
        <f>IF(C80="", 0, IF(C80="kWh", '4. Billing Determinants'!E26, IF(C80="kW", '4. Billing Determinants'!F26, '4. Billing Determinants'!D26)))</f>
        <v>20808.575811577328</v>
      </c>
      <c r="E80" s="100">
        <f>HLOOKUP($B80, '5. Allocation of Balances'!$C$4:$Y$55, 52,FALSE)</f>
        <v>-43885.423180268772</v>
      </c>
      <c r="F80" s="110">
        <f t="shared" si="7"/>
        <v>-1.0545032869537403</v>
      </c>
      <c r="G80" t="str">
        <f t="shared" si="5"/>
        <v>$/kW</v>
      </c>
    </row>
    <row r="81" spans="2:7" x14ac:dyDescent="0.2">
      <c r="B81" s="96" t="str">
        <f t="shared" si="6"/>
        <v/>
      </c>
      <c r="C81" s="130"/>
      <c r="D81" s="99">
        <f>IF(C81="", 0, IF(C81="kWh", '4. Billing Determinants'!E27, IF(C81="kW", '4. Billing Determinants'!F27, '4. Billing Determinants'!D27)))</f>
        <v>0</v>
      </c>
      <c r="E81" s="100">
        <f>HLOOKUP($B81, '5. Allocation of Balances'!$C$4:$Y$55, 52,FALSE)</f>
        <v>0</v>
      </c>
      <c r="F81" s="110">
        <f t="shared" si="7"/>
        <v>0</v>
      </c>
      <c r="G81" t="str">
        <f t="shared" si="5"/>
        <v/>
      </c>
    </row>
    <row r="82" spans="2:7" x14ac:dyDescent="0.2">
      <c r="B82" s="96" t="str">
        <f t="shared" si="6"/>
        <v/>
      </c>
      <c r="C82" s="130"/>
      <c r="D82" s="99">
        <f>IF(C82="", 0, IF(C82="kWh", '4. Billing Determinants'!E28, IF(C82="kW", '4. Billing Determinants'!F28, '4. Billing Determinants'!D28)))</f>
        <v>0</v>
      </c>
      <c r="E82" s="100">
        <f>HLOOKUP($B82, '5. Allocation of Balances'!$C$4:$Y$55, 52,FALSE)</f>
        <v>0</v>
      </c>
      <c r="F82" s="110">
        <f t="shared" si="7"/>
        <v>0</v>
      </c>
      <c r="G82" t="str">
        <f t="shared" si="5"/>
        <v/>
      </c>
    </row>
    <row r="83" spans="2:7" x14ac:dyDescent="0.2">
      <c r="B83" s="96" t="str">
        <f t="shared" si="6"/>
        <v/>
      </c>
      <c r="C83" s="130"/>
      <c r="D83" s="99">
        <f>IF(C83="", 0, IF(C83="kWh", '4. Billing Determinants'!E29, IF(C83="kW", '4. Billing Determinants'!F29, '4. Billing Determinants'!D29)))</f>
        <v>0</v>
      </c>
      <c r="E83" s="100">
        <f>HLOOKUP($B83, '5. Allocation of Balances'!$C$4:$Y$55, 52,FALSE)</f>
        <v>0</v>
      </c>
      <c r="F83" s="110">
        <f t="shared" si="7"/>
        <v>0</v>
      </c>
      <c r="G83" t="str">
        <f t="shared" si="5"/>
        <v/>
      </c>
    </row>
    <row r="84" spans="2:7" x14ac:dyDescent="0.2">
      <c r="B84" s="96" t="str">
        <f t="shared" si="6"/>
        <v/>
      </c>
      <c r="C84" s="130"/>
      <c r="D84" s="99">
        <f>IF(C84="", 0, IF(C84="kWh", '4. Billing Determinants'!E30, IF(C84="kW", '4. Billing Determinants'!F30, '4. Billing Determinants'!D30)))</f>
        <v>0</v>
      </c>
      <c r="E84" s="100">
        <f>HLOOKUP($B84, '5. Allocation of Balances'!$C$4:$Y$55, 52,FALSE)</f>
        <v>0</v>
      </c>
      <c r="F84" s="110">
        <f t="shared" si="7"/>
        <v>0</v>
      </c>
      <c r="G84" t="str">
        <f t="shared" si="5"/>
        <v/>
      </c>
    </row>
    <row r="85" spans="2:7" x14ac:dyDescent="0.2">
      <c r="B85" s="96" t="str">
        <f t="shared" si="6"/>
        <v/>
      </c>
      <c r="C85" s="130"/>
      <c r="D85" s="99">
        <f>IF(C85="", 0, IF(C85="kWh", '4. Billing Determinants'!E31, IF(C85="kW", '4. Billing Determinants'!F31, '4. Billing Determinants'!D31)))</f>
        <v>0</v>
      </c>
      <c r="E85" s="100">
        <f>HLOOKUP($B85, '5. Allocation of Balances'!$C$4:$Y$55, 52,FALSE)</f>
        <v>0</v>
      </c>
      <c r="F85" s="110">
        <f t="shared" si="7"/>
        <v>0</v>
      </c>
      <c r="G85" t="str">
        <f t="shared" si="5"/>
        <v/>
      </c>
    </row>
    <row r="86" spans="2:7" x14ac:dyDescent="0.2">
      <c r="B86" s="96" t="str">
        <f t="shared" si="6"/>
        <v/>
      </c>
      <c r="C86" s="130"/>
      <c r="D86" s="99">
        <f>IF(C86="", 0, IF(C86="kWh", '4. Billing Determinants'!E32, IF(C86="kW", '4. Billing Determinants'!F32, '4. Billing Determinants'!D32)))</f>
        <v>0</v>
      </c>
      <c r="E86" s="100">
        <f>HLOOKUP($B86, '5. Allocation of Balances'!$C$4:$Y$55, 52,FALSE)</f>
        <v>0</v>
      </c>
      <c r="F86" s="110">
        <f t="shared" si="7"/>
        <v>0</v>
      </c>
      <c r="G86" t="str">
        <f t="shared" si="5"/>
        <v/>
      </c>
    </row>
    <row r="87" spans="2:7" x14ac:dyDescent="0.2">
      <c r="B87" s="96" t="str">
        <f t="shared" si="6"/>
        <v/>
      </c>
      <c r="C87" s="130"/>
      <c r="D87" s="99">
        <f>IF(C87="", 0, IF(C87="kWh", '4. Billing Determinants'!E33, IF(C87="kW", '4. Billing Determinants'!F33, '4. Billing Determinants'!D33)))</f>
        <v>0</v>
      </c>
      <c r="E87" s="100">
        <f>HLOOKUP($B87, '5. Allocation of Balances'!$C$4:$Y$55, 52,FALSE)</f>
        <v>0</v>
      </c>
      <c r="F87" s="110">
        <f t="shared" si="7"/>
        <v>0</v>
      </c>
      <c r="G87" t="str">
        <f t="shared" si="5"/>
        <v/>
      </c>
    </row>
    <row r="88" spans="2:7" x14ac:dyDescent="0.2">
      <c r="B88" s="96" t="str">
        <f t="shared" si="6"/>
        <v/>
      </c>
      <c r="C88" s="130"/>
      <c r="D88" s="99">
        <f>IF(C88="", 0, IF(C88="kWh", '4. Billing Determinants'!E34, IF(C88="kW", '4. Billing Determinants'!F34, '4. Billing Determinants'!D34)))</f>
        <v>0</v>
      </c>
      <c r="E88" s="100">
        <f>HLOOKUP($B88, '5. Allocation of Balances'!$C$4:$Y$55, 52,FALSE)</f>
        <v>0</v>
      </c>
      <c r="F88" s="110">
        <f t="shared" si="7"/>
        <v>0</v>
      </c>
      <c r="G88" t="str">
        <f t="shared" si="5"/>
        <v/>
      </c>
    </row>
    <row r="89" spans="2:7" x14ac:dyDescent="0.2">
      <c r="B89" s="96" t="str">
        <f t="shared" si="6"/>
        <v/>
      </c>
      <c r="C89" s="130"/>
      <c r="D89" s="99">
        <f>IF(C89="", 0, IF(C89="kWh", '4. Billing Determinants'!E35, IF(C89="kW", '4. Billing Determinants'!F35, '4. Billing Determinants'!D35)))</f>
        <v>0</v>
      </c>
      <c r="E89" s="100">
        <f>HLOOKUP($B89, '5. Allocation of Balances'!$C$4:$Y$55, 52,FALSE)</f>
        <v>0</v>
      </c>
      <c r="F89" s="110">
        <f t="shared" si="7"/>
        <v>0</v>
      </c>
      <c r="G89" t="str">
        <f t="shared" si="5"/>
        <v/>
      </c>
    </row>
    <row r="90" spans="2:7" x14ac:dyDescent="0.2">
      <c r="B90" s="96" t="str">
        <f t="shared" si="6"/>
        <v/>
      </c>
      <c r="C90" s="130"/>
      <c r="D90" s="99">
        <f>IF(C90="", 0, IF(C90="kWh", '4. Billing Determinants'!E36, IF(C90="kW", '4. Billing Determinants'!F36, '4. Billing Determinants'!D36)))</f>
        <v>0</v>
      </c>
      <c r="E90" s="100">
        <f>HLOOKUP($B90, '5. Allocation of Balances'!$C$4:$Y$55, 52,FALSE)</f>
        <v>0</v>
      </c>
      <c r="F90" s="110">
        <f t="shared" si="7"/>
        <v>0</v>
      </c>
      <c r="G90" t="str">
        <f t="shared" si="5"/>
        <v/>
      </c>
    </row>
    <row r="91" spans="2:7" x14ac:dyDescent="0.2">
      <c r="B91" s="96" t="str">
        <f t="shared" si="6"/>
        <v/>
      </c>
      <c r="C91" s="130"/>
      <c r="D91" s="99">
        <f>IF(C91="", 0, IF(C91="kWh", '4. Billing Determinants'!E37, IF(C91="kW", '4. Billing Determinants'!F37, '4. Billing Determinants'!D37)))</f>
        <v>0</v>
      </c>
      <c r="E91" s="100">
        <f>HLOOKUP($B91, '5. Allocation of Balances'!$C$4:$Y$55, 52,FALSE)</f>
        <v>0</v>
      </c>
      <c r="F91" s="110">
        <f t="shared" si="7"/>
        <v>0</v>
      </c>
      <c r="G91" t="str">
        <f t="shared" si="5"/>
        <v/>
      </c>
    </row>
    <row r="92" spans="2:7" x14ac:dyDescent="0.2">
      <c r="B92" s="96" t="str">
        <f t="shared" si="6"/>
        <v/>
      </c>
      <c r="C92" s="130"/>
      <c r="D92" s="99">
        <f>IF(C92="", 0, IF(C92="kWh", '4. Billing Determinants'!E38, IF(C92="kW", '4. Billing Determinants'!F38, '4. Billing Determinants'!D38)))</f>
        <v>0</v>
      </c>
      <c r="E92" s="100">
        <f>HLOOKUP($B92, '5. Allocation of Balances'!$C$4:$Y$55, 52,FALSE)</f>
        <v>0</v>
      </c>
      <c r="F92" s="110">
        <f t="shared" si="7"/>
        <v>0</v>
      </c>
      <c r="G92" t="str">
        <f t="shared" si="5"/>
        <v/>
      </c>
    </row>
    <row r="93" spans="2:7" x14ac:dyDescent="0.2">
      <c r="B93" s="96" t="str">
        <f t="shared" si="6"/>
        <v/>
      </c>
      <c r="C93" s="130"/>
      <c r="D93" s="99">
        <f>IF(C93="", 0, IF(C93="kWh", '4. Billing Determinants'!E39, IF(C93="kW", '4. Billing Determinants'!F39, '4. Billing Determinants'!D39)))</f>
        <v>0</v>
      </c>
      <c r="E93" s="100">
        <f>HLOOKUP($B93, '5. Allocation of Balances'!$C$4:$Y$55, 52,FALSE)</f>
        <v>0</v>
      </c>
      <c r="F93" s="110">
        <f t="shared" si="7"/>
        <v>0</v>
      </c>
      <c r="G93" t="str">
        <f t="shared" si="5"/>
        <v/>
      </c>
    </row>
    <row r="94" spans="2:7" x14ac:dyDescent="0.2">
      <c r="B94" s="96" t="str">
        <f t="shared" si="6"/>
        <v/>
      </c>
      <c r="C94" s="130"/>
      <c r="D94" s="99">
        <f>IF(C94="", 0, IF(C94="kWh", '4. Billing Determinants'!E40, IF(C94="kW", '4. Billing Determinants'!F40, '4. Billing Determinants'!D40)))</f>
        <v>0</v>
      </c>
      <c r="E94" s="100">
        <f>HLOOKUP($B94, '5. Allocation of Balances'!$C$4:$Y$55, 52,FALSE)</f>
        <v>0</v>
      </c>
      <c r="F94" s="110">
        <f t="shared" si="7"/>
        <v>0</v>
      </c>
      <c r="G94" t="str">
        <f t="shared" si="5"/>
        <v/>
      </c>
    </row>
    <row r="95" spans="2:7" x14ac:dyDescent="0.2">
      <c r="B95" s="106" t="s">
        <v>103</v>
      </c>
      <c r="C95" s="107"/>
      <c r="D95" s="108"/>
      <c r="E95" s="109">
        <f>SUM(E75:E94)</f>
        <v>-7183832.3493090114</v>
      </c>
      <c r="F95" s="106"/>
    </row>
    <row r="97" spans="2:6" ht="18" x14ac:dyDescent="0.25">
      <c r="B97" s="115" t="s">
        <v>277</v>
      </c>
    </row>
    <row r="98" spans="2:6" ht="18" x14ac:dyDescent="0.25">
      <c r="B98" s="115"/>
    </row>
    <row r="99" spans="2:6" x14ac:dyDescent="0.2">
      <c r="B99" s="111" t="s">
        <v>123</v>
      </c>
      <c r="C99" s="112"/>
      <c r="D99" s="113"/>
    </row>
    <row r="101" spans="2:6" x14ac:dyDescent="0.2">
      <c r="B101" s="268" t="s">
        <v>116</v>
      </c>
      <c r="C101" s="267" t="s">
        <v>102</v>
      </c>
      <c r="D101" s="274" t="s">
        <v>124</v>
      </c>
      <c r="E101" s="274" t="s">
        <v>278</v>
      </c>
      <c r="F101" s="276" t="s">
        <v>279</v>
      </c>
    </row>
    <row r="102" spans="2:6" x14ac:dyDescent="0.2">
      <c r="B102" s="269"/>
      <c r="C102" s="267"/>
      <c r="D102" s="275"/>
      <c r="E102" s="275"/>
      <c r="F102" s="276"/>
    </row>
    <row r="103" spans="2:6" x14ac:dyDescent="0.2">
      <c r="B103" s="96" t="str">
        <f>B20</f>
        <v>Residential</v>
      </c>
      <c r="C103" s="130"/>
      <c r="D103" s="99">
        <f>IF(C103="", 0, IF(C103="kWh", '4. Billing Determinants'!E49, IF(C103="kW", '4. Billing Determinants'!F49, '4. Billing Determinants'!D49)))</f>
        <v>0</v>
      </c>
      <c r="E103" s="100">
        <f>HLOOKUP($B103, '5. Allocation of Balances'!$C$4:$Y$55, 42,FALSE)</f>
        <v>0</v>
      </c>
      <c r="F103" s="110">
        <f>IF(ISERROR(E103/D103), 0, IF(C103="# of Customers", E103/D103/12/$D$71, E103/D103/$D$71))</f>
        <v>0</v>
      </c>
    </row>
    <row r="104" spans="2:6" x14ac:dyDescent="0.2">
      <c r="B104" s="96" t="str">
        <f t="shared" ref="B104:B122" si="8">B21</f>
        <v>General Service &lt; 50 kW</v>
      </c>
      <c r="C104" s="130"/>
      <c r="D104" s="99">
        <f>IF(C104="", 0, IF(C104="kWh", '4. Billing Determinants'!E50, IF(C104="kW", '4. Billing Determinants'!F50, '4. Billing Determinants'!D50)))</f>
        <v>0</v>
      </c>
      <c r="E104" s="100">
        <f>HLOOKUP($B104, '5. Allocation of Balances'!$C$4:$Y$55, 42,FALSE)</f>
        <v>0</v>
      </c>
      <c r="F104" s="110">
        <f t="shared" ref="F104:F122" si="9">IF(ISERROR(E104/D104), 0, IF(C104="# of Customers", E104/D104/12/$D$71, E104/D104/$D$71))</f>
        <v>0</v>
      </c>
    </row>
    <row r="105" spans="2:6" x14ac:dyDescent="0.2">
      <c r="B105" s="96" t="str">
        <f t="shared" si="8"/>
        <v>General Service &gt; 50</v>
      </c>
      <c r="C105" s="130"/>
      <c r="D105" s="99">
        <f>IF(C105="", 0, IF(C105="kWh", '4. Billing Determinants'!E51, IF(C105="kW", '4. Billing Determinants'!F51, '4. Billing Determinants'!D51)))</f>
        <v>0</v>
      </c>
      <c r="E105" s="100">
        <f>HLOOKUP($B105, '5. Allocation of Balances'!$C$4:$Y$55, 42,FALSE)</f>
        <v>0</v>
      </c>
      <c r="F105" s="110">
        <f t="shared" si="9"/>
        <v>0</v>
      </c>
    </row>
    <row r="106" spans="2:6" x14ac:dyDescent="0.2">
      <c r="B106" s="96" t="str">
        <f t="shared" si="8"/>
        <v>Unmetered Scattered Load</v>
      </c>
      <c r="C106" s="130"/>
      <c r="D106" s="99">
        <f>IF(C106="", 0, IF(C106="kWh", '4. Billing Determinants'!E52, IF(C106="kW", '4. Billing Determinants'!F52, '4. Billing Determinants'!D52)))</f>
        <v>0</v>
      </c>
      <c r="E106" s="100">
        <f>HLOOKUP($B106, '5. Allocation of Balances'!$C$4:$Y$55, 42,FALSE)</f>
        <v>0</v>
      </c>
      <c r="F106" s="110">
        <f t="shared" si="9"/>
        <v>0</v>
      </c>
    </row>
    <row r="107" spans="2:6" x14ac:dyDescent="0.2">
      <c r="B107" s="96" t="str">
        <f t="shared" si="8"/>
        <v>Sentinel Lighting</v>
      </c>
      <c r="C107" s="130"/>
      <c r="D107" s="99">
        <f>IF(C107="", 0, IF(C107="kWh", '4. Billing Determinants'!E53, IF(C107="kW", '4. Billing Determinants'!F53, '4. Billing Determinants'!D53)))</f>
        <v>0</v>
      </c>
      <c r="E107" s="100">
        <f>HLOOKUP($B107, '5. Allocation of Balances'!$C$4:$Y$55, 42,FALSE)</f>
        <v>0</v>
      </c>
      <c r="F107" s="110">
        <f t="shared" si="9"/>
        <v>0</v>
      </c>
    </row>
    <row r="108" spans="2:6" x14ac:dyDescent="0.2">
      <c r="B108" s="96" t="str">
        <f t="shared" si="8"/>
        <v>Street Lighting</v>
      </c>
      <c r="C108" s="130"/>
      <c r="D108" s="99">
        <f>IF(C108="", 0, IF(C108="kWh", '4. Billing Determinants'!E54, IF(C108="kW", '4. Billing Determinants'!F54, '4. Billing Determinants'!D54)))</f>
        <v>0</v>
      </c>
      <c r="E108" s="100">
        <f>HLOOKUP($B108, '5. Allocation of Balances'!$C$4:$Y$55, 42,FALSE)</f>
        <v>0</v>
      </c>
      <c r="F108" s="110">
        <f t="shared" si="9"/>
        <v>0</v>
      </c>
    </row>
    <row r="109" spans="2:6" x14ac:dyDescent="0.2">
      <c r="B109" s="96" t="str">
        <f t="shared" si="8"/>
        <v/>
      </c>
      <c r="C109" s="130"/>
      <c r="D109" s="99">
        <f>IF(C109="", 0, IF(C109="kWh", '4. Billing Determinants'!E55, IF(C109="kW", '4. Billing Determinants'!F55, '4. Billing Determinants'!D55)))</f>
        <v>0</v>
      </c>
      <c r="E109" s="100">
        <f>HLOOKUP($B109, '5. Allocation of Balances'!$C$4:$Y$55, 42,FALSE)</f>
        <v>0</v>
      </c>
      <c r="F109" s="110">
        <f t="shared" si="9"/>
        <v>0</v>
      </c>
    </row>
    <row r="110" spans="2:6" x14ac:dyDescent="0.2">
      <c r="B110" s="96" t="str">
        <f t="shared" si="8"/>
        <v/>
      </c>
      <c r="C110" s="130"/>
      <c r="D110" s="99">
        <f>IF(C110="", 0, IF(C110="kWh", '4. Billing Determinants'!E56, IF(C110="kW", '4. Billing Determinants'!F56, '4. Billing Determinants'!D56)))</f>
        <v>0</v>
      </c>
      <c r="E110" s="100">
        <f>HLOOKUP($B110, '5. Allocation of Balances'!$C$4:$Y$55, 42,FALSE)</f>
        <v>0</v>
      </c>
      <c r="F110" s="110">
        <f t="shared" si="9"/>
        <v>0</v>
      </c>
    </row>
    <row r="111" spans="2:6" x14ac:dyDescent="0.2">
      <c r="B111" s="96" t="str">
        <f t="shared" si="8"/>
        <v/>
      </c>
      <c r="C111" s="130"/>
      <c r="D111" s="99">
        <f>IF(C111="", 0, IF(C111="kWh", '4. Billing Determinants'!E57, IF(C111="kW", '4. Billing Determinants'!F57, '4. Billing Determinants'!D57)))</f>
        <v>0</v>
      </c>
      <c r="E111" s="100">
        <f>HLOOKUP($B111, '5. Allocation of Balances'!$C$4:$Y$55, 42,FALSE)</f>
        <v>0</v>
      </c>
      <c r="F111" s="110">
        <f t="shared" si="9"/>
        <v>0</v>
      </c>
    </row>
    <row r="112" spans="2:6" x14ac:dyDescent="0.2">
      <c r="B112" s="96" t="str">
        <f t="shared" si="8"/>
        <v/>
      </c>
      <c r="C112" s="130"/>
      <c r="D112" s="99">
        <f>IF(C112="", 0, IF(C112="kWh", '4. Billing Determinants'!E58, IF(C112="kW", '4. Billing Determinants'!F58, '4. Billing Determinants'!D58)))</f>
        <v>0</v>
      </c>
      <c r="E112" s="100">
        <f>HLOOKUP($B112, '5. Allocation of Balances'!$C$4:$Y$55, 42,FALSE)</f>
        <v>0</v>
      </c>
      <c r="F112" s="110">
        <f t="shared" si="9"/>
        <v>0</v>
      </c>
    </row>
    <row r="113" spans="2:6" x14ac:dyDescent="0.2">
      <c r="B113" s="96" t="str">
        <f t="shared" si="8"/>
        <v/>
      </c>
      <c r="C113" s="130"/>
      <c r="D113" s="99">
        <f>IF(C113="", 0, IF(C113="kWh", '4. Billing Determinants'!E59, IF(C113="kW", '4. Billing Determinants'!F59, '4. Billing Determinants'!D59)))</f>
        <v>0</v>
      </c>
      <c r="E113" s="100">
        <f>HLOOKUP($B113, '5. Allocation of Balances'!$C$4:$Y$55, 42,FALSE)</f>
        <v>0</v>
      </c>
      <c r="F113" s="110">
        <f t="shared" si="9"/>
        <v>0</v>
      </c>
    </row>
    <row r="114" spans="2:6" x14ac:dyDescent="0.2">
      <c r="B114" s="96" t="str">
        <f t="shared" si="8"/>
        <v/>
      </c>
      <c r="C114" s="130"/>
      <c r="D114" s="99">
        <f>IF(C114="", 0, IF(C114="kWh", '4. Billing Determinants'!E60, IF(C114="kW", '4. Billing Determinants'!F60, '4. Billing Determinants'!D60)))</f>
        <v>0</v>
      </c>
      <c r="E114" s="100">
        <f>HLOOKUP($B114, '5. Allocation of Balances'!$C$4:$Y$55, 42,FALSE)</f>
        <v>0</v>
      </c>
      <c r="F114" s="110">
        <f t="shared" si="9"/>
        <v>0</v>
      </c>
    </row>
    <row r="115" spans="2:6" x14ac:dyDescent="0.2">
      <c r="B115" s="96" t="str">
        <f t="shared" si="8"/>
        <v/>
      </c>
      <c r="C115" s="130"/>
      <c r="D115" s="99">
        <f>IF(C115="", 0, IF(C115="kWh", '4. Billing Determinants'!E61, IF(C115="kW", '4. Billing Determinants'!F61, '4. Billing Determinants'!D61)))</f>
        <v>0</v>
      </c>
      <c r="E115" s="100">
        <f>HLOOKUP($B115, '5. Allocation of Balances'!$C$4:$Y$55, 42,FALSE)</f>
        <v>0</v>
      </c>
      <c r="F115" s="110">
        <f t="shared" si="9"/>
        <v>0</v>
      </c>
    </row>
    <row r="116" spans="2:6" x14ac:dyDescent="0.2">
      <c r="B116" s="96" t="str">
        <f t="shared" si="8"/>
        <v/>
      </c>
      <c r="C116" s="130"/>
      <c r="D116" s="99">
        <f>IF(C116="", 0, IF(C116="kWh", '4. Billing Determinants'!E62, IF(C116="kW", '4. Billing Determinants'!F62, '4. Billing Determinants'!D62)))</f>
        <v>0</v>
      </c>
      <c r="E116" s="100">
        <f>HLOOKUP($B116, '5. Allocation of Balances'!$C$4:$Y$55, 42,FALSE)</f>
        <v>0</v>
      </c>
      <c r="F116" s="110">
        <f t="shared" si="9"/>
        <v>0</v>
      </c>
    </row>
    <row r="117" spans="2:6" x14ac:dyDescent="0.2">
      <c r="B117" s="96" t="str">
        <f t="shared" si="8"/>
        <v/>
      </c>
      <c r="C117" s="130"/>
      <c r="D117" s="99">
        <f>IF(C117="", 0, IF(C117="kWh", '4. Billing Determinants'!E63, IF(C117="kW", '4. Billing Determinants'!F63, '4. Billing Determinants'!D63)))</f>
        <v>0</v>
      </c>
      <c r="E117" s="100">
        <f>HLOOKUP($B117, '5. Allocation of Balances'!$C$4:$Y$55, 42,FALSE)</f>
        <v>0</v>
      </c>
      <c r="F117" s="110">
        <f t="shared" si="9"/>
        <v>0</v>
      </c>
    </row>
    <row r="118" spans="2:6" x14ac:dyDescent="0.2">
      <c r="B118" s="96" t="str">
        <f t="shared" si="8"/>
        <v/>
      </c>
      <c r="C118" s="130"/>
      <c r="D118" s="99">
        <f>IF(C118="", 0, IF(C118="kWh", '4. Billing Determinants'!E64, IF(C118="kW", '4. Billing Determinants'!F64, '4. Billing Determinants'!D64)))</f>
        <v>0</v>
      </c>
      <c r="E118" s="100">
        <f>HLOOKUP($B118, '5. Allocation of Balances'!$C$4:$Y$55, 42,FALSE)</f>
        <v>0</v>
      </c>
      <c r="F118" s="110">
        <f t="shared" si="9"/>
        <v>0</v>
      </c>
    </row>
    <row r="119" spans="2:6" x14ac:dyDescent="0.2">
      <c r="B119" s="96" t="str">
        <f t="shared" si="8"/>
        <v/>
      </c>
      <c r="C119" s="130"/>
      <c r="D119" s="99">
        <f>IF(C119="", 0, IF(C119="kWh", '4. Billing Determinants'!E65, IF(C119="kW", '4. Billing Determinants'!F65, '4. Billing Determinants'!D65)))</f>
        <v>0</v>
      </c>
      <c r="E119" s="100">
        <f>HLOOKUP($B119, '5. Allocation of Balances'!$C$4:$Y$55, 42,FALSE)</f>
        <v>0</v>
      </c>
      <c r="F119" s="110">
        <f t="shared" si="9"/>
        <v>0</v>
      </c>
    </row>
    <row r="120" spans="2:6" x14ac:dyDescent="0.2">
      <c r="B120" s="96" t="str">
        <f t="shared" si="8"/>
        <v/>
      </c>
      <c r="C120" s="130"/>
      <c r="D120" s="99">
        <f>IF(C120="", 0, IF(C120="kWh", '4. Billing Determinants'!E66, IF(C120="kW", '4. Billing Determinants'!F66, '4. Billing Determinants'!D66)))</f>
        <v>0</v>
      </c>
      <c r="E120" s="100">
        <f>HLOOKUP($B120, '5. Allocation of Balances'!$C$4:$Y$55, 42,FALSE)</f>
        <v>0</v>
      </c>
      <c r="F120" s="110">
        <f t="shared" si="9"/>
        <v>0</v>
      </c>
    </row>
    <row r="121" spans="2:6" x14ac:dyDescent="0.2">
      <c r="B121" s="96" t="str">
        <f t="shared" si="8"/>
        <v/>
      </c>
      <c r="C121" s="130"/>
      <c r="D121" s="99">
        <f>IF(C121="", 0, IF(C121="kWh", '4. Billing Determinants'!E67, IF(C121="kW", '4. Billing Determinants'!F67, '4. Billing Determinants'!D67)))</f>
        <v>0</v>
      </c>
      <c r="E121" s="100">
        <f>HLOOKUP($B121, '5. Allocation of Balances'!$C$4:$Y$55, 42,FALSE)</f>
        <v>0</v>
      </c>
      <c r="F121" s="110">
        <f t="shared" si="9"/>
        <v>0</v>
      </c>
    </row>
    <row r="122" spans="2:6" x14ac:dyDescent="0.2">
      <c r="B122" s="96" t="str">
        <f t="shared" si="8"/>
        <v/>
      </c>
      <c r="C122" s="130"/>
      <c r="D122" s="99">
        <f>IF(C122="", 0, IF(C122="kWh", '4. Billing Determinants'!E68, IF(C122="kW", '4. Billing Determinants'!F68, '4. Billing Determinants'!D68)))</f>
        <v>0</v>
      </c>
      <c r="E122" s="100">
        <f>HLOOKUP($B122, '5. Allocation of Balances'!$C$4:$Y$55, 42,FALSE)</f>
        <v>0</v>
      </c>
      <c r="F122" s="110">
        <f t="shared" si="9"/>
        <v>0</v>
      </c>
    </row>
    <row r="123" spans="2:6" x14ac:dyDescent="0.2">
      <c r="B123" s="106" t="s">
        <v>103</v>
      </c>
      <c r="C123" s="107"/>
      <c r="D123" s="108"/>
      <c r="E123" s="109">
        <f>SUM(E103:E122)</f>
        <v>0</v>
      </c>
      <c r="F123" s="106"/>
    </row>
  </sheetData>
  <sheetProtection password="F8BD" sheet="1" objects="1" scenarios="1"/>
  <mergeCells count="20">
    <mergeCell ref="B101:B102"/>
    <mergeCell ref="C101:C102"/>
    <mergeCell ref="D101:D102"/>
    <mergeCell ref="E101:E102"/>
    <mergeCell ref="F101:F102"/>
    <mergeCell ref="B73:B74"/>
    <mergeCell ref="C73:C74"/>
    <mergeCell ref="D73:D74"/>
    <mergeCell ref="E73:E74"/>
    <mergeCell ref="F73:F74"/>
    <mergeCell ref="B45:B46"/>
    <mergeCell ref="C45:C46"/>
    <mergeCell ref="D18:D19"/>
    <mergeCell ref="E18:E19"/>
    <mergeCell ref="F18:F19"/>
    <mergeCell ref="E45:E46"/>
    <mergeCell ref="F45:F46"/>
    <mergeCell ref="D45:D46"/>
    <mergeCell ref="B18:B19"/>
    <mergeCell ref="C18:C19"/>
  </mergeCells>
  <conditionalFormatting sqref="C26:C39">
    <cfRule type="cellIs" dxfId="9" priority="13" operator="equal">
      <formula>"kW"</formula>
    </cfRule>
  </conditionalFormatting>
  <conditionalFormatting sqref="G20:G39">
    <cfRule type="cellIs" dxfId="8" priority="10" operator="equal">
      <formula>"$/kW"</formula>
    </cfRule>
  </conditionalFormatting>
  <conditionalFormatting sqref="G47:G66">
    <cfRule type="cellIs" dxfId="7" priority="9" operator="equal">
      <formula>"$/kW"</formula>
    </cfRule>
  </conditionalFormatting>
  <conditionalFormatting sqref="C53:C66">
    <cfRule type="cellIs" dxfId="6" priority="7" operator="equal">
      <formula>"kW"</formula>
    </cfRule>
  </conditionalFormatting>
  <conditionalFormatting sqref="C81:C94">
    <cfRule type="cellIs" dxfId="5" priority="6" operator="equal">
      <formula>"kW"</formula>
    </cfRule>
  </conditionalFormatting>
  <conditionalFormatting sqref="G75:G94">
    <cfRule type="cellIs" dxfId="4" priority="5" operator="equal">
      <formula>"$/kW"</formula>
    </cfRule>
  </conditionalFormatting>
  <conditionalFormatting sqref="C103:C122">
    <cfRule type="cellIs" dxfId="3" priority="4" operator="equal">
      <formula>"kW"</formula>
    </cfRule>
  </conditionalFormatting>
  <conditionalFormatting sqref="C20:C25">
    <cfRule type="cellIs" dxfId="2" priority="3" operator="equal">
      <formula>"kW"</formula>
    </cfRule>
  </conditionalFormatting>
  <conditionalFormatting sqref="C47:C52">
    <cfRule type="cellIs" dxfId="1" priority="2" operator="equal">
      <formula>"kW"</formula>
    </cfRule>
  </conditionalFormatting>
  <conditionalFormatting sqref="C75:C80">
    <cfRule type="cellIs" dxfId="0" priority="1" operator="equal">
      <formula>"kW"</formula>
    </cfRule>
  </conditionalFormatting>
  <dataValidations count="3">
    <dataValidation type="list" allowBlank="1" showInputMessage="1" showErrorMessage="1" sqref="D13">
      <formula1>"1,2,3,4"</formula1>
    </dataValidation>
    <dataValidation type="list" allowBlank="1" showInputMessage="1" showErrorMessage="1" sqref="C20:C39 C47:C66 C103:C122 C75:C94">
      <formula1>"kWh, kW, # of Customers"</formula1>
    </dataValidation>
    <dataValidation type="list" allowBlank="1" showInputMessage="1" showErrorMessage="1" sqref="D71 D99">
      <formula1>"1,2,3,4,5"</formula1>
    </dataValidation>
  </dataValidations>
  <pageMargins left="0.7" right="0.7" top="0.48" bottom="0.41" header="0.3" footer="0.3"/>
  <pageSetup scale="55" orientation="portrait" horizontalDpi="4294967295" verticalDpi="4294967295" r:id="rId1"/>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62"/>
  <sheetViews>
    <sheetView zoomScaleNormal="100" workbookViewId="0">
      <selection activeCell="E27" sqref="E27"/>
    </sheetView>
  </sheetViews>
  <sheetFormatPr defaultRowHeight="12.75" x14ac:dyDescent="0.2"/>
  <cols>
    <col min="1" max="1" width="69.28515625" customWidth="1"/>
    <col min="3" max="8" width="20.42578125" customWidth="1"/>
    <col min="9" max="11" width="21.140625" customWidth="1"/>
  </cols>
  <sheetData>
    <row r="1" spans="1:10" ht="34.5" customHeight="1" x14ac:dyDescent="0.2">
      <c r="C1" s="277" t="s">
        <v>259</v>
      </c>
      <c r="D1" s="277" t="s">
        <v>260</v>
      </c>
      <c r="E1" s="277" t="s">
        <v>267</v>
      </c>
      <c r="F1" s="277" t="s">
        <v>262</v>
      </c>
      <c r="G1" s="277" t="s">
        <v>266</v>
      </c>
      <c r="H1" s="277" t="s">
        <v>28</v>
      </c>
      <c r="I1" s="277" t="s">
        <v>268</v>
      </c>
      <c r="J1" s="277" t="s">
        <v>265</v>
      </c>
    </row>
    <row r="2" spans="1:10" ht="34.5" customHeight="1" x14ac:dyDescent="0.2">
      <c r="C2" s="278"/>
      <c r="D2" s="278"/>
      <c r="E2" s="278"/>
      <c r="F2" s="277"/>
      <c r="G2" s="277"/>
      <c r="H2" s="277"/>
      <c r="I2" s="277"/>
      <c r="J2" s="277"/>
    </row>
    <row r="3" spans="1:10" ht="34.5" customHeight="1" x14ac:dyDescent="0.2">
      <c r="C3" s="278"/>
      <c r="D3" s="278"/>
      <c r="E3" s="278"/>
      <c r="F3" s="277"/>
      <c r="G3" s="277"/>
      <c r="H3" s="277" t="s">
        <v>13</v>
      </c>
      <c r="I3" s="277"/>
      <c r="J3" s="277"/>
    </row>
    <row r="4" spans="1:10" ht="15" customHeight="1" x14ac:dyDescent="0.2">
      <c r="A4" s="196" t="s">
        <v>44</v>
      </c>
      <c r="B4" s="197">
        <v>1508</v>
      </c>
      <c r="C4" s="100">
        <f>VLOOKUP(A4, '2. 2014 Continuity Schedule'!$C$20:$BQ$82, MATCH('2. 2014 Continuity Schedule'!BK$20, '2. 2014 Continuity Schedule'!C$20:BQ$20,0),FALSE)</f>
        <v>16187</v>
      </c>
      <c r="D4" s="100">
        <f>VLOOKUP(A4, '2. 2014 Continuity Schedule'!$C$20:$BQ$82, MATCH('2. 2014 Continuity Schedule'!BL$20, '2. 2014 Continuity Schedule'!C$20:BQ$20,0),FALSE)</f>
        <v>487.28999999999996</v>
      </c>
      <c r="E4" s="100">
        <f>SUM(C4:D4)</f>
        <v>16674.29</v>
      </c>
      <c r="F4" s="100">
        <f>VLOOKUP(A4, '2. 2014 Continuity Schedule'!$C$20:$BQ$82, MATCH('2. 2014 Continuity Schedule'!BM$20, '2. 2014 Continuity Schedule'!C$20:BQ$20,0),FALSE)</f>
        <v>237.94889999999998</v>
      </c>
      <c r="G4" s="100">
        <f>VLOOKUP(A4, '2. 2014 Continuity Schedule'!$C$20:$BQ$82, MATCH('2. 2014 Continuity Schedule'!BN$20, '2. 2014 Continuity Schedule'!C$20:BQ$20,0),FALSE)</f>
        <v>79.316299999999998</v>
      </c>
      <c r="H4" s="100">
        <f>SUM(E4:G4)</f>
        <v>16991.555199999999</v>
      </c>
      <c r="I4" s="100">
        <f>VLOOKUP(A4, '2. 2014 Continuity Schedule'!$C$20:$BQ$82, MATCH('2. 2014 Continuity Schedule'!BP$20, '2. 2014 Continuity Schedule'!C$20:BQ$20,0),FALSE)</f>
        <v>16674.3</v>
      </c>
      <c r="J4" s="100">
        <f>VLOOKUP(A4, '2. 2014 Continuity Schedule'!$C$20:$BQ$82, MATCH('2. 2014 Continuity Schedule'!BQ$20, '2. 2014 Continuity Schedule'!C$20:BQ$20,0),FALSE)</f>
        <v>9.9999999983992893E-3</v>
      </c>
    </row>
    <row r="5" spans="1:10" ht="14.25" x14ac:dyDescent="0.2">
      <c r="A5" s="196" t="s">
        <v>45</v>
      </c>
      <c r="B5" s="197">
        <v>1508</v>
      </c>
      <c r="C5" s="100">
        <f>VLOOKUP(A5, '2. 2014 Continuity Schedule'!$C$20:$BQ$82, MATCH('2. 2014 Continuity Schedule'!BK$20, '2. 2014 Continuity Schedule'!C$20:BQ$20,0),FALSE)</f>
        <v>6551.57</v>
      </c>
      <c r="D5" s="100">
        <f>VLOOKUP(A5, '2. 2014 Continuity Schedule'!$C$20:$BQ$82, MATCH('2. 2014 Continuity Schedule'!BL$20, '2. 2014 Continuity Schedule'!C$20:BQ$20,0),FALSE)</f>
        <v>189.01</v>
      </c>
      <c r="E5" s="100">
        <f t="shared" ref="E5:E44" si="0">SUM(C5:D5)</f>
        <v>6740.58</v>
      </c>
      <c r="F5" s="100">
        <f>VLOOKUP(A5, '2. 2014 Continuity Schedule'!$C$20:$BQ$82, MATCH('2. 2014 Continuity Schedule'!BM$20, '2. 2014 Continuity Schedule'!C$20:BQ$20,0),FALSE)</f>
        <v>96.308078999999992</v>
      </c>
      <c r="G5" s="100">
        <f>VLOOKUP(A5, '2. 2014 Continuity Schedule'!$C$20:$BQ$82, MATCH('2. 2014 Continuity Schedule'!BN$20, '2. 2014 Continuity Schedule'!C$20:BQ$20,0),FALSE)</f>
        <v>32.102692999999995</v>
      </c>
      <c r="H5" s="100">
        <f t="shared" ref="H5:H44" si="1">SUM(E5:G5)</f>
        <v>6868.9907720000001</v>
      </c>
      <c r="I5" s="100">
        <f>VLOOKUP(A5, '2. 2014 Continuity Schedule'!$C$20:$BQ$82, MATCH('2. 2014 Continuity Schedule'!BP$20, '2. 2014 Continuity Schedule'!C$20:BQ$20,0),FALSE)</f>
        <v>6740.57</v>
      </c>
      <c r="J5" s="100">
        <f>VLOOKUP(A5, '2. 2014 Continuity Schedule'!$C$20:$BQ$82, MATCH('2. 2014 Continuity Schedule'!BQ$20, '2. 2014 Continuity Schedule'!C$20:BQ$20,0),FALSE)</f>
        <v>-1.0000000000218279E-2</v>
      </c>
    </row>
    <row r="6" spans="1:10" ht="30.75" x14ac:dyDescent="0.2">
      <c r="A6" s="198" t="s">
        <v>69</v>
      </c>
      <c r="B6" s="197">
        <v>1508</v>
      </c>
      <c r="C6" s="100">
        <f>VLOOKUP(A6, '2. 2014 Continuity Schedule'!$C$20:$BQ$82, MATCH('2. 2014 Continuity Schedule'!BK$20, '2. 2014 Continuity Schedule'!C$20:BQ$20,0),FALSE)</f>
        <v>0</v>
      </c>
      <c r="D6" s="100">
        <f>VLOOKUP(A6, '2. 2014 Continuity Schedule'!$C$20:$BQ$82, MATCH('2. 2014 Continuity Schedule'!BL$20, '2. 2014 Continuity Schedule'!C$20:BQ$20,0),FALSE)</f>
        <v>0</v>
      </c>
      <c r="E6" s="100">
        <f t="shared" si="0"/>
        <v>0</v>
      </c>
      <c r="F6" s="100">
        <f>VLOOKUP(A6, '2. 2014 Continuity Schedule'!$C$20:$BQ$82, MATCH('2. 2014 Continuity Schedule'!BM$20, '2. 2014 Continuity Schedule'!C$20:BQ$20,0),FALSE)</f>
        <v>0</v>
      </c>
      <c r="G6" s="100">
        <f>VLOOKUP(A6, '2. 2014 Continuity Schedule'!$C$20:$BQ$82, MATCH('2. 2014 Continuity Schedule'!BN$20, '2. 2014 Continuity Schedule'!C$20:BQ$20,0),FALSE)</f>
        <v>0</v>
      </c>
      <c r="H6" s="100">
        <f t="shared" si="1"/>
        <v>0</v>
      </c>
      <c r="I6" s="100">
        <f>VLOOKUP(A6, '2. 2014 Continuity Schedule'!$C$20:$BQ$82, MATCH('2. 2014 Continuity Schedule'!BP$20, '2. 2014 Continuity Schedule'!C$20:BQ$20,0),FALSE)</f>
        <v>0</v>
      </c>
      <c r="J6" s="100">
        <f>VLOOKUP(A6, '2. 2014 Continuity Schedule'!$C$20:$BQ$82, MATCH('2. 2014 Continuity Schedule'!BQ$20, '2. 2014 Continuity Schedule'!C$20:BQ$20,0),FALSE)</f>
        <v>0</v>
      </c>
    </row>
    <row r="7" spans="1:10" ht="28.5" x14ac:dyDescent="0.2">
      <c r="A7" s="198" t="s">
        <v>58</v>
      </c>
      <c r="B7" s="197">
        <v>1508</v>
      </c>
      <c r="C7" s="100">
        <f>VLOOKUP(A7, '2. 2014 Continuity Schedule'!$C$20:$BQ$82, MATCH('2. 2014 Continuity Schedule'!BK$20, '2. 2014 Continuity Schedule'!C$20:BQ$20,0),FALSE)</f>
        <v>0</v>
      </c>
      <c r="D7" s="100">
        <f>VLOOKUP(A7, '2. 2014 Continuity Schedule'!$C$20:$BQ$82, MATCH('2. 2014 Continuity Schedule'!BL$20, '2. 2014 Continuity Schedule'!C$20:BQ$20,0),FALSE)</f>
        <v>0</v>
      </c>
      <c r="E7" s="100">
        <f t="shared" si="0"/>
        <v>0</v>
      </c>
      <c r="F7" s="100">
        <f>VLOOKUP(A7, '2. 2014 Continuity Schedule'!$C$20:$BQ$82, MATCH('2. 2014 Continuity Schedule'!BM$20, '2. 2014 Continuity Schedule'!C$20:BQ$20,0),FALSE)</f>
        <v>0</v>
      </c>
      <c r="G7" s="100">
        <f>VLOOKUP(A7, '2. 2014 Continuity Schedule'!$C$20:$BQ$82, MATCH('2. 2014 Continuity Schedule'!BN$20, '2. 2014 Continuity Schedule'!C$20:BQ$20,0),FALSE)</f>
        <v>0</v>
      </c>
      <c r="H7" s="100">
        <f t="shared" si="1"/>
        <v>0</v>
      </c>
      <c r="I7" s="100">
        <f>VLOOKUP(A7, '2. 2014 Continuity Schedule'!$C$20:$BQ$82, MATCH('2. 2014 Continuity Schedule'!BP$20, '2. 2014 Continuity Schedule'!C$20:BQ$20,0),FALSE)</f>
        <v>0</v>
      </c>
      <c r="J7" s="100">
        <f>VLOOKUP(A7, '2. 2014 Continuity Schedule'!$C$20:$BQ$82, MATCH('2. 2014 Continuity Schedule'!BQ$20, '2. 2014 Continuity Schedule'!C$20:BQ$20,0),FALSE)</f>
        <v>0</v>
      </c>
    </row>
    <row r="8" spans="1:10" ht="16.5" x14ac:dyDescent="0.2">
      <c r="A8" s="196" t="s">
        <v>68</v>
      </c>
      <c r="B8" s="197">
        <v>1508</v>
      </c>
      <c r="C8" s="100">
        <f>VLOOKUP(A8, '2. 2014 Continuity Schedule'!$C$20:$BQ$82, MATCH('2. 2014 Continuity Schedule'!BK$20, '2. 2014 Continuity Schedule'!C$20:BQ$20,0),FALSE)</f>
        <v>0</v>
      </c>
      <c r="D8" s="100">
        <f>VLOOKUP(A8, '2. 2014 Continuity Schedule'!$C$20:$BQ$82, MATCH('2. 2014 Continuity Schedule'!BL$20, '2. 2014 Continuity Schedule'!C$20:BQ$20,0),FALSE)</f>
        <v>0</v>
      </c>
      <c r="E8" s="100">
        <f t="shared" si="0"/>
        <v>0</v>
      </c>
      <c r="F8" s="100">
        <f>VLOOKUP(A8, '2. 2014 Continuity Schedule'!$C$20:$BQ$82, MATCH('2. 2014 Continuity Schedule'!BM$20, '2. 2014 Continuity Schedule'!C$20:BQ$20,0),FALSE)</f>
        <v>0</v>
      </c>
      <c r="G8" s="100">
        <f>VLOOKUP(A8, '2. 2014 Continuity Schedule'!$C$20:$BQ$82, MATCH('2. 2014 Continuity Schedule'!BN$20, '2. 2014 Continuity Schedule'!C$20:BQ$20,0),FALSE)</f>
        <v>0</v>
      </c>
      <c r="H8" s="100">
        <f t="shared" si="1"/>
        <v>0</v>
      </c>
      <c r="I8" s="100">
        <f>VLOOKUP(A8, '2. 2014 Continuity Schedule'!$C$20:$BQ$82, MATCH('2. 2014 Continuity Schedule'!BP$20, '2. 2014 Continuity Schedule'!C$20:BQ$20,0),FALSE)</f>
        <v>0</v>
      </c>
      <c r="J8" s="100">
        <f>VLOOKUP(A8, '2. 2014 Continuity Schedule'!$C$20:$BQ$82, MATCH('2. 2014 Continuity Schedule'!BQ$20, '2. 2014 Continuity Schedule'!C$20:BQ$20,0),FALSE)</f>
        <v>0</v>
      </c>
    </row>
    <row r="9" spans="1:10" ht="14.25" x14ac:dyDescent="0.2">
      <c r="A9" s="196" t="s">
        <v>4</v>
      </c>
      <c r="B9" s="197">
        <v>1518</v>
      </c>
      <c r="C9" s="100">
        <f>VLOOKUP(A9, '2. 2014 Continuity Schedule'!$C$20:$BQ$82, MATCH('2. 2014 Continuity Schedule'!BK$20, '2. 2014 Continuity Schedule'!C$20:BQ$20,0),FALSE)</f>
        <v>138753.22999999992</v>
      </c>
      <c r="D9" s="100">
        <f>VLOOKUP(A9, '2. 2014 Continuity Schedule'!$C$20:$BQ$82, MATCH('2. 2014 Continuity Schedule'!BL$20, '2. 2014 Continuity Schedule'!C$20:BQ$20,0),FALSE)</f>
        <v>0</v>
      </c>
      <c r="E9" s="100">
        <f t="shared" si="0"/>
        <v>138753.22999999992</v>
      </c>
      <c r="F9" s="100">
        <f>VLOOKUP(A9, '2. 2014 Continuity Schedule'!$C$20:$BQ$82, MATCH('2. 2014 Continuity Schedule'!BM$20, '2. 2014 Continuity Schedule'!C$20:BQ$20,0),FALSE)</f>
        <v>0</v>
      </c>
      <c r="G9" s="100">
        <f>VLOOKUP(A9, '2. 2014 Continuity Schedule'!$C$20:$BQ$82, MATCH('2. 2014 Continuity Schedule'!BN$20, '2. 2014 Continuity Schedule'!C$20:BQ$20,0),FALSE)</f>
        <v>0</v>
      </c>
      <c r="H9" s="100">
        <f t="shared" si="1"/>
        <v>138753.22999999992</v>
      </c>
      <c r="I9" s="100">
        <f>VLOOKUP(A9, '2. 2014 Continuity Schedule'!$C$20:$BQ$82, MATCH('2. 2014 Continuity Schedule'!BP$20, '2. 2014 Continuity Schedule'!C$20:BQ$20,0),FALSE)</f>
        <v>138753.23000000001</v>
      </c>
      <c r="J9" s="100">
        <f>VLOOKUP(A9, '2. 2014 Continuity Schedule'!$C$20:$BQ$82, MATCH('2. 2014 Continuity Schedule'!BQ$20, '2. 2014 Continuity Schedule'!C$20:BQ$20,0),FALSE)</f>
        <v>0</v>
      </c>
    </row>
    <row r="10" spans="1:10" ht="14.25" x14ac:dyDescent="0.2">
      <c r="A10" s="196" t="s">
        <v>9</v>
      </c>
      <c r="B10" s="197">
        <v>1525</v>
      </c>
      <c r="C10" s="100">
        <f>VLOOKUP(A10, '2. 2014 Continuity Schedule'!$C$20:$BQ$82, MATCH('2. 2014 Continuity Schedule'!BK$20, '2. 2014 Continuity Schedule'!C$20:BQ$20,0),FALSE)</f>
        <v>0</v>
      </c>
      <c r="D10" s="100">
        <f>VLOOKUP(A10, '2. 2014 Continuity Schedule'!$C$20:$BQ$82, MATCH('2. 2014 Continuity Schedule'!BL$20, '2. 2014 Continuity Schedule'!C$20:BQ$20,0),FALSE)</f>
        <v>0</v>
      </c>
      <c r="E10" s="100">
        <f t="shared" si="0"/>
        <v>0</v>
      </c>
      <c r="F10" s="100">
        <f>VLOOKUP(A10, '2. 2014 Continuity Schedule'!$C$20:$BQ$82, MATCH('2. 2014 Continuity Schedule'!BM$20, '2. 2014 Continuity Schedule'!C$20:BQ$20,0),FALSE)</f>
        <v>0</v>
      </c>
      <c r="G10" s="100">
        <f>VLOOKUP(A10, '2. 2014 Continuity Schedule'!$C$20:$BQ$82, MATCH('2. 2014 Continuity Schedule'!BN$20, '2. 2014 Continuity Schedule'!C$20:BQ$20,0),FALSE)</f>
        <v>0</v>
      </c>
      <c r="H10" s="100">
        <f t="shared" si="1"/>
        <v>0</v>
      </c>
      <c r="I10" s="100">
        <f>VLOOKUP(A10, '2. 2014 Continuity Schedule'!$C$20:$BQ$82, MATCH('2. 2014 Continuity Schedule'!BP$20, '2. 2014 Continuity Schedule'!C$20:BQ$20,0),FALSE)</f>
        <v>0</v>
      </c>
      <c r="J10" s="100">
        <f>VLOOKUP(A10, '2. 2014 Continuity Schedule'!$C$20:$BQ$82, MATCH('2. 2014 Continuity Schedule'!BQ$20, '2. 2014 Continuity Schedule'!C$20:BQ$20,0),FALSE)</f>
        <v>0</v>
      </c>
    </row>
    <row r="11" spans="1:10" ht="14.25" x14ac:dyDescent="0.2">
      <c r="A11" s="196" t="s">
        <v>41</v>
      </c>
      <c r="B11" s="197">
        <v>1531</v>
      </c>
      <c r="C11" s="100">
        <f>VLOOKUP(A11, '2. 2014 Continuity Schedule'!$C$20:$BQ$82, MATCH('2. 2014 Continuity Schedule'!BK$20, '2. 2014 Continuity Schedule'!C$20:BQ$20,0),FALSE)</f>
        <v>0</v>
      </c>
      <c r="D11" s="100">
        <f>VLOOKUP(A11, '2. 2014 Continuity Schedule'!$C$20:$BQ$82, MATCH('2. 2014 Continuity Schedule'!BL$20, '2. 2014 Continuity Schedule'!C$20:BQ$20,0),FALSE)</f>
        <v>0</v>
      </c>
      <c r="E11" s="100">
        <f t="shared" si="0"/>
        <v>0</v>
      </c>
      <c r="F11" s="100">
        <f>VLOOKUP(A11, '2. 2014 Continuity Schedule'!$C$20:$BQ$82, MATCH('2. 2014 Continuity Schedule'!BM$20, '2. 2014 Continuity Schedule'!C$20:BQ$20,0),FALSE)</f>
        <v>0</v>
      </c>
      <c r="G11" s="100">
        <f>VLOOKUP(A11, '2. 2014 Continuity Schedule'!$C$20:$BQ$82, MATCH('2. 2014 Continuity Schedule'!BN$20, '2. 2014 Continuity Schedule'!C$20:BQ$20,0),FALSE)</f>
        <v>0</v>
      </c>
      <c r="H11" s="100">
        <f t="shared" si="1"/>
        <v>0</v>
      </c>
      <c r="I11" s="100">
        <f>VLOOKUP(A11, '2. 2014 Continuity Schedule'!$C$20:$BQ$82, MATCH('2. 2014 Continuity Schedule'!BP$20, '2. 2014 Continuity Schedule'!C$20:BQ$20,0),FALSE)</f>
        <v>0</v>
      </c>
      <c r="J11" s="100">
        <f>VLOOKUP(A11, '2. 2014 Continuity Schedule'!$C$20:$BQ$82, MATCH('2. 2014 Continuity Schedule'!BQ$20, '2. 2014 Continuity Schedule'!C$20:BQ$20,0),FALSE)</f>
        <v>0</v>
      </c>
    </row>
    <row r="12" spans="1:10" ht="14.25" x14ac:dyDescent="0.2">
      <c r="A12" s="196" t="s">
        <v>42</v>
      </c>
      <c r="B12" s="197">
        <v>1532</v>
      </c>
      <c r="C12" s="100">
        <f>VLOOKUP(A12, '2. 2014 Continuity Schedule'!$C$20:$BQ$82, MATCH('2. 2014 Continuity Schedule'!BK$20, '2. 2014 Continuity Schedule'!C$20:BQ$20,0),FALSE)</f>
        <v>0</v>
      </c>
      <c r="D12" s="100">
        <f>VLOOKUP(A12, '2. 2014 Continuity Schedule'!$C$20:$BQ$82, MATCH('2. 2014 Continuity Schedule'!BL$20, '2. 2014 Continuity Schedule'!C$20:BQ$20,0),FALSE)</f>
        <v>0</v>
      </c>
      <c r="E12" s="100">
        <f t="shared" si="0"/>
        <v>0</v>
      </c>
      <c r="F12" s="100">
        <f>VLOOKUP(A12, '2. 2014 Continuity Schedule'!$C$20:$BQ$82, MATCH('2. 2014 Continuity Schedule'!BM$20, '2. 2014 Continuity Schedule'!C$20:BQ$20,0),FALSE)</f>
        <v>0</v>
      </c>
      <c r="G12" s="100">
        <f>VLOOKUP(A12, '2. 2014 Continuity Schedule'!$C$20:$BQ$82, MATCH('2. 2014 Continuity Schedule'!BN$20, '2. 2014 Continuity Schedule'!C$20:BQ$20,0),FALSE)</f>
        <v>0</v>
      </c>
      <c r="H12" s="100">
        <f t="shared" si="1"/>
        <v>0</v>
      </c>
      <c r="I12" s="100">
        <f>VLOOKUP(A12, '2. 2014 Continuity Schedule'!$C$20:$BQ$82, MATCH('2. 2014 Continuity Schedule'!BP$20, '2. 2014 Continuity Schedule'!C$20:BQ$20,0),FALSE)</f>
        <v>0</v>
      </c>
      <c r="J12" s="100">
        <f>VLOOKUP(A12, '2. 2014 Continuity Schedule'!$C$20:$BQ$82, MATCH('2. 2014 Continuity Schedule'!BQ$20, '2. 2014 Continuity Schedule'!C$20:BQ$20,0),FALSE)</f>
        <v>0</v>
      </c>
    </row>
    <row r="13" spans="1:10" ht="14.25" x14ac:dyDescent="0.2">
      <c r="A13" s="199" t="s">
        <v>25</v>
      </c>
      <c r="B13" s="197">
        <v>1533</v>
      </c>
      <c r="C13" s="100">
        <f>VLOOKUP(A13, '2. 2014 Continuity Schedule'!$C$20:$BQ$82, MATCH('2. 2014 Continuity Schedule'!BK$20, '2. 2014 Continuity Schedule'!C$20:BQ$20,0),FALSE)</f>
        <v>0</v>
      </c>
      <c r="D13" s="100">
        <f>VLOOKUP(A13, '2. 2014 Continuity Schedule'!$C$20:$BQ$82, MATCH('2. 2014 Continuity Schedule'!BL$20, '2. 2014 Continuity Schedule'!C$20:BQ$20,0),FALSE)</f>
        <v>0</v>
      </c>
      <c r="E13" s="100">
        <f t="shared" si="0"/>
        <v>0</v>
      </c>
      <c r="F13" s="100">
        <f>VLOOKUP(A13, '2. 2014 Continuity Schedule'!$C$20:$BQ$82, MATCH('2. 2014 Continuity Schedule'!BM$20, '2. 2014 Continuity Schedule'!C$20:BQ$20,0),FALSE)</f>
        <v>0</v>
      </c>
      <c r="G13" s="100">
        <f>VLOOKUP(A13, '2. 2014 Continuity Schedule'!$C$20:$BQ$82, MATCH('2. 2014 Continuity Schedule'!BN$20, '2. 2014 Continuity Schedule'!C$20:BQ$20,0),FALSE)</f>
        <v>0</v>
      </c>
      <c r="H13" s="100">
        <f t="shared" si="1"/>
        <v>0</v>
      </c>
      <c r="I13" s="100">
        <f>VLOOKUP(A13, '2. 2014 Continuity Schedule'!$C$20:$BQ$82, MATCH('2. 2014 Continuity Schedule'!BP$20, '2. 2014 Continuity Schedule'!C$20:BQ$20,0),FALSE)</f>
        <v>0</v>
      </c>
      <c r="J13" s="100">
        <f>VLOOKUP(A13, '2. 2014 Continuity Schedule'!$C$20:$BQ$82, MATCH('2. 2014 Continuity Schedule'!BQ$20, '2. 2014 Continuity Schedule'!C$20:BQ$20,0),FALSE)</f>
        <v>0</v>
      </c>
    </row>
    <row r="14" spans="1:10" ht="14.25" x14ac:dyDescent="0.2">
      <c r="A14" s="196" t="s">
        <v>17</v>
      </c>
      <c r="B14" s="197">
        <v>1534</v>
      </c>
      <c r="C14" s="100">
        <f>VLOOKUP(A14, '2. 2014 Continuity Schedule'!$C$20:$BQ$82, MATCH('2. 2014 Continuity Schedule'!BK$20, '2. 2014 Continuity Schedule'!C$20:BQ$20,0),FALSE)</f>
        <v>0</v>
      </c>
      <c r="D14" s="100">
        <f>VLOOKUP(A14, '2. 2014 Continuity Schedule'!$C$20:$BQ$82, MATCH('2. 2014 Continuity Schedule'!BL$20, '2. 2014 Continuity Schedule'!C$20:BQ$20,0),FALSE)</f>
        <v>0</v>
      </c>
      <c r="E14" s="100">
        <f t="shared" si="0"/>
        <v>0</v>
      </c>
      <c r="F14" s="100">
        <f>VLOOKUP(A14, '2. 2014 Continuity Schedule'!$C$20:$BQ$82, MATCH('2. 2014 Continuity Schedule'!BM$20, '2. 2014 Continuity Schedule'!C$20:BQ$20,0),FALSE)</f>
        <v>0</v>
      </c>
      <c r="G14" s="100">
        <f>VLOOKUP(A14, '2. 2014 Continuity Schedule'!$C$20:$BQ$82, MATCH('2. 2014 Continuity Schedule'!BN$20, '2. 2014 Continuity Schedule'!C$20:BQ$20,0),FALSE)</f>
        <v>0</v>
      </c>
      <c r="H14" s="100">
        <f t="shared" si="1"/>
        <v>0</v>
      </c>
      <c r="I14" s="100">
        <f>VLOOKUP(A14, '2. 2014 Continuity Schedule'!$C$20:$BQ$82, MATCH('2. 2014 Continuity Schedule'!BP$20, '2. 2014 Continuity Schedule'!C$20:BQ$20,0),FALSE)</f>
        <v>0</v>
      </c>
      <c r="J14" s="100">
        <f>VLOOKUP(A14, '2. 2014 Continuity Schedule'!$C$20:$BQ$82, MATCH('2. 2014 Continuity Schedule'!BQ$20, '2. 2014 Continuity Schedule'!C$20:BQ$20,0),FALSE)</f>
        <v>0</v>
      </c>
    </row>
    <row r="15" spans="1:10" ht="14.25" x14ac:dyDescent="0.2">
      <c r="A15" s="196" t="s">
        <v>18</v>
      </c>
      <c r="B15" s="197">
        <v>1535</v>
      </c>
      <c r="C15" s="100">
        <f>VLOOKUP(A15, '2. 2014 Continuity Schedule'!$C$20:$BQ$82, MATCH('2. 2014 Continuity Schedule'!BK$20, '2. 2014 Continuity Schedule'!C$20:BQ$20,0),FALSE)</f>
        <v>18720.96</v>
      </c>
      <c r="D15" s="100">
        <f>VLOOKUP(A15, '2. 2014 Continuity Schedule'!$C$20:$BQ$82, MATCH('2. 2014 Continuity Schedule'!BL$20, '2. 2014 Continuity Schedule'!C$20:BQ$20,0),FALSE)</f>
        <v>0</v>
      </c>
      <c r="E15" s="100">
        <f t="shared" si="0"/>
        <v>18720.96</v>
      </c>
      <c r="F15" s="100">
        <f>VLOOKUP(A15, '2. 2014 Continuity Schedule'!$C$20:$BQ$82, MATCH('2. 2014 Continuity Schedule'!BM$20, '2. 2014 Continuity Schedule'!C$20:BQ$20,0),FALSE)</f>
        <v>275.19811199999998</v>
      </c>
      <c r="G15" s="100">
        <f>VLOOKUP(A15, '2. 2014 Continuity Schedule'!$C$20:$BQ$82, MATCH('2. 2014 Continuity Schedule'!BN$20, '2. 2014 Continuity Schedule'!C$20:BQ$20,0),FALSE)</f>
        <v>91.732703999999998</v>
      </c>
      <c r="H15" s="100">
        <f t="shared" si="1"/>
        <v>19087.890815999996</v>
      </c>
      <c r="I15" s="100">
        <f>VLOOKUP(A15, '2. 2014 Continuity Schedule'!$C$20:$BQ$82, MATCH('2. 2014 Continuity Schedule'!BP$20, '2. 2014 Continuity Schedule'!C$20:BQ$20,0),FALSE)</f>
        <v>18720.96</v>
      </c>
      <c r="J15" s="100">
        <f>VLOOKUP(A15, '2. 2014 Continuity Schedule'!$C$20:$BQ$82, MATCH('2. 2014 Continuity Schedule'!BQ$20, '2. 2014 Continuity Schedule'!C$20:BQ$20,0),FALSE)</f>
        <v>0</v>
      </c>
    </row>
    <row r="16" spans="1:10" ht="14.25" x14ac:dyDescent="0.2">
      <c r="A16" s="196" t="s">
        <v>23</v>
      </c>
      <c r="B16" s="197">
        <v>1536</v>
      </c>
      <c r="C16" s="100">
        <f>VLOOKUP(A16, '2. 2014 Continuity Schedule'!$C$20:$BQ$82, MATCH('2. 2014 Continuity Schedule'!BK$20, '2. 2014 Continuity Schedule'!C$20:BQ$20,0),FALSE)</f>
        <v>0</v>
      </c>
      <c r="D16" s="100">
        <f>VLOOKUP(A16, '2. 2014 Continuity Schedule'!$C$20:$BQ$82, MATCH('2. 2014 Continuity Schedule'!BL$20, '2. 2014 Continuity Schedule'!C$20:BQ$20,0),FALSE)</f>
        <v>0</v>
      </c>
      <c r="E16" s="100">
        <f t="shared" si="0"/>
        <v>0</v>
      </c>
      <c r="F16" s="100">
        <f>VLOOKUP(A16, '2. 2014 Continuity Schedule'!$C$20:$BQ$82, MATCH('2. 2014 Continuity Schedule'!BM$20, '2. 2014 Continuity Schedule'!C$20:BQ$20,0),FALSE)</f>
        <v>0</v>
      </c>
      <c r="G16" s="100">
        <f>VLOOKUP(A16, '2. 2014 Continuity Schedule'!$C$20:$BQ$82, MATCH('2. 2014 Continuity Schedule'!BN$20, '2. 2014 Continuity Schedule'!C$20:BQ$20,0),FALSE)</f>
        <v>0</v>
      </c>
      <c r="H16" s="100">
        <f t="shared" si="1"/>
        <v>0</v>
      </c>
      <c r="I16" s="100">
        <f>VLOOKUP(A16, '2. 2014 Continuity Schedule'!$C$20:$BQ$82, MATCH('2. 2014 Continuity Schedule'!BP$20, '2. 2014 Continuity Schedule'!C$20:BQ$20,0),FALSE)</f>
        <v>0</v>
      </c>
      <c r="J16" s="100">
        <f>VLOOKUP(A16, '2. 2014 Continuity Schedule'!$C$20:$BQ$82, MATCH('2. 2014 Continuity Schedule'!BQ$20, '2. 2014 Continuity Schedule'!C$20:BQ$20,0),FALSE)</f>
        <v>0</v>
      </c>
    </row>
    <row r="17" spans="1:10" ht="14.25" x14ac:dyDescent="0.2">
      <c r="A17" s="196" t="s">
        <v>5</v>
      </c>
      <c r="B17" s="197">
        <v>1548</v>
      </c>
      <c r="C17" s="100">
        <f>VLOOKUP(A17, '2. 2014 Continuity Schedule'!$C$20:$BQ$82, MATCH('2. 2014 Continuity Schedule'!BK$20, '2. 2014 Continuity Schedule'!C$20:BQ$20,0),FALSE)</f>
        <v>178967.35000000006</v>
      </c>
      <c r="D17" s="100">
        <f>VLOOKUP(A17, '2. 2014 Continuity Schedule'!$C$20:$BQ$82, MATCH('2. 2014 Continuity Schedule'!BL$20, '2. 2014 Continuity Schedule'!C$20:BQ$20,0),FALSE)</f>
        <v>0</v>
      </c>
      <c r="E17" s="100">
        <f t="shared" si="0"/>
        <v>178967.35000000006</v>
      </c>
      <c r="F17" s="100">
        <f>VLOOKUP(A17, '2. 2014 Continuity Schedule'!$C$20:$BQ$82, MATCH('2. 2014 Continuity Schedule'!BM$20, '2. 2014 Continuity Schedule'!C$20:BQ$20,0),FALSE)</f>
        <v>0</v>
      </c>
      <c r="G17" s="100">
        <f>VLOOKUP(A17, '2. 2014 Continuity Schedule'!$C$20:$BQ$82, MATCH('2. 2014 Continuity Schedule'!BN$20, '2. 2014 Continuity Schedule'!C$20:BQ$20,0),FALSE)</f>
        <v>0</v>
      </c>
      <c r="H17" s="100">
        <f t="shared" si="1"/>
        <v>178967.35000000006</v>
      </c>
      <c r="I17" s="100">
        <f>VLOOKUP(A17, '2. 2014 Continuity Schedule'!$C$20:$BQ$82, MATCH('2. 2014 Continuity Schedule'!BP$20, '2. 2014 Continuity Schedule'!C$20:BQ$20,0),FALSE)</f>
        <v>178967.35</v>
      </c>
      <c r="J17" s="100">
        <f>VLOOKUP(A17, '2. 2014 Continuity Schedule'!$C$20:$BQ$82, MATCH('2. 2014 Continuity Schedule'!BQ$20, '2. 2014 Continuity Schedule'!C$20:BQ$20,0),FALSE)</f>
        <v>0</v>
      </c>
    </row>
    <row r="18" spans="1:10" ht="14.25" x14ac:dyDescent="0.2">
      <c r="A18" s="196" t="s">
        <v>39</v>
      </c>
      <c r="B18" s="197">
        <v>1550</v>
      </c>
      <c r="C18" s="100">
        <f>VLOOKUP(A18, '2. 2014 Continuity Schedule'!$C$20:$BQ$82, MATCH('2. 2014 Continuity Schedule'!BK$20, '2. 2014 Continuity Schedule'!C$20:BQ$20,0),FALSE)</f>
        <v>67738.479999999981</v>
      </c>
      <c r="D18" s="100">
        <f>VLOOKUP(A18, '2. 2014 Continuity Schedule'!$C$20:$BQ$82, MATCH('2. 2014 Continuity Schedule'!BL$20, '2. 2014 Continuity Schedule'!C$20:BQ$20,0),FALSE)</f>
        <v>5489.0600000000013</v>
      </c>
      <c r="E18" s="100">
        <f t="shared" si="0"/>
        <v>73227.539999999979</v>
      </c>
      <c r="F18" s="100">
        <f>VLOOKUP(A18, '2. 2014 Continuity Schedule'!$C$20:$BQ$82, MATCH('2. 2014 Continuity Schedule'!BM$20, '2. 2014 Continuity Schedule'!C$20:BQ$20,0),FALSE)</f>
        <v>995.7556559999997</v>
      </c>
      <c r="G18" s="100">
        <f>VLOOKUP(A18, '2. 2014 Continuity Schedule'!$C$20:$BQ$82, MATCH('2. 2014 Continuity Schedule'!BN$20, '2. 2014 Continuity Schedule'!C$20:BQ$20,0),FALSE)</f>
        <v>331.91855199999992</v>
      </c>
      <c r="H18" s="100">
        <f t="shared" si="1"/>
        <v>74555.214207999976</v>
      </c>
      <c r="I18" s="100">
        <f>VLOOKUP(A18, '2. 2014 Continuity Schedule'!$C$20:$BQ$82, MATCH('2. 2014 Continuity Schedule'!BP$20, '2. 2014 Continuity Schedule'!C$20:BQ$20,0),FALSE)</f>
        <v>-50959.88</v>
      </c>
      <c r="J18" s="100">
        <f>VLOOKUP(A18, '2. 2014 Continuity Schedule'!$C$20:$BQ$82, MATCH('2. 2014 Continuity Schedule'!BQ$20, '2. 2014 Continuity Schedule'!C$20:BQ$20,0),FALSE)</f>
        <v>0.3900000000212458</v>
      </c>
    </row>
    <row r="19" spans="1:10" ht="14.25" x14ac:dyDescent="0.2">
      <c r="A19" s="196" t="s">
        <v>244</v>
      </c>
      <c r="B19" s="197">
        <v>1551</v>
      </c>
      <c r="C19" s="100">
        <f>VLOOKUP(A19, '2. 2014 Continuity Schedule'!$C$20:$BQ$82, MATCH('2. 2014 Continuity Schedule'!BK$20, '2. 2014 Continuity Schedule'!C$20:BQ$20,0),FALSE)</f>
        <v>36447.160000000003</v>
      </c>
      <c r="D19" s="100">
        <f>VLOOKUP(A19, '2. 2014 Continuity Schedule'!$C$20:$BQ$82, MATCH('2. 2014 Continuity Schedule'!BL$20, '2. 2014 Continuity Schedule'!C$20:BQ$20,0),FALSE)</f>
        <v>509.07</v>
      </c>
      <c r="E19" s="100">
        <f t="shared" si="0"/>
        <v>36956.230000000003</v>
      </c>
      <c r="F19" s="100">
        <f>VLOOKUP(A19, '2. 2014 Continuity Schedule'!$C$20:$BQ$82, MATCH('2. 2014 Continuity Schedule'!BM$20, '2. 2014 Continuity Schedule'!C$20:BQ$20,0),FALSE)</f>
        <v>535.77325200000007</v>
      </c>
      <c r="G19" s="100">
        <f>VLOOKUP(A19, '2. 2014 Continuity Schedule'!$C$20:$BQ$82, MATCH('2. 2014 Continuity Schedule'!BN$20, '2. 2014 Continuity Schedule'!C$20:BQ$20,0),FALSE)</f>
        <v>178.59108400000002</v>
      </c>
      <c r="H19" s="100">
        <f t="shared" si="1"/>
        <v>37670.594336000002</v>
      </c>
      <c r="I19" s="100">
        <f>VLOOKUP(A19, '2. 2014 Continuity Schedule'!$C$20:$BQ$82, MATCH('2. 2014 Continuity Schedule'!BP$20, '2. 2014 Continuity Schedule'!C$20:BQ$20,0),FALSE)</f>
        <v>36956.230000000003</v>
      </c>
      <c r="J19" s="100">
        <f>VLOOKUP(A19, '2. 2014 Continuity Schedule'!$C$20:$BQ$82, MATCH('2. 2014 Continuity Schedule'!BQ$20, '2. 2014 Continuity Schedule'!C$20:BQ$20,0),FALSE)</f>
        <v>0</v>
      </c>
    </row>
    <row r="20" spans="1:10" ht="16.5" x14ac:dyDescent="0.2">
      <c r="A20" s="196" t="s">
        <v>143</v>
      </c>
      <c r="B20" s="197">
        <v>1555</v>
      </c>
      <c r="C20" s="100">
        <f>VLOOKUP(A20, '2. 2014 Continuity Schedule'!$C$20:$BQ$82, MATCH('2. 2014 Continuity Schedule'!BK$20, '2. 2014 Continuity Schedule'!C$20:BQ$20,0),FALSE)</f>
        <v>0</v>
      </c>
      <c r="D20" s="100">
        <f>VLOOKUP(A20, '2. 2014 Continuity Schedule'!$C$20:$BQ$82, MATCH('2. 2014 Continuity Schedule'!BL$20, '2. 2014 Continuity Schedule'!C$20:BQ$20,0),FALSE)</f>
        <v>0</v>
      </c>
      <c r="E20" s="100">
        <f t="shared" si="0"/>
        <v>0</v>
      </c>
      <c r="F20" s="100">
        <f>VLOOKUP(A20, '2. 2014 Continuity Schedule'!$C$20:$BQ$82, MATCH('2. 2014 Continuity Schedule'!BM$20, '2. 2014 Continuity Schedule'!C$20:BQ$20,0),FALSE)</f>
        <v>0</v>
      </c>
      <c r="G20" s="100">
        <f>VLOOKUP(A20, '2. 2014 Continuity Schedule'!$C$20:$BQ$82, MATCH('2. 2014 Continuity Schedule'!BN$20, '2. 2014 Continuity Schedule'!C$20:BQ$20,0),FALSE)</f>
        <v>0</v>
      </c>
      <c r="H20" s="100">
        <f t="shared" si="1"/>
        <v>0</v>
      </c>
      <c r="I20" s="100">
        <f>VLOOKUP(A20, '2. 2014 Continuity Schedule'!$C$20:$BQ$82, MATCH('2. 2014 Continuity Schedule'!BP$20, '2. 2014 Continuity Schedule'!C$20:BQ$20,0),FALSE)</f>
        <v>1501898.02</v>
      </c>
      <c r="J20" s="100">
        <f>VLOOKUP(A20, '2. 2014 Continuity Schedule'!$C$20:$BQ$82, MATCH('2. 2014 Continuity Schedule'!BQ$20, '2. 2014 Continuity Schedule'!C$20:BQ$20,0),FALSE)</f>
        <v>0</v>
      </c>
    </row>
    <row r="21" spans="1:10" ht="16.5" x14ac:dyDescent="0.2">
      <c r="A21" s="196" t="s">
        <v>144</v>
      </c>
      <c r="B21" s="197">
        <v>1555</v>
      </c>
      <c r="C21" s="100">
        <f>VLOOKUP(A21, '2. 2014 Continuity Schedule'!$C$20:$BQ$82, MATCH('2. 2014 Continuity Schedule'!BK$20, '2. 2014 Continuity Schedule'!C$20:BQ$20,0),FALSE)</f>
        <v>0</v>
      </c>
      <c r="D21" s="100">
        <f>VLOOKUP(A21, '2. 2014 Continuity Schedule'!$C$20:$BQ$82, MATCH('2. 2014 Continuity Schedule'!BL$20, '2. 2014 Continuity Schedule'!C$20:BQ$20,0),FALSE)</f>
        <v>0</v>
      </c>
      <c r="E21" s="100">
        <f t="shared" si="0"/>
        <v>0</v>
      </c>
      <c r="F21" s="100">
        <f>VLOOKUP(A21, '2. 2014 Continuity Schedule'!$C$20:$BQ$82, MATCH('2. 2014 Continuity Schedule'!BM$20, '2. 2014 Continuity Schedule'!C$20:BQ$20,0),FALSE)</f>
        <v>0</v>
      </c>
      <c r="G21" s="100">
        <f>VLOOKUP(A21, '2. 2014 Continuity Schedule'!$C$20:$BQ$82, MATCH('2. 2014 Continuity Schedule'!BN$20, '2. 2014 Continuity Schedule'!C$20:BQ$20,0),FALSE)</f>
        <v>0</v>
      </c>
      <c r="H21" s="100">
        <f t="shared" si="1"/>
        <v>0</v>
      </c>
      <c r="I21" s="100">
        <f>VLOOKUP(A21, '2. 2014 Continuity Schedule'!$C$20:$BQ$82, MATCH('2. 2014 Continuity Schedule'!BP$20, '2. 2014 Continuity Schedule'!C$20:BQ$20,0),FALSE)</f>
        <v>-2301639.71</v>
      </c>
      <c r="J21" s="100">
        <f>VLOOKUP(A21, '2. 2014 Continuity Schedule'!$C$20:$BQ$82, MATCH('2. 2014 Continuity Schedule'!BQ$20, '2. 2014 Continuity Schedule'!C$20:BQ$20,0),FALSE)</f>
        <v>0</v>
      </c>
    </row>
    <row r="22" spans="1:10" ht="16.5" x14ac:dyDescent="0.2">
      <c r="A22" s="196" t="s">
        <v>145</v>
      </c>
      <c r="B22" s="197">
        <v>1555</v>
      </c>
      <c r="C22" s="100">
        <f>VLOOKUP(A22, '2. 2014 Continuity Schedule'!$C$20:$BQ$82, MATCH('2. 2014 Continuity Schedule'!BK$20, '2. 2014 Continuity Schedule'!C$20:BQ$20,0),FALSE)</f>
        <v>1295155.0002034702</v>
      </c>
      <c r="D22" s="100">
        <f>VLOOKUP(A22, '2. 2014 Continuity Schedule'!$C$20:$BQ$82, MATCH('2. 2014 Continuity Schedule'!BL$20, '2. 2014 Continuity Schedule'!C$20:BQ$20,0),FALSE)</f>
        <v>0</v>
      </c>
      <c r="E22" s="100">
        <f t="shared" si="0"/>
        <v>1295155.0002034702</v>
      </c>
      <c r="F22" s="100">
        <f>VLOOKUP(A22, '2. 2014 Continuity Schedule'!$C$20:$BQ$82, MATCH('2. 2014 Continuity Schedule'!BM$20, '2. 2014 Continuity Schedule'!C$20:BQ$20,0),FALSE)</f>
        <v>0</v>
      </c>
      <c r="G22" s="100">
        <f>VLOOKUP(A22, '2. 2014 Continuity Schedule'!$C$20:$BQ$82, MATCH('2. 2014 Continuity Schedule'!BN$20, '2. 2014 Continuity Schedule'!C$20:BQ$20,0),FALSE)</f>
        <v>0</v>
      </c>
      <c r="H22" s="100">
        <f t="shared" si="1"/>
        <v>1295155.0002034702</v>
      </c>
      <c r="I22" s="100">
        <f>VLOOKUP(A22, '2. 2014 Continuity Schedule'!$C$20:$BQ$82, MATCH('2. 2014 Continuity Schedule'!BP$20, '2. 2014 Continuity Schedule'!C$20:BQ$20,0),FALSE)</f>
        <v>1351365.75</v>
      </c>
      <c r="J22" s="100">
        <f>VLOOKUP(A22, '2. 2014 Continuity Schedule'!$C$20:$BQ$82, MATCH('2. 2014 Continuity Schedule'!BQ$20, '2. 2014 Continuity Schedule'!C$20:BQ$20,0),FALSE)</f>
        <v>56210.749796529766</v>
      </c>
    </row>
    <row r="23" spans="1:10" ht="16.5" x14ac:dyDescent="0.2">
      <c r="A23" s="196" t="s">
        <v>146</v>
      </c>
      <c r="B23" s="197">
        <v>1556</v>
      </c>
      <c r="C23" s="100">
        <f>VLOOKUP(A23, '2. 2014 Continuity Schedule'!$C$20:$BQ$82, MATCH('2. 2014 Continuity Schedule'!BK$20, '2. 2014 Continuity Schedule'!C$20:BQ$20,0),FALSE)</f>
        <v>-11450.570000000065</v>
      </c>
      <c r="D23" s="100">
        <f>VLOOKUP(A23, '2. 2014 Continuity Schedule'!$C$20:$BQ$82, MATCH('2. 2014 Continuity Schedule'!BL$20, '2. 2014 Continuity Schedule'!C$20:BQ$20,0),FALSE)</f>
        <v>-8.000000000174623E-2</v>
      </c>
      <c r="E23" s="100">
        <f t="shared" si="0"/>
        <v>-11450.650000000067</v>
      </c>
      <c r="F23" s="100">
        <f>VLOOKUP(A23, '2. 2014 Continuity Schedule'!$C$20:$BQ$82, MATCH('2. 2014 Continuity Schedule'!BM$20, '2. 2014 Continuity Schedule'!C$20:BQ$20,0),FALSE)</f>
        <v>0</v>
      </c>
      <c r="G23" s="100">
        <f>VLOOKUP(A23, '2. 2014 Continuity Schedule'!$C$20:$BQ$82, MATCH('2. 2014 Continuity Schedule'!BN$20, '2. 2014 Continuity Schedule'!C$20:BQ$20,0),FALSE)</f>
        <v>0</v>
      </c>
      <c r="H23" s="100">
        <f t="shared" si="1"/>
        <v>-11450.650000000067</v>
      </c>
      <c r="I23" s="100">
        <f>VLOOKUP(A23, '2. 2014 Continuity Schedule'!$C$20:$BQ$82, MATCH('2. 2014 Continuity Schedule'!BP$20, '2. 2014 Continuity Schedule'!C$20:BQ$20,0),FALSE)</f>
        <v>1543689.8</v>
      </c>
      <c r="J23" s="100">
        <f>VLOOKUP(A23, '2. 2014 Continuity Schedule'!$C$20:$BQ$82, MATCH('2. 2014 Continuity Schedule'!BQ$20, '2. 2014 Continuity Schedule'!C$20:BQ$20,0),FALSE)</f>
        <v>0</v>
      </c>
    </row>
    <row r="24" spans="1:10" ht="14.25" x14ac:dyDescent="0.2">
      <c r="A24" s="196" t="s">
        <v>8</v>
      </c>
      <c r="B24" s="197">
        <v>1562</v>
      </c>
      <c r="C24" s="100">
        <f>VLOOKUP(A24, '2. 2014 Continuity Schedule'!$C$20:$BQ$82, MATCH('2. 2014 Continuity Schedule'!BK$20, '2. 2014 Continuity Schedule'!C$20:BQ$20,0),FALSE)</f>
        <v>0</v>
      </c>
      <c r="D24" s="100">
        <f>VLOOKUP(A24, '2. 2014 Continuity Schedule'!$C$20:$BQ$82, MATCH('2. 2014 Continuity Schedule'!BL$20, '2. 2014 Continuity Schedule'!C$20:BQ$20,0),FALSE)</f>
        <v>-5.8207660913467407E-11</v>
      </c>
      <c r="E24" s="100">
        <f t="shared" si="0"/>
        <v>-5.8207660913467407E-11</v>
      </c>
      <c r="F24" s="100">
        <f>VLOOKUP(A24, '2. 2014 Continuity Schedule'!$C$20:$BQ$82, MATCH('2. 2014 Continuity Schedule'!BM$20, '2. 2014 Continuity Schedule'!C$20:BQ$20,0),FALSE)</f>
        <v>0</v>
      </c>
      <c r="G24" s="100">
        <f>VLOOKUP(A24, '2. 2014 Continuity Schedule'!$C$20:$BQ$82, MATCH('2. 2014 Continuity Schedule'!BN$20, '2. 2014 Continuity Schedule'!C$20:BQ$20,0),FALSE)</f>
        <v>0</v>
      </c>
      <c r="H24" s="100">
        <f t="shared" si="1"/>
        <v>-5.8207660913467407E-11</v>
      </c>
      <c r="I24" s="100">
        <f>VLOOKUP(A24, '2. 2014 Continuity Schedule'!$C$20:$BQ$82, MATCH('2. 2014 Continuity Schedule'!BP$20, '2. 2014 Continuity Schedule'!C$20:BQ$20,0),FALSE)</f>
        <v>0</v>
      </c>
      <c r="J24" s="100">
        <f>VLOOKUP(A24, '2. 2014 Continuity Schedule'!$C$20:$BQ$82, MATCH('2. 2014 Continuity Schedule'!BQ$20, '2. 2014 Continuity Schedule'!C$20:BQ$20,0),FALSE)</f>
        <v>5.8207660913467407E-11</v>
      </c>
    </row>
    <row r="25" spans="1:10" ht="14.25" x14ac:dyDescent="0.2">
      <c r="A25" s="196" t="s">
        <v>43</v>
      </c>
      <c r="B25" s="197">
        <v>1567</v>
      </c>
      <c r="C25" s="100">
        <f>VLOOKUP(A25, '2. 2014 Continuity Schedule'!$C$20:$BQ$82, MATCH('2. 2014 Continuity Schedule'!BK$20, '2. 2014 Continuity Schedule'!C$20:BQ$20,0),FALSE)</f>
        <v>0</v>
      </c>
      <c r="D25" s="100">
        <f>VLOOKUP(A25, '2. 2014 Continuity Schedule'!$C$20:$BQ$82, MATCH('2. 2014 Continuity Schedule'!BL$20, '2. 2014 Continuity Schedule'!C$20:BQ$20,0),FALSE)</f>
        <v>0</v>
      </c>
      <c r="E25" s="100">
        <f t="shared" si="0"/>
        <v>0</v>
      </c>
      <c r="F25" s="100">
        <f>VLOOKUP(A25, '2. 2014 Continuity Schedule'!$C$20:$BQ$82, MATCH('2. 2014 Continuity Schedule'!BM$20, '2. 2014 Continuity Schedule'!C$20:BQ$20,0),FALSE)</f>
        <v>0</v>
      </c>
      <c r="G25" s="100">
        <f>VLOOKUP(A25, '2. 2014 Continuity Schedule'!$C$20:$BQ$82, MATCH('2. 2014 Continuity Schedule'!BN$20, '2. 2014 Continuity Schedule'!C$20:BQ$20,0),FALSE)</f>
        <v>0</v>
      </c>
      <c r="H25" s="100">
        <f t="shared" si="1"/>
        <v>0</v>
      </c>
      <c r="I25" s="100">
        <f>VLOOKUP(A25, '2. 2014 Continuity Schedule'!$C$20:$BQ$82, MATCH('2. 2014 Continuity Schedule'!BP$20, '2. 2014 Continuity Schedule'!C$20:BQ$20,0),FALSE)</f>
        <v>0</v>
      </c>
      <c r="J25" s="100">
        <f>VLOOKUP(A25, '2. 2014 Continuity Schedule'!$C$20:$BQ$82, MATCH('2. 2014 Continuity Schedule'!BQ$20, '2. 2014 Continuity Schedule'!C$20:BQ$20,0),FALSE)</f>
        <v>0</v>
      </c>
    </row>
    <row r="26" spans="1:10" ht="14.25" x14ac:dyDescent="0.2">
      <c r="A26" s="196" t="s">
        <v>98</v>
      </c>
      <c r="B26" s="197">
        <v>1568</v>
      </c>
      <c r="C26" s="100">
        <f>VLOOKUP(A26, '2. 2014 Continuity Schedule'!$C$20:$BQ$82, MATCH('2. 2014 Continuity Schedule'!BK$20, '2. 2014 Continuity Schedule'!C$20:BQ$20,0),FALSE)</f>
        <v>0</v>
      </c>
      <c r="D26" s="100">
        <f>VLOOKUP(A26, '2. 2014 Continuity Schedule'!$C$20:$BQ$82, MATCH('2. 2014 Continuity Schedule'!BL$20, '2. 2014 Continuity Schedule'!C$20:BQ$20,0),FALSE)</f>
        <v>0</v>
      </c>
      <c r="E26" s="100">
        <f t="shared" si="0"/>
        <v>0</v>
      </c>
      <c r="F26" s="100">
        <f>VLOOKUP(A26, '2. 2014 Continuity Schedule'!$C$20:$BQ$82, MATCH('2. 2014 Continuity Schedule'!BM$20, '2. 2014 Continuity Schedule'!C$20:BQ$20,0),FALSE)</f>
        <v>0</v>
      </c>
      <c r="G26" s="100">
        <f>VLOOKUP(A26, '2. 2014 Continuity Schedule'!$C$20:$BQ$82, MATCH('2. 2014 Continuity Schedule'!BN$20, '2. 2014 Continuity Schedule'!C$20:BQ$20,0),FALSE)</f>
        <v>0</v>
      </c>
      <c r="H26" s="100">
        <f t="shared" si="1"/>
        <v>0</v>
      </c>
      <c r="I26" s="100">
        <f>VLOOKUP(A26, '2. 2014 Continuity Schedule'!$C$20:$BQ$82, MATCH('2. 2014 Continuity Schedule'!BP$20, '2. 2014 Continuity Schedule'!C$20:BQ$20,0),FALSE)</f>
        <v>0</v>
      </c>
      <c r="J26" s="100">
        <f>VLOOKUP(A26, '2. 2014 Continuity Schedule'!$C$20:$BQ$82, MATCH('2. 2014 Continuity Schedule'!BQ$20, '2. 2014 Continuity Schedule'!C$20:BQ$20,0),FALSE)</f>
        <v>0</v>
      </c>
    </row>
    <row r="27" spans="1:10" ht="14.25" x14ac:dyDescent="0.2">
      <c r="A27" s="196" t="s">
        <v>10</v>
      </c>
      <c r="B27" s="197">
        <v>1572</v>
      </c>
      <c r="C27" s="100">
        <f>VLOOKUP(A27, '2. 2014 Continuity Schedule'!$C$20:$BQ$82, MATCH('2. 2014 Continuity Schedule'!BK$20, '2. 2014 Continuity Schedule'!C$20:BQ$20,0),FALSE)</f>
        <v>0</v>
      </c>
      <c r="D27" s="100">
        <f>VLOOKUP(A27, '2. 2014 Continuity Schedule'!$C$20:$BQ$82, MATCH('2. 2014 Continuity Schedule'!BL$20, '2. 2014 Continuity Schedule'!C$20:BQ$20,0),FALSE)</f>
        <v>0</v>
      </c>
      <c r="E27" s="100">
        <f t="shared" si="0"/>
        <v>0</v>
      </c>
      <c r="F27" s="100">
        <f>VLOOKUP(A27, '2. 2014 Continuity Schedule'!$C$20:$BQ$82, MATCH('2. 2014 Continuity Schedule'!BM$20, '2. 2014 Continuity Schedule'!C$20:BQ$20,0),FALSE)</f>
        <v>0</v>
      </c>
      <c r="G27" s="100">
        <f>VLOOKUP(A27, '2. 2014 Continuity Schedule'!$C$20:$BQ$82, MATCH('2. 2014 Continuity Schedule'!BN$20, '2. 2014 Continuity Schedule'!C$20:BQ$20,0),FALSE)</f>
        <v>0</v>
      </c>
      <c r="H27" s="100">
        <f t="shared" si="1"/>
        <v>0</v>
      </c>
      <c r="I27" s="100">
        <f>VLOOKUP(A27, '2. 2014 Continuity Schedule'!$C$20:$BQ$82, MATCH('2. 2014 Continuity Schedule'!BP$20, '2. 2014 Continuity Schedule'!C$20:BQ$20,0),FALSE)</f>
        <v>0</v>
      </c>
      <c r="J27" s="100">
        <f>VLOOKUP(A27, '2. 2014 Continuity Schedule'!$C$20:$BQ$82, MATCH('2. 2014 Continuity Schedule'!BQ$20, '2. 2014 Continuity Schedule'!C$20:BQ$20,0),FALSE)</f>
        <v>0</v>
      </c>
    </row>
    <row r="28" spans="1:10" ht="14.25" x14ac:dyDescent="0.2">
      <c r="A28" s="196" t="s">
        <v>6</v>
      </c>
      <c r="B28" s="197">
        <v>1574</v>
      </c>
      <c r="C28" s="100">
        <f>VLOOKUP(A28, '2. 2014 Continuity Schedule'!$C$20:$BQ$82, MATCH('2. 2014 Continuity Schedule'!BK$20, '2. 2014 Continuity Schedule'!C$20:BQ$20,0),FALSE)</f>
        <v>0</v>
      </c>
      <c r="D28" s="100">
        <f>VLOOKUP(A28, '2. 2014 Continuity Schedule'!$C$20:$BQ$82, MATCH('2. 2014 Continuity Schedule'!BL$20, '2. 2014 Continuity Schedule'!C$20:BQ$20,0),FALSE)</f>
        <v>0</v>
      </c>
      <c r="E28" s="100">
        <f t="shared" si="0"/>
        <v>0</v>
      </c>
      <c r="F28" s="100">
        <f>VLOOKUP(A28, '2. 2014 Continuity Schedule'!$C$20:$BQ$82, MATCH('2. 2014 Continuity Schedule'!BM$20, '2. 2014 Continuity Schedule'!C$20:BQ$20,0),FALSE)</f>
        <v>0</v>
      </c>
      <c r="G28" s="100">
        <f>VLOOKUP(A28, '2. 2014 Continuity Schedule'!$C$20:$BQ$82, MATCH('2. 2014 Continuity Schedule'!BN$20, '2. 2014 Continuity Schedule'!C$20:BQ$20,0),FALSE)</f>
        <v>0</v>
      </c>
      <c r="H28" s="100">
        <f t="shared" si="1"/>
        <v>0</v>
      </c>
      <c r="I28" s="100">
        <f>VLOOKUP(A28, '2. 2014 Continuity Schedule'!$C$20:$BQ$82, MATCH('2. 2014 Continuity Schedule'!BP$20, '2. 2014 Continuity Schedule'!C$20:BQ$20,0),FALSE)</f>
        <v>0</v>
      </c>
      <c r="J28" s="100">
        <f>VLOOKUP(A28, '2. 2014 Continuity Schedule'!$C$20:$BQ$82, MATCH('2. 2014 Continuity Schedule'!BQ$20, '2. 2014 Continuity Schedule'!C$20:BQ$20,0),FALSE)</f>
        <v>0</v>
      </c>
    </row>
    <row r="29" spans="1:10" ht="30.75" x14ac:dyDescent="0.2">
      <c r="A29" s="200" t="s">
        <v>228</v>
      </c>
      <c r="B29" s="201">
        <v>1575</v>
      </c>
      <c r="C29" s="100">
        <f>VLOOKUP(A29, '2. 2014 Continuity Schedule'!$C$20:$BQ$82, MATCH('2. 2014 Continuity Schedule'!BK$20, '2. 2014 Continuity Schedule'!C$20:BQ$20,0),FALSE)</f>
        <v>0</v>
      </c>
      <c r="D29" s="100">
        <f>VLOOKUP(A29, '2. 2014 Continuity Schedule'!$C$20:$BQ$82, MATCH('2. 2014 Continuity Schedule'!BL$20, '2. 2014 Continuity Schedule'!C$20:BQ$20,0),FALSE)</f>
        <v>0</v>
      </c>
      <c r="E29" s="100">
        <f t="shared" si="0"/>
        <v>0</v>
      </c>
      <c r="F29" s="100">
        <f>VLOOKUP(A29, '2. 2014 Continuity Schedule'!$C$20:$BQ$82, MATCH('2. 2014 Continuity Schedule'!BM$20, '2. 2014 Continuity Schedule'!C$20:BQ$20,0),FALSE)</f>
        <v>0</v>
      </c>
      <c r="G29" s="100">
        <f>VLOOKUP(A29, '2. 2014 Continuity Schedule'!$C$20:$BQ$82, MATCH('2. 2014 Continuity Schedule'!BN$20, '2. 2014 Continuity Schedule'!C$20:BQ$20,0),FALSE)</f>
        <v>0</v>
      </c>
      <c r="H29" s="100">
        <f t="shared" si="1"/>
        <v>0</v>
      </c>
      <c r="I29" s="100">
        <f>VLOOKUP(A29, '2. 2014 Continuity Schedule'!$C$20:$BQ$82, MATCH('2. 2014 Continuity Schedule'!BP$20, '2. 2014 Continuity Schedule'!C$20:BQ$20,0),FALSE)</f>
        <v>0</v>
      </c>
      <c r="J29" s="100">
        <f>VLOOKUP(A29, '2. 2014 Continuity Schedule'!$C$20:$BQ$82, MATCH('2. 2014 Continuity Schedule'!BQ$20, '2. 2014 Continuity Schedule'!C$20:BQ$20,0),FALSE)</f>
        <v>0</v>
      </c>
    </row>
    <row r="30" spans="1:10" ht="16.5" x14ac:dyDescent="0.2">
      <c r="A30" s="200" t="s">
        <v>229</v>
      </c>
      <c r="B30" s="201">
        <v>1576</v>
      </c>
      <c r="C30" s="100">
        <f>VLOOKUP(A30, '2. 2014 Continuity Schedule'!$C$20:$BQ$82, MATCH('2. 2014 Continuity Schedule'!BK$20, '2. 2014 Continuity Schedule'!C$20:BQ$20,0),FALSE)</f>
        <v>-7183832.3493090114</v>
      </c>
      <c r="D30" s="100">
        <f>VLOOKUP(A30, '2. 2014 Continuity Schedule'!$C$20:$BQ$82, MATCH('2. 2014 Continuity Schedule'!BL$20, '2. 2014 Continuity Schedule'!C$20:BQ$20,0),FALSE)</f>
        <v>0</v>
      </c>
      <c r="E30" s="100">
        <f t="shared" si="0"/>
        <v>-7183832.3493090114</v>
      </c>
      <c r="F30" s="100">
        <f>VLOOKUP(A30, '2. 2014 Continuity Schedule'!$C$20:$BQ$82, MATCH('2. 2014 Continuity Schedule'!BM$20, '2. 2014 Continuity Schedule'!C$20:BQ$20,0),FALSE)</f>
        <v>0</v>
      </c>
      <c r="G30" s="100">
        <f>VLOOKUP(A30, '2. 2014 Continuity Schedule'!$C$20:$BQ$82, MATCH('2. 2014 Continuity Schedule'!BN$20, '2. 2014 Continuity Schedule'!C$20:BQ$20,0),FALSE)</f>
        <v>0</v>
      </c>
      <c r="H30" s="100">
        <f t="shared" si="1"/>
        <v>-7183832.3493090114</v>
      </c>
      <c r="I30" s="100">
        <f>VLOOKUP(A30, '2. 2014 Continuity Schedule'!$C$20:$BQ$82, MATCH('2. 2014 Continuity Schedule'!BP$20, '2. 2014 Continuity Schedule'!C$20:BQ$20,0),FALSE)</f>
        <v>-3054565.73</v>
      </c>
      <c r="J30" s="100">
        <f>VLOOKUP(A30, '2. 2014 Continuity Schedule'!$C$20:$BQ$82, MATCH('2. 2014 Continuity Schedule'!BQ$20, '2. 2014 Continuity Schedule'!C$20:BQ$20,0),FALSE)</f>
        <v>4129266.6193090114</v>
      </c>
    </row>
    <row r="31" spans="1:10" ht="14.25" x14ac:dyDescent="0.2">
      <c r="A31" s="199" t="s">
        <v>1</v>
      </c>
      <c r="B31" s="197">
        <v>1580</v>
      </c>
      <c r="C31" s="100">
        <f>VLOOKUP(A31, '2. 2014 Continuity Schedule'!$C$20:$BQ$82, MATCH('2. 2014 Continuity Schedule'!BK$20, '2. 2014 Continuity Schedule'!C$20:BQ$20,0),FALSE)</f>
        <v>-916481.62000000011</v>
      </c>
      <c r="D31" s="100">
        <f>VLOOKUP(A31, '2. 2014 Continuity Schedule'!$C$20:$BQ$82, MATCH('2. 2014 Continuity Schedule'!BL$20, '2. 2014 Continuity Schedule'!C$20:BQ$20,0),FALSE)</f>
        <v>21780.899999999994</v>
      </c>
      <c r="E31" s="100">
        <f t="shared" si="0"/>
        <v>-894700.72000000009</v>
      </c>
      <c r="F31" s="100">
        <f>VLOOKUP(A31, '2. 2014 Continuity Schedule'!$C$20:$BQ$82, MATCH('2. 2014 Continuity Schedule'!BM$20, '2. 2014 Continuity Schedule'!C$20:BQ$20,0),FALSE)</f>
        <v>-13472.279814000001</v>
      </c>
      <c r="G31" s="100">
        <f>VLOOKUP(A31, '2. 2014 Continuity Schedule'!$C$20:$BQ$82, MATCH('2. 2014 Continuity Schedule'!BN$20, '2. 2014 Continuity Schedule'!C$20:BQ$20,0),FALSE)</f>
        <v>-4490.7599380000001</v>
      </c>
      <c r="H31" s="100">
        <f t="shared" si="1"/>
        <v>-912663.7597520001</v>
      </c>
      <c r="I31" s="100">
        <f>VLOOKUP(A31, '2. 2014 Continuity Schedule'!$C$20:$BQ$82, MATCH('2. 2014 Continuity Schedule'!BP$20, '2. 2014 Continuity Schedule'!C$20:BQ$20,0),FALSE)</f>
        <v>-4151413.74</v>
      </c>
      <c r="J31" s="100">
        <f>VLOOKUP(A31, '2. 2014 Continuity Schedule'!$C$20:$BQ$82, MATCH('2. 2014 Continuity Schedule'!BQ$20, '2. 2014 Continuity Schedule'!C$20:BQ$20,0),FALSE)</f>
        <v>0.26999999955296516</v>
      </c>
    </row>
    <row r="32" spans="1:10" ht="14.25" x14ac:dyDescent="0.2">
      <c r="A32" s="199" t="s">
        <v>40</v>
      </c>
      <c r="B32" s="197">
        <v>1582</v>
      </c>
      <c r="C32" s="100">
        <f>VLOOKUP(A32, '2. 2014 Continuity Schedule'!$C$20:$BQ$82, MATCH('2. 2014 Continuity Schedule'!BK$20, '2. 2014 Continuity Schedule'!C$20:BQ$20,0),FALSE)</f>
        <v>2.7284841053187847E-12</v>
      </c>
      <c r="D32" s="100">
        <f>VLOOKUP(A32, '2. 2014 Continuity Schedule'!$C$20:$BQ$82, MATCH('2. 2014 Continuity Schedule'!BL$20, '2. 2014 Continuity Schedule'!C$20:BQ$20,0),FALSE)</f>
        <v>-1.3642420526593924E-12</v>
      </c>
      <c r="E32" s="100">
        <f t="shared" si="0"/>
        <v>1.3642420526593924E-12</v>
      </c>
      <c r="F32" s="100">
        <f>VLOOKUP(A32, '2. 2014 Continuity Schedule'!$C$20:$BQ$82, MATCH('2. 2014 Continuity Schedule'!BM$20, '2. 2014 Continuity Schedule'!C$20:BQ$20,0),FALSE)</f>
        <v>0</v>
      </c>
      <c r="G32" s="100">
        <f>VLOOKUP(A32, '2. 2014 Continuity Schedule'!$C$20:$BQ$82, MATCH('2. 2014 Continuity Schedule'!BN$20, '2. 2014 Continuity Schedule'!C$20:BQ$20,0),FALSE)</f>
        <v>0</v>
      </c>
      <c r="H32" s="100">
        <f t="shared" si="1"/>
        <v>1.3642420526593924E-12</v>
      </c>
      <c r="I32" s="100">
        <f>VLOOKUP(A32, '2. 2014 Continuity Schedule'!$C$20:$BQ$82, MATCH('2. 2014 Continuity Schedule'!BP$20, '2. 2014 Continuity Schedule'!C$20:BQ$20,0),FALSE)</f>
        <v>0</v>
      </c>
      <c r="J32" s="100">
        <f>VLOOKUP(A32, '2. 2014 Continuity Schedule'!$C$20:$BQ$82, MATCH('2. 2014 Continuity Schedule'!BQ$20, '2. 2014 Continuity Schedule'!C$20:BQ$20,0),FALSE)</f>
        <v>-1.3642420526593924E-12</v>
      </c>
    </row>
    <row r="33" spans="1:10" ht="14.25" x14ac:dyDescent="0.2">
      <c r="A33" s="199" t="s">
        <v>2</v>
      </c>
      <c r="B33" s="197">
        <v>1584</v>
      </c>
      <c r="C33" s="100">
        <f>VLOOKUP(A33, '2. 2014 Continuity Schedule'!$C$20:$BQ$82, MATCH('2. 2014 Continuity Schedule'!BK$20, '2. 2014 Continuity Schedule'!C$20:BQ$20,0),FALSE)</f>
        <v>606068.87000000011</v>
      </c>
      <c r="D33" s="100">
        <f>VLOOKUP(A33, '2. 2014 Continuity Schedule'!$C$20:$BQ$82, MATCH('2. 2014 Continuity Schedule'!BL$20, '2. 2014 Continuity Schedule'!C$20:BQ$20,0),FALSE)</f>
        <v>-6831.5400000000045</v>
      </c>
      <c r="E33" s="100">
        <f t="shared" si="0"/>
        <v>599237.33000000007</v>
      </c>
      <c r="F33" s="100">
        <f>VLOOKUP(A33, '2. 2014 Continuity Schedule'!$C$20:$BQ$82, MATCH('2. 2014 Continuity Schedule'!BM$20, '2. 2014 Continuity Schedule'!C$20:BQ$20,0),FALSE)</f>
        <v>8909.2123890000021</v>
      </c>
      <c r="G33" s="100">
        <f>VLOOKUP(A33, '2. 2014 Continuity Schedule'!$C$20:$BQ$82, MATCH('2. 2014 Continuity Schedule'!BN$20, '2. 2014 Continuity Schedule'!C$20:BQ$20,0),FALSE)</f>
        <v>2969.7374630000008</v>
      </c>
      <c r="H33" s="100">
        <f t="shared" si="1"/>
        <v>611116.27985200007</v>
      </c>
      <c r="I33" s="100">
        <f>VLOOKUP(A33, '2. 2014 Continuity Schedule'!$C$20:$BQ$82, MATCH('2. 2014 Continuity Schedule'!BP$20, '2. 2014 Continuity Schedule'!C$20:BQ$20,0),FALSE)</f>
        <v>1503334.65</v>
      </c>
      <c r="J33" s="100">
        <f>VLOOKUP(A33, '2. 2014 Continuity Schedule'!$C$20:$BQ$82, MATCH('2. 2014 Continuity Schedule'!BQ$20, '2. 2014 Continuity Schedule'!C$20:BQ$20,0),FALSE)</f>
        <v>1.9999999785795808E-2</v>
      </c>
    </row>
    <row r="34" spans="1:10" ht="14.25" x14ac:dyDescent="0.2">
      <c r="A34" s="199" t="s">
        <v>3</v>
      </c>
      <c r="B34" s="197">
        <v>1586</v>
      </c>
      <c r="C34" s="100">
        <f>VLOOKUP(A34, '2. 2014 Continuity Schedule'!$C$20:$BQ$82, MATCH('2. 2014 Continuity Schedule'!BK$20, '2. 2014 Continuity Schedule'!C$20:BQ$20,0),FALSE)</f>
        <v>394499.66000000003</v>
      </c>
      <c r="D34" s="100">
        <f>VLOOKUP(A34, '2. 2014 Continuity Schedule'!$C$20:$BQ$82, MATCH('2. 2014 Continuity Schedule'!BL$20, '2. 2014 Continuity Schedule'!C$20:BQ$20,0),FALSE)</f>
        <v>-5923.8100000000013</v>
      </c>
      <c r="E34" s="100">
        <f t="shared" si="0"/>
        <v>388575.85000000003</v>
      </c>
      <c r="F34" s="100">
        <f>VLOOKUP(A34, '2. 2014 Continuity Schedule'!$C$20:$BQ$82, MATCH('2. 2014 Continuity Schedule'!BM$20, '2. 2014 Continuity Schedule'!C$20:BQ$20,0),FALSE)</f>
        <v>5799.1450020000002</v>
      </c>
      <c r="G34" s="100">
        <f>VLOOKUP(A34, '2. 2014 Continuity Schedule'!$C$20:$BQ$82, MATCH('2. 2014 Continuity Schedule'!BN$20, '2. 2014 Continuity Schedule'!C$20:BQ$20,0),FALSE)</f>
        <v>1933.0483340000001</v>
      </c>
      <c r="H34" s="100">
        <f t="shared" si="1"/>
        <v>396308.043336</v>
      </c>
      <c r="I34" s="100">
        <f>VLOOKUP(A34, '2. 2014 Continuity Schedule'!$C$20:$BQ$82, MATCH('2. 2014 Continuity Schedule'!BP$20, '2. 2014 Continuity Schedule'!C$20:BQ$20,0),FALSE)</f>
        <v>1050611.18</v>
      </c>
      <c r="J34" s="100">
        <f>VLOOKUP(A34, '2. 2014 Continuity Schedule'!$C$20:$BQ$82, MATCH('2. 2014 Continuity Schedule'!BQ$20, '2. 2014 Continuity Schedule'!C$20:BQ$20,0),FALSE)</f>
        <v>-0.47000000020489097</v>
      </c>
    </row>
    <row r="35" spans="1:10" ht="14.25" x14ac:dyDescent="0.2">
      <c r="A35" s="199" t="s">
        <v>75</v>
      </c>
      <c r="B35" s="197">
        <v>1588</v>
      </c>
      <c r="C35" s="100">
        <f>VLOOKUP(A35, '2. 2014 Continuity Schedule'!$C$20:$BQ$82, MATCH('2. 2014 Continuity Schedule'!BK$20, '2. 2014 Continuity Schedule'!C$20:BQ$20,0),FALSE)</f>
        <v>-1550162.87</v>
      </c>
      <c r="D35" s="100">
        <f>VLOOKUP(A35, '2. 2014 Continuity Schedule'!$C$20:$BQ$82, MATCH('2. 2014 Continuity Schedule'!BL$20, '2. 2014 Continuity Schedule'!C$20:BQ$20,0),FALSE)</f>
        <v>-7764.8800000000047</v>
      </c>
      <c r="E35" s="100">
        <f t="shared" si="0"/>
        <v>-1557927.75</v>
      </c>
      <c r="F35" s="100">
        <f>VLOOKUP(A35, '2. 2014 Continuity Schedule'!$C$20:$BQ$82, MATCH('2. 2014 Continuity Schedule'!BM$20, '2. 2014 Continuity Schedule'!C$20:BQ$20,0),FALSE)</f>
        <v>-22787.394189000002</v>
      </c>
      <c r="G35" s="100">
        <f>VLOOKUP(A35, '2. 2014 Continuity Schedule'!$C$20:$BQ$82, MATCH('2. 2014 Continuity Schedule'!BN$20, '2. 2014 Continuity Schedule'!C$20:BQ$20,0),FALSE)</f>
        <v>-7595.7980630000011</v>
      </c>
      <c r="H35" s="100">
        <f t="shared" si="1"/>
        <v>-1588310.9422519999</v>
      </c>
      <c r="I35" s="100">
        <f>VLOOKUP(A35, '2. 2014 Continuity Schedule'!$C$20:$BQ$82, MATCH('2. 2014 Continuity Schedule'!BP$20, '2. 2014 Continuity Schedule'!C$20:BQ$20,0),FALSE)</f>
        <v>-6474228.04</v>
      </c>
      <c r="J35" s="100">
        <f>VLOOKUP(A35, '2. 2014 Continuity Schedule'!$C$20:$BQ$82, MATCH('2. 2014 Continuity Schedule'!BQ$20, '2. 2014 Continuity Schedule'!C$20:BQ$20,0),FALSE)</f>
        <v>-0.49000000022351742</v>
      </c>
    </row>
    <row r="36" spans="1:10" ht="14.25" x14ac:dyDescent="0.2">
      <c r="A36" s="199" t="s">
        <v>127</v>
      </c>
      <c r="B36" s="197">
        <v>1589</v>
      </c>
      <c r="C36" s="100">
        <f>VLOOKUP(A36, '2. 2014 Continuity Schedule'!$C$20:$BQ$82, MATCH('2. 2014 Continuity Schedule'!BK$20, '2. 2014 Continuity Schedule'!C$20:BQ$20,0),FALSE)</f>
        <v>1610240.3399999994</v>
      </c>
      <c r="D36" s="100">
        <f>VLOOKUP(A36, '2. 2014 Continuity Schedule'!$C$20:$BQ$82, MATCH('2. 2014 Continuity Schedule'!BL$20, '2. 2014 Continuity Schedule'!C$20:BQ$20,0),FALSE)</f>
        <v>-59340.100000000006</v>
      </c>
      <c r="E36" s="100">
        <f t="shared" si="0"/>
        <v>1550900.2399999993</v>
      </c>
      <c r="F36" s="100">
        <f>VLOOKUP(A36, '2. 2014 Continuity Schedule'!$C$20:$BQ$82, MATCH('2. 2014 Continuity Schedule'!BM$20, '2. 2014 Continuity Schedule'!C$20:BQ$20,0),FALSE)</f>
        <v>23670.532997999991</v>
      </c>
      <c r="G36" s="100">
        <f>VLOOKUP(A36, '2. 2014 Continuity Schedule'!$C$20:$BQ$82, MATCH('2. 2014 Continuity Schedule'!BN$20, '2. 2014 Continuity Schedule'!C$20:BQ$20,0),FALSE)</f>
        <v>7890.1776659999969</v>
      </c>
      <c r="H36" s="100">
        <f t="shared" si="1"/>
        <v>1582460.9506639994</v>
      </c>
      <c r="I36" s="100">
        <f>VLOOKUP(A36, '2. 2014 Continuity Schedule'!$C$20:$BQ$82, MATCH('2. 2014 Continuity Schedule'!BP$20, '2. 2014 Continuity Schedule'!C$20:BQ$20,0),FALSE)</f>
        <v>5347179.5199999996</v>
      </c>
      <c r="J36" s="100">
        <f>VLOOKUP(A36, '2. 2014 Continuity Schedule'!$C$20:$BQ$82, MATCH('2. 2014 Continuity Schedule'!BQ$20, '2. 2014 Continuity Schedule'!C$20:BQ$20,0),FALSE)</f>
        <v>0.15000000037252903</v>
      </c>
    </row>
    <row r="37" spans="1:10" ht="28.5" x14ac:dyDescent="0.2">
      <c r="A37" s="200" t="s">
        <v>48</v>
      </c>
      <c r="B37" s="201">
        <v>1592</v>
      </c>
      <c r="C37" s="100">
        <f>VLOOKUP(A37, '2. 2014 Continuity Schedule'!$C$20:$BQ$82, MATCH('2. 2014 Continuity Schedule'!BK$20, '2. 2014 Continuity Schedule'!C$20:BQ$20,0),FALSE)</f>
        <v>0</v>
      </c>
      <c r="D37" s="100">
        <f>VLOOKUP(A37, '2. 2014 Continuity Schedule'!$C$20:$BQ$82, MATCH('2. 2014 Continuity Schedule'!BL$20, '2. 2014 Continuity Schedule'!C$20:BQ$20,0),FALSE)</f>
        <v>0</v>
      </c>
      <c r="E37" s="100">
        <f t="shared" si="0"/>
        <v>0</v>
      </c>
      <c r="F37" s="100">
        <f>VLOOKUP(A37, '2. 2014 Continuity Schedule'!$C$20:$BQ$82, MATCH('2. 2014 Continuity Schedule'!BM$20, '2. 2014 Continuity Schedule'!C$20:BQ$20,0),FALSE)</f>
        <v>0</v>
      </c>
      <c r="G37" s="100">
        <f>VLOOKUP(A37, '2. 2014 Continuity Schedule'!$C$20:$BQ$82, MATCH('2. 2014 Continuity Schedule'!BN$20, '2. 2014 Continuity Schedule'!C$20:BQ$20,0),FALSE)</f>
        <v>0</v>
      </c>
      <c r="H37" s="100">
        <f t="shared" si="1"/>
        <v>0</v>
      </c>
      <c r="I37" s="100">
        <f>VLOOKUP(A37, '2. 2014 Continuity Schedule'!$C$20:$BQ$82, MATCH('2. 2014 Continuity Schedule'!BP$20, '2. 2014 Continuity Schedule'!C$20:BQ$20,0),FALSE)</f>
        <v>0</v>
      </c>
      <c r="J37" s="100">
        <f>VLOOKUP(A37, '2. 2014 Continuity Schedule'!$C$20:$BQ$82, MATCH('2. 2014 Continuity Schedule'!BQ$20, '2. 2014 Continuity Schedule'!C$20:BQ$20,0),FALSE)</f>
        <v>0</v>
      </c>
    </row>
    <row r="38" spans="1:10" ht="28.5" x14ac:dyDescent="0.2">
      <c r="A38" s="200" t="s">
        <v>47</v>
      </c>
      <c r="B38" s="201">
        <v>1592</v>
      </c>
      <c r="C38" s="100">
        <f>VLOOKUP(A38, '2. 2014 Continuity Schedule'!$C$20:$BQ$82, MATCH('2. 2014 Continuity Schedule'!BK$20, '2. 2014 Continuity Schedule'!C$20:BQ$20,0),FALSE)</f>
        <v>-61837.549999999996</v>
      </c>
      <c r="D38" s="100">
        <f>VLOOKUP(A38, '2. 2014 Continuity Schedule'!$C$20:$BQ$82, MATCH('2. 2014 Continuity Schedule'!BL$20, '2. 2014 Continuity Schedule'!C$20:BQ$20,0),FALSE)</f>
        <v>0</v>
      </c>
      <c r="E38" s="100">
        <f t="shared" si="0"/>
        <v>-61837.549999999996</v>
      </c>
      <c r="F38" s="100">
        <f>VLOOKUP(A38, '2. 2014 Continuity Schedule'!$C$20:$BQ$82, MATCH('2. 2014 Continuity Schedule'!BM$20, '2. 2014 Continuity Schedule'!C$20:BQ$20,0),FALSE)</f>
        <v>-909.01198499999987</v>
      </c>
      <c r="G38" s="100">
        <f>VLOOKUP(A38, '2. 2014 Continuity Schedule'!$C$20:$BQ$82, MATCH('2. 2014 Continuity Schedule'!BN$20, '2. 2014 Continuity Schedule'!C$20:BQ$20,0),FALSE)</f>
        <v>-303.00399499999997</v>
      </c>
      <c r="H38" s="100">
        <f t="shared" si="1"/>
        <v>-63049.565979999992</v>
      </c>
      <c r="I38" s="100">
        <f>VLOOKUP(A38, '2. 2014 Continuity Schedule'!$C$20:$BQ$82, MATCH('2. 2014 Continuity Schedule'!BP$20, '2. 2014 Continuity Schedule'!C$20:BQ$20,0),FALSE)</f>
        <v>0</v>
      </c>
      <c r="J38" s="100">
        <f>VLOOKUP(A38, '2. 2014 Continuity Schedule'!$C$20:$BQ$82, MATCH('2. 2014 Continuity Schedule'!BQ$20, '2. 2014 Continuity Schedule'!C$20:BQ$20,0),FALSE)</f>
        <v>61837.549999999996</v>
      </c>
    </row>
    <row r="39" spans="1:10" ht="16.5" x14ac:dyDescent="0.2">
      <c r="A39" s="202" t="s">
        <v>70</v>
      </c>
      <c r="B39" s="197">
        <v>1595</v>
      </c>
      <c r="C39" s="100" t="e">
        <f>VLOOKUP(A39, '2. 2014 Continuity Schedule'!$C$20:$BQ$82, MATCH('2. 2014 Continuity Schedule'!BK$20, '2. 2014 Continuity Schedule'!C$20:BQ$20,0),FALSE)</f>
        <v>#N/A</v>
      </c>
      <c r="D39" s="100" t="e">
        <f>VLOOKUP(A39, '2. 2014 Continuity Schedule'!$C$20:$BQ$82, MATCH('2. 2014 Continuity Schedule'!BL$20, '2. 2014 Continuity Schedule'!C$20:BQ$20,0),FALSE)</f>
        <v>#N/A</v>
      </c>
      <c r="E39" s="100" t="e">
        <f t="shared" si="0"/>
        <v>#N/A</v>
      </c>
      <c r="F39" s="100" t="e">
        <f>VLOOKUP(A39, '2. 2014 Continuity Schedule'!$C$20:$BQ$82, MATCH('2. 2014 Continuity Schedule'!BM$20, '2. 2014 Continuity Schedule'!C$20:BQ$20,0),FALSE)</f>
        <v>#N/A</v>
      </c>
      <c r="G39" s="100" t="e">
        <f>VLOOKUP(A39, '2. 2014 Continuity Schedule'!$C$20:$BQ$82, MATCH('2. 2014 Continuity Schedule'!BN$20, '2. 2014 Continuity Schedule'!C$20:BQ$20,0),FALSE)</f>
        <v>#N/A</v>
      </c>
      <c r="H39" s="100" t="e">
        <f t="shared" si="1"/>
        <v>#N/A</v>
      </c>
      <c r="I39" s="100" t="e">
        <f>VLOOKUP(A39, '2. 2014 Continuity Schedule'!$C$20:$BQ$82, MATCH('2. 2014 Continuity Schedule'!BP$20, '2. 2014 Continuity Schedule'!C$20:BQ$20,0),FALSE)</f>
        <v>#N/A</v>
      </c>
      <c r="J39" s="100" t="e">
        <f>VLOOKUP(A39, '2. 2014 Continuity Schedule'!$C$20:$BQ$82, MATCH('2. 2014 Continuity Schedule'!BQ$20, '2. 2014 Continuity Schedule'!C$20:BQ$20,0),FALSE)</f>
        <v>#N/A</v>
      </c>
    </row>
    <row r="40" spans="1:10" ht="16.5" x14ac:dyDescent="0.2">
      <c r="A40" s="202" t="s">
        <v>71</v>
      </c>
      <c r="B40" s="197">
        <v>1595</v>
      </c>
      <c r="C40" s="100" t="e">
        <f>VLOOKUP(A40, '2. 2014 Continuity Schedule'!$C$20:$BQ$82, MATCH('2. 2014 Continuity Schedule'!BK$20, '2. 2014 Continuity Schedule'!C$20:BQ$20,0),FALSE)</f>
        <v>#N/A</v>
      </c>
      <c r="D40" s="100" t="e">
        <f>VLOOKUP(A40, '2. 2014 Continuity Schedule'!$C$20:$BQ$82, MATCH('2. 2014 Continuity Schedule'!BL$20, '2. 2014 Continuity Schedule'!C$20:BQ$20,0),FALSE)</f>
        <v>#N/A</v>
      </c>
      <c r="E40" s="100" t="e">
        <f t="shared" si="0"/>
        <v>#N/A</v>
      </c>
      <c r="F40" s="100" t="e">
        <f>VLOOKUP(A40, '2. 2014 Continuity Schedule'!$C$20:$BQ$82, MATCH('2. 2014 Continuity Schedule'!BM$20, '2. 2014 Continuity Schedule'!C$20:BQ$20,0),FALSE)</f>
        <v>#N/A</v>
      </c>
      <c r="G40" s="100" t="e">
        <f>VLOOKUP(A40, '2. 2014 Continuity Schedule'!$C$20:$BQ$82, MATCH('2. 2014 Continuity Schedule'!BN$20, '2. 2014 Continuity Schedule'!C$20:BQ$20,0),FALSE)</f>
        <v>#N/A</v>
      </c>
      <c r="H40" s="100" t="e">
        <f t="shared" si="1"/>
        <v>#N/A</v>
      </c>
      <c r="I40" s="100" t="e">
        <f>VLOOKUP(A40, '2. 2014 Continuity Schedule'!$C$20:$BQ$82, MATCH('2. 2014 Continuity Schedule'!BP$20, '2. 2014 Continuity Schedule'!C$20:BQ$20,0),FALSE)</f>
        <v>#N/A</v>
      </c>
      <c r="J40" s="100" t="e">
        <f>VLOOKUP(A40, '2. 2014 Continuity Schedule'!$C$20:$BQ$82, MATCH('2. 2014 Continuity Schedule'!BQ$20, '2. 2014 Continuity Schedule'!C$20:BQ$20,0),FALSE)</f>
        <v>#N/A</v>
      </c>
    </row>
    <row r="41" spans="1:10" ht="16.5" x14ac:dyDescent="0.2">
      <c r="A41" s="202" t="s">
        <v>72</v>
      </c>
      <c r="B41" s="197">
        <v>1595</v>
      </c>
      <c r="C41" s="100" t="e">
        <f>VLOOKUP(A41, '2. 2014 Continuity Schedule'!$C$20:$BQ$82, MATCH('2. 2014 Continuity Schedule'!BK$20, '2. 2014 Continuity Schedule'!C$20:BQ$20,0),FALSE)</f>
        <v>#N/A</v>
      </c>
      <c r="D41" s="100" t="e">
        <f>VLOOKUP(A41, '2. 2014 Continuity Schedule'!$C$20:$BQ$82, MATCH('2. 2014 Continuity Schedule'!BL$20, '2. 2014 Continuity Schedule'!C$20:BQ$20,0),FALSE)</f>
        <v>#N/A</v>
      </c>
      <c r="E41" s="100" t="e">
        <f t="shared" si="0"/>
        <v>#N/A</v>
      </c>
      <c r="F41" s="100" t="e">
        <f>VLOOKUP(A41, '2. 2014 Continuity Schedule'!$C$20:$BQ$82, MATCH('2. 2014 Continuity Schedule'!BM$20, '2. 2014 Continuity Schedule'!C$20:BQ$20,0),FALSE)</f>
        <v>#N/A</v>
      </c>
      <c r="G41" s="100" t="e">
        <f>VLOOKUP(A41, '2. 2014 Continuity Schedule'!$C$20:$BQ$82, MATCH('2. 2014 Continuity Schedule'!BN$20, '2. 2014 Continuity Schedule'!C$20:BQ$20,0),FALSE)</f>
        <v>#N/A</v>
      </c>
      <c r="H41" s="100" t="e">
        <f t="shared" si="1"/>
        <v>#N/A</v>
      </c>
      <c r="I41" s="100" t="e">
        <f>VLOOKUP(A41, '2. 2014 Continuity Schedule'!$C$20:$BQ$82, MATCH('2. 2014 Continuity Schedule'!BP$20, '2. 2014 Continuity Schedule'!C$20:BQ$20,0),FALSE)</f>
        <v>#N/A</v>
      </c>
      <c r="J41" s="100" t="e">
        <f>VLOOKUP(A41, '2. 2014 Continuity Schedule'!$C$20:$BQ$82, MATCH('2. 2014 Continuity Schedule'!BQ$20, '2. 2014 Continuity Schedule'!C$20:BQ$20,0),FALSE)</f>
        <v>#N/A</v>
      </c>
    </row>
    <row r="42" spans="1:10" ht="16.5" x14ac:dyDescent="0.2">
      <c r="A42" s="202" t="s">
        <v>130</v>
      </c>
      <c r="B42" s="197">
        <v>1595</v>
      </c>
      <c r="C42" s="100" t="e">
        <f>VLOOKUP(A42, '2. 2014 Continuity Schedule'!$C$20:$BQ$82, MATCH('2. 2014 Continuity Schedule'!BK$20, '2. 2014 Continuity Schedule'!C$20:BQ$20,0),FALSE)</f>
        <v>#N/A</v>
      </c>
      <c r="D42" s="100" t="e">
        <f>VLOOKUP(A42, '2. 2014 Continuity Schedule'!$C$20:$BQ$82, MATCH('2. 2014 Continuity Schedule'!BL$20, '2. 2014 Continuity Schedule'!C$20:BQ$20,0),FALSE)</f>
        <v>#N/A</v>
      </c>
      <c r="E42" s="100" t="e">
        <f t="shared" si="0"/>
        <v>#N/A</v>
      </c>
      <c r="F42" s="100" t="e">
        <f>VLOOKUP(A42, '2. 2014 Continuity Schedule'!$C$20:$BQ$82, MATCH('2. 2014 Continuity Schedule'!BM$20, '2. 2014 Continuity Schedule'!C$20:BQ$20,0),FALSE)</f>
        <v>#N/A</v>
      </c>
      <c r="G42" s="100" t="e">
        <f>VLOOKUP(A42, '2. 2014 Continuity Schedule'!$C$20:$BQ$82, MATCH('2. 2014 Continuity Schedule'!BN$20, '2. 2014 Continuity Schedule'!C$20:BQ$20,0),FALSE)</f>
        <v>#N/A</v>
      </c>
      <c r="H42" s="100" t="e">
        <f t="shared" si="1"/>
        <v>#N/A</v>
      </c>
      <c r="I42" s="100" t="e">
        <f>VLOOKUP(A42, '2. 2014 Continuity Schedule'!$C$20:$BQ$82, MATCH('2. 2014 Continuity Schedule'!BP$20, '2. 2014 Continuity Schedule'!C$20:BQ$20,0),FALSE)</f>
        <v>#N/A</v>
      </c>
      <c r="J42" s="100" t="e">
        <f>VLOOKUP(A42, '2. 2014 Continuity Schedule'!$C$20:$BQ$82, MATCH('2. 2014 Continuity Schedule'!BQ$20, '2. 2014 Continuity Schedule'!C$20:BQ$20,0),FALSE)</f>
        <v>#N/A</v>
      </c>
    </row>
    <row r="43" spans="1:10" ht="16.5" x14ac:dyDescent="0.2">
      <c r="A43" s="202" t="s">
        <v>243</v>
      </c>
      <c r="B43" s="197">
        <v>1595</v>
      </c>
      <c r="C43" s="100" t="e">
        <f>VLOOKUP(A43, '2. 2014 Continuity Schedule'!$C$20:$BQ$82, MATCH('2. 2014 Continuity Schedule'!BK$20, '2. 2014 Continuity Schedule'!C$20:BQ$20,0),FALSE)</f>
        <v>#N/A</v>
      </c>
      <c r="D43" s="100" t="e">
        <f>VLOOKUP(A43, '2. 2014 Continuity Schedule'!$C$20:$BQ$82, MATCH('2. 2014 Continuity Schedule'!BL$20, '2. 2014 Continuity Schedule'!C$20:BQ$20,0),FALSE)</f>
        <v>#N/A</v>
      </c>
      <c r="E43" s="100" t="e">
        <f t="shared" si="0"/>
        <v>#N/A</v>
      </c>
      <c r="F43" s="100" t="e">
        <f>VLOOKUP(A43, '2. 2014 Continuity Schedule'!$C$20:$BQ$82, MATCH('2. 2014 Continuity Schedule'!BM$20, '2. 2014 Continuity Schedule'!C$20:BQ$20,0),FALSE)</f>
        <v>#N/A</v>
      </c>
      <c r="G43" s="100" t="e">
        <f>VLOOKUP(A43, '2. 2014 Continuity Schedule'!$C$20:$BQ$82, MATCH('2. 2014 Continuity Schedule'!BN$20, '2. 2014 Continuity Schedule'!C$20:BQ$20,0),FALSE)</f>
        <v>#N/A</v>
      </c>
      <c r="H43" s="100" t="e">
        <f t="shared" si="1"/>
        <v>#N/A</v>
      </c>
      <c r="I43" s="100" t="e">
        <f>VLOOKUP(A43, '2. 2014 Continuity Schedule'!$C$20:$BQ$82, MATCH('2. 2014 Continuity Schedule'!BP$20, '2. 2014 Continuity Schedule'!C$20:BQ$20,0),FALSE)</f>
        <v>#N/A</v>
      </c>
      <c r="J43" s="100" t="e">
        <f>VLOOKUP(A43, '2. 2014 Continuity Schedule'!$C$20:$BQ$82, MATCH('2. 2014 Continuity Schedule'!BQ$20, '2. 2014 Continuity Schedule'!C$20:BQ$20,0),FALSE)</f>
        <v>#N/A</v>
      </c>
    </row>
    <row r="44" spans="1:10" ht="14.25" x14ac:dyDescent="0.2">
      <c r="A44" s="196" t="s">
        <v>7</v>
      </c>
      <c r="B44" s="197">
        <v>2425</v>
      </c>
      <c r="C44" s="100">
        <f>VLOOKUP(A44, '2. 2014 Continuity Schedule'!$C$20:$BQ$82, MATCH('2. 2014 Continuity Schedule'!BK$20, '2. 2014 Continuity Schedule'!C$20:BQ$20,0),FALSE)</f>
        <v>0</v>
      </c>
      <c r="D44" s="100">
        <f>VLOOKUP(A44, '2. 2014 Continuity Schedule'!$C$20:$BQ$82, MATCH('2. 2014 Continuity Schedule'!BL$20, '2. 2014 Continuity Schedule'!C$20:BQ$20,0),FALSE)</f>
        <v>0</v>
      </c>
      <c r="E44" s="100">
        <f t="shared" si="0"/>
        <v>0</v>
      </c>
      <c r="F44" s="100">
        <f>VLOOKUP(A44, '2. 2014 Continuity Schedule'!$C$20:$BQ$82, MATCH('2. 2014 Continuity Schedule'!BM$20, '2. 2014 Continuity Schedule'!C$20:BQ$20,0),FALSE)</f>
        <v>0</v>
      </c>
      <c r="G44" s="100">
        <f>VLOOKUP(A44, '2. 2014 Continuity Schedule'!$C$20:$BQ$82, MATCH('2. 2014 Continuity Schedule'!BN$20, '2. 2014 Continuity Schedule'!C$20:BQ$20,0),FALSE)</f>
        <v>0</v>
      </c>
      <c r="H44" s="100">
        <f t="shared" si="1"/>
        <v>0</v>
      </c>
      <c r="I44" s="100">
        <f>VLOOKUP(A44, '2. 2014 Continuity Schedule'!$C$20:$BQ$82, MATCH('2. 2014 Continuity Schedule'!BP$20, '2. 2014 Continuity Schedule'!C$20:BQ$20,0),FALSE)</f>
        <v>0</v>
      </c>
      <c r="J44" s="100">
        <f>VLOOKUP(A44, '2. 2014 Continuity Schedule'!$C$20:$BQ$82, MATCH('2. 2014 Continuity Schedule'!BQ$20, '2. 2014 Continuity Schedule'!C$20:BQ$20,0),FALSE)</f>
        <v>0</v>
      </c>
    </row>
    <row r="45" spans="1:10" ht="14.25" x14ac:dyDescent="0.2">
      <c r="A45" s="4"/>
      <c r="B45" s="4"/>
    </row>
    <row r="46" spans="1:10" ht="15" x14ac:dyDescent="0.25">
      <c r="A46" s="10"/>
      <c r="B46" s="10"/>
    </row>
    <row r="47" spans="1:10" ht="15" x14ac:dyDescent="0.25">
      <c r="A47" s="10"/>
      <c r="B47" s="10"/>
    </row>
    <row r="48" spans="1:10" ht="15" x14ac:dyDescent="0.25">
      <c r="A48" s="11"/>
      <c r="B48" s="12"/>
    </row>
    <row r="49" spans="1:2" ht="15" x14ac:dyDescent="0.25">
      <c r="A49" s="11"/>
      <c r="B49" s="11"/>
    </row>
    <row r="50" spans="1:2" ht="23.25" x14ac:dyDescent="0.25">
      <c r="A50" s="55"/>
      <c r="B50" s="11"/>
    </row>
    <row r="51" spans="1:2" ht="14.25" x14ac:dyDescent="0.2">
      <c r="A51" s="5"/>
      <c r="B51" s="5"/>
    </row>
    <row r="52" spans="1:2" ht="15" x14ac:dyDescent="0.25">
      <c r="A52" s="14"/>
      <c r="B52" s="5"/>
    </row>
    <row r="53" spans="1:2" ht="14.25" x14ac:dyDescent="0.2">
      <c r="A53" s="5"/>
      <c r="B53" s="5"/>
    </row>
    <row r="54" spans="1:2" ht="14.25" x14ac:dyDescent="0.2">
      <c r="A54" s="5"/>
      <c r="B54" s="5"/>
    </row>
    <row r="55" spans="1:2" ht="15" x14ac:dyDescent="0.25">
      <c r="A55" s="14"/>
      <c r="B55" s="5"/>
    </row>
    <row r="56" spans="1:2" ht="14.25" x14ac:dyDescent="0.2">
      <c r="A56" s="15"/>
      <c r="B56" s="15"/>
    </row>
    <row r="57" spans="1:2" ht="14.25" x14ac:dyDescent="0.2">
      <c r="A57" s="15"/>
      <c r="B57" s="15"/>
    </row>
    <row r="58" spans="1:2" ht="15" x14ac:dyDescent="0.25">
      <c r="A58" s="58"/>
      <c r="B58" s="59"/>
    </row>
    <row r="59" spans="1:2" ht="15" x14ac:dyDescent="0.25">
      <c r="A59" s="58"/>
      <c r="B59" s="59"/>
    </row>
    <row r="60" spans="1:2" ht="15" x14ac:dyDescent="0.25">
      <c r="A60" s="16"/>
      <c r="B60" s="15"/>
    </row>
    <row r="61" spans="1:2" ht="14.25" x14ac:dyDescent="0.2">
      <c r="A61" s="15"/>
      <c r="B61" s="15"/>
    </row>
    <row r="62" spans="1:2" ht="14.25" x14ac:dyDescent="0.2">
      <c r="A62" s="4"/>
      <c r="B62" s="7"/>
    </row>
  </sheetData>
  <sortState ref="A1:B59">
    <sortCondition ref="B1:B59"/>
  </sortState>
  <mergeCells count="8">
    <mergeCell ref="I1:I3"/>
    <mergeCell ref="J1:J3"/>
    <mergeCell ref="C1:C3"/>
    <mergeCell ref="D1:D3"/>
    <mergeCell ref="F1:F3"/>
    <mergeCell ref="G1:G3"/>
    <mergeCell ref="H1:H3"/>
    <mergeCell ref="E1: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1. Information Sheet</vt:lpstr>
      <vt:lpstr>2. 2014 Continuity Schedule</vt:lpstr>
      <vt:lpstr>3. Appendix A</vt:lpstr>
      <vt:lpstr>4. Billing Determinants</vt:lpstr>
      <vt:lpstr>5. Allocation of Balances</vt:lpstr>
      <vt:lpstr>6. Rate Rider Calculations</vt:lpstr>
      <vt:lpstr>Summary Sheet</vt:lpstr>
      <vt:lpstr>Sheet1</vt:lpstr>
      <vt:lpstr>'1. Information Sheet'!Print_Area</vt:lpstr>
      <vt:lpstr>'2. 2014 Continuity Schedule'!Print_Area</vt:lpstr>
      <vt:lpstr>'3. Appendix A'!Print_Area</vt:lpstr>
      <vt:lpstr>'2. 2014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Paul Blythin</cp:lastModifiedBy>
  <cp:lastPrinted>2014-08-25T17:37:41Z</cp:lastPrinted>
  <dcterms:created xsi:type="dcterms:W3CDTF">2005-04-25T20:13:02Z</dcterms:created>
  <dcterms:modified xsi:type="dcterms:W3CDTF">2014-12-22T16:09:19Z</dcterms:modified>
</cp:coreProperties>
</file>