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55" windowWidth="15600" windowHeight="11580" firstSheet="6" activeTab="11"/>
  </bookViews>
  <sheets>
    <sheet name="Cover Sheet" sheetId="22" r:id="rId1"/>
    <sheet name="Tariff Sheet" sheetId="6" r:id="rId2"/>
    <sheet name="Forecast" sheetId="31" r:id="rId3"/>
    <sheet name="Cost Allocation DRO" sheetId="34" r:id="rId4"/>
    <sheet name="2011 EDR Cost Allocation" sheetId="25" r:id="rId5"/>
    <sheet name="2015 Cost Allocation Results" sheetId="27" r:id="rId6"/>
    <sheet name="2015 Cost Allocation Design" sheetId="33" r:id="rId7"/>
    <sheet name="Allocated Revenues" sheetId="14" r:id="rId8"/>
    <sheet name="2015 RRRP Rate Design" sheetId="29" r:id="rId9"/>
    <sheet name="2015 Non-RRRP Rate Design" sheetId="30" r:id="rId10"/>
    <sheet name="Reconciliation" sheetId="26" r:id="rId11"/>
    <sheet name="Foregone Revenue" sheetId="35" r:id="rId12"/>
  </sheets>
  <calcPr calcId="145621"/>
</workbook>
</file>

<file path=xl/calcChain.xml><?xml version="1.0" encoding="utf-8"?>
<calcChain xmlns="http://schemas.openxmlformats.org/spreadsheetml/2006/main">
  <c r="G9" i="35" l="1"/>
  <c r="F9" i="35"/>
  <c r="G8" i="35"/>
  <c r="F8" i="35"/>
  <c r="G7" i="35"/>
  <c r="F7" i="35"/>
  <c r="G6" i="35"/>
  <c r="F6" i="35"/>
  <c r="H8" i="30" l="1"/>
  <c r="H7" i="30"/>
  <c r="F9" i="27"/>
  <c r="F8" i="27"/>
  <c r="F7" i="27"/>
  <c r="F6" i="27"/>
  <c r="H6" i="33"/>
  <c r="H11" i="33" s="1"/>
  <c r="F8" i="33"/>
  <c r="F7" i="33"/>
  <c r="F6" i="33"/>
  <c r="F5" i="33"/>
  <c r="D8" i="33"/>
  <c r="D7" i="33"/>
  <c r="D6" i="33"/>
  <c r="D5" i="33"/>
  <c r="C8" i="33"/>
  <c r="C7" i="33"/>
  <c r="C6" i="33"/>
  <c r="C5" i="33"/>
  <c r="E9" i="27"/>
  <c r="E8" i="27"/>
  <c r="E7" i="27"/>
  <c r="E6" i="27"/>
  <c r="C9" i="27"/>
  <c r="C8" i="27"/>
  <c r="C7" i="27"/>
  <c r="C6" i="27"/>
  <c r="D6" i="27"/>
  <c r="D8" i="27"/>
  <c r="D7" i="27"/>
  <c r="D9" i="27"/>
  <c r="I26" i="31" l="1"/>
  <c r="I18" i="31"/>
  <c r="G7" i="29" l="1"/>
  <c r="G8" i="29"/>
  <c r="M14" i="29"/>
  <c r="I33" i="31" l="1"/>
  <c r="L19" i="29" s="1"/>
  <c r="M19" i="29" s="1"/>
  <c r="H33" i="31"/>
  <c r="F33" i="31"/>
  <c r="E33" i="31"/>
  <c r="D33" i="31"/>
  <c r="N9" i="14" l="1"/>
  <c r="N10" i="14"/>
  <c r="N11" i="14"/>
  <c r="N8" i="14"/>
  <c r="M21" i="14"/>
  <c r="M22" i="14"/>
  <c r="M7" i="30" s="1"/>
  <c r="M23" i="14"/>
  <c r="K23" i="14" s="1"/>
  <c r="M20" i="14"/>
  <c r="H21" i="14"/>
  <c r="H8" i="29" s="1"/>
  <c r="H22" i="14"/>
  <c r="H23" i="14"/>
  <c r="H20" i="14"/>
  <c r="H7" i="29" s="1"/>
  <c r="E23" i="14"/>
  <c r="E9" i="35" s="1"/>
  <c r="E22" i="14"/>
  <c r="E8" i="35" s="1"/>
  <c r="F21" i="14"/>
  <c r="E7" i="35" s="1"/>
  <c r="E20" i="14"/>
  <c r="E6" i="35" s="1"/>
  <c r="D22" i="14"/>
  <c r="D8" i="35" s="1"/>
  <c r="D21" i="14"/>
  <c r="D7" i="35" s="1"/>
  <c r="D23" i="14"/>
  <c r="D9" i="35" s="1"/>
  <c r="D20" i="14"/>
  <c r="D6" i="35" s="1"/>
  <c r="G6" i="33"/>
  <c r="D27" i="35" l="1"/>
  <c r="D17" i="35"/>
  <c r="D30" i="35"/>
  <c r="D20" i="35"/>
  <c r="E28" i="35"/>
  <c r="E18" i="35"/>
  <c r="D28" i="35"/>
  <c r="D18" i="35"/>
  <c r="E29" i="35"/>
  <c r="E19" i="35"/>
  <c r="M9" i="30"/>
  <c r="E27" i="35"/>
  <c r="E17" i="35"/>
  <c r="D29" i="35"/>
  <c r="D19" i="35"/>
  <c r="E30" i="35"/>
  <c r="E20" i="35"/>
  <c r="L22" i="14"/>
  <c r="J22" i="14" s="1"/>
  <c r="L21" i="14"/>
  <c r="L8" i="29" s="1"/>
  <c r="M8" i="29"/>
  <c r="M24" i="14"/>
  <c r="M7" i="29"/>
  <c r="L23" i="14"/>
  <c r="M8" i="30"/>
  <c r="K22" i="14"/>
  <c r="I22" i="14" s="1"/>
  <c r="D7" i="29"/>
  <c r="C5" i="26"/>
  <c r="E8" i="30"/>
  <c r="D8" i="26"/>
  <c r="C8" i="26"/>
  <c r="D8" i="30"/>
  <c r="D5" i="26"/>
  <c r="E7" i="29"/>
  <c r="I23" i="14"/>
  <c r="D8" i="29"/>
  <c r="C6" i="26"/>
  <c r="D6" i="26"/>
  <c r="F8" i="29"/>
  <c r="J23" i="14"/>
  <c r="C7" i="26"/>
  <c r="D7" i="30"/>
  <c r="E7" i="30"/>
  <c r="D7" i="26"/>
  <c r="G7" i="33"/>
  <c r="G5" i="33"/>
  <c r="K21" i="14"/>
  <c r="L20" i="14"/>
  <c r="L7" i="29" s="1"/>
  <c r="E8" i="33"/>
  <c r="K20" i="14"/>
  <c r="K7" i="29" s="1"/>
  <c r="E7" i="33"/>
  <c r="G8" i="33"/>
  <c r="E6" i="33"/>
  <c r="D9" i="33"/>
  <c r="C9" i="33"/>
  <c r="E5" i="33"/>
  <c r="F9" i="33"/>
  <c r="F10" i="27"/>
  <c r="J21" i="14" l="1"/>
  <c r="J8" i="29" s="1"/>
  <c r="M10" i="29"/>
  <c r="N23" i="14"/>
  <c r="N22" i="14"/>
  <c r="I21" i="14"/>
  <c r="K8" i="29"/>
  <c r="K10" i="29" s="1"/>
  <c r="L24" i="14"/>
  <c r="J20" i="14"/>
  <c r="J7" i="29" s="1"/>
  <c r="I20" i="14"/>
  <c r="K24" i="14"/>
  <c r="E9" i="33"/>
  <c r="M26" i="14" l="1"/>
  <c r="N21" i="14"/>
  <c r="I8" i="29"/>
  <c r="N20" i="14"/>
  <c r="N24" i="14" s="1"/>
  <c r="I7" i="29"/>
  <c r="G9" i="27" l="1"/>
  <c r="G8" i="27"/>
  <c r="G7" i="27"/>
  <c r="G6" i="27"/>
  <c r="I18" i="29" l="1"/>
  <c r="J13" i="6" s="1"/>
  <c r="I7" i="35" s="1"/>
  <c r="L7" i="35" s="1"/>
  <c r="F18" i="35" s="1"/>
  <c r="F18" i="29"/>
  <c r="E17" i="29"/>
  <c r="D18" i="29"/>
  <c r="D17" i="29"/>
  <c r="K18" i="25"/>
  <c r="E15" i="25"/>
  <c r="E19" i="25" s="1"/>
  <c r="K16" i="25" l="1"/>
  <c r="E10" i="25"/>
  <c r="F8" i="25" s="1"/>
  <c r="H8" i="25" s="1"/>
  <c r="C10" i="25"/>
  <c r="D7" i="25" s="1"/>
  <c r="G7" i="25" s="1"/>
  <c r="C10" i="27"/>
  <c r="E6" i="26"/>
  <c r="G6" i="26" s="1"/>
  <c r="E10" i="27"/>
  <c r="I17" i="29"/>
  <c r="J9" i="6" s="1"/>
  <c r="I6" i="35" s="1"/>
  <c r="L6" i="35" s="1"/>
  <c r="J18" i="29"/>
  <c r="J17" i="29"/>
  <c r="J10" i="6" s="1"/>
  <c r="J6" i="35" s="1"/>
  <c r="M6" i="35" s="1"/>
  <c r="K18" i="29"/>
  <c r="F17" i="35" l="1"/>
  <c r="G17" i="35"/>
  <c r="L18" i="29"/>
  <c r="J14" i="6"/>
  <c r="J7" i="35" s="1"/>
  <c r="M7" i="35" s="1"/>
  <c r="G18" i="35" s="1"/>
  <c r="J18" i="35" s="1"/>
  <c r="F12" i="27"/>
  <c r="F7" i="25"/>
  <c r="H7" i="25" s="1"/>
  <c r="I7" i="25" s="1"/>
  <c r="C16" i="25" s="1"/>
  <c r="F9" i="25"/>
  <c r="H9" i="25" s="1"/>
  <c r="F6" i="25"/>
  <c r="H6" i="25" s="1"/>
  <c r="K17" i="29"/>
  <c r="D9" i="25"/>
  <c r="G9" i="25" s="1"/>
  <c r="D6" i="25"/>
  <c r="D8" i="25"/>
  <c r="G8" i="25" s="1"/>
  <c r="I8" i="25" s="1"/>
  <c r="C17" i="25" s="1"/>
  <c r="L17" i="29"/>
  <c r="F5" i="26"/>
  <c r="H5" i="26" s="1"/>
  <c r="E5" i="26"/>
  <c r="G5" i="26" s="1"/>
  <c r="M18" i="29"/>
  <c r="G18" i="29" s="1"/>
  <c r="G28" i="35" l="1"/>
  <c r="J28" i="35" s="1"/>
  <c r="J17" i="35"/>
  <c r="F10" i="25"/>
  <c r="I9" i="25"/>
  <c r="C18" i="25" s="1"/>
  <c r="M17" i="29"/>
  <c r="G6" i="25"/>
  <c r="I6" i="25" s="1"/>
  <c r="D10" i="25"/>
  <c r="I5" i="26"/>
  <c r="H18" i="29"/>
  <c r="G27" i="35" l="1"/>
  <c r="J27" i="35" s="1"/>
  <c r="M21" i="29"/>
  <c r="M23" i="29" s="1"/>
  <c r="G17" i="29"/>
  <c r="H17" i="29"/>
  <c r="I10" i="25"/>
  <c r="C15" i="25"/>
  <c r="C19" i="25" l="1"/>
  <c r="F6" i="26"/>
  <c r="H6" i="26" s="1"/>
  <c r="D15" i="25" l="1"/>
  <c r="F17" i="25"/>
  <c r="D17" i="25"/>
  <c r="F18" i="25"/>
  <c r="D18" i="25"/>
  <c r="F16" i="25"/>
  <c r="D16" i="25"/>
  <c r="F15" i="25"/>
  <c r="I6" i="26"/>
  <c r="D19" i="25" l="1"/>
  <c r="H16" i="25"/>
  <c r="G16" i="25"/>
  <c r="G17" i="25"/>
  <c r="H17" i="25"/>
  <c r="H15" i="25"/>
  <c r="F19" i="25"/>
  <c r="G15" i="25"/>
  <c r="G18" i="25"/>
  <c r="H18" i="25"/>
  <c r="K7" i="30" l="1"/>
  <c r="L7" i="30" l="1"/>
  <c r="K8" i="30"/>
  <c r="I8" i="30" s="1"/>
  <c r="J21" i="6" s="1"/>
  <c r="L8" i="30"/>
  <c r="J8" i="30" s="1"/>
  <c r="J22" i="6" s="1"/>
  <c r="J9" i="35" s="1"/>
  <c r="M9" i="35" s="1"/>
  <c r="G20" i="35" s="1"/>
  <c r="I7" i="30"/>
  <c r="J17" i="6" s="1"/>
  <c r="I8" i="35" s="1"/>
  <c r="L8" i="35" s="1"/>
  <c r="E8" i="26" l="1"/>
  <c r="G8" i="26" s="1"/>
  <c r="I9" i="35"/>
  <c r="L9" i="35" s="1"/>
  <c r="F20" i="35" s="1"/>
  <c r="J20" i="35" s="1"/>
  <c r="F19" i="35"/>
  <c r="L10" i="35"/>
  <c r="K9" i="30"/>
  <c r="L9" i="30"/>
  <c r="J7" i="30"/>
  <c r="J18" i="6" s="1"/>
  <c r="J8" i="35" s="1"/>
  <c r="M8" i="35" s="1"/>
  <c r="F8" i="26"/>
  <c r="H8" i="26" s="1"/>
  <c r="I8" i="26" s="1"/>
  <c r="J24" i="6"/>
  <c r="E7" i="26"/>
  <c r="G7" i="26" s="1"/>
  <c r="L10" i="29"/>
  <c r="G19" i="35" l="1"/>
  <c r="M10" i="35"/>
  <c r="J19" i="35"/>
  <c r="J30" i="35"/>
  <c r="G30" i="35"/>
  <c r="M11" i="35"/>
  <c r="L11" i="30"/>
  <c r="F7" i="26"/>
  <c r="H7" i="26" s="1"/>
  <c r="I7" i="26" s="1"/>
  <c r="I9" i="26" s="1"/>
  <c r="G9" i="26"/>
  <c r="J9" i="26"/>
  <c r="G29" i="35" l="1"/>
  <c r="J29" i="35" s="1"/>
  <c r="J31" i="35" s="1"/>
  <c r="J33" i="35" s="1"/>
  <c r="H9" i="26"/>
  <c r="K9" i="26"/>
  <c r="K11" i="26" s="1"/>
</calcChain>
</file>

<file path=xl/sharedStrings.xml><?xml version="1.0" encoding="utf-8"?>
<sst xmlns="http://schemas.openxmlformats.org/spreadsheetml/2006/main" count="450" uniqueCount="220">
  <si>
    <t>Algoma Power Inc.</t>
  </si>
  <si>
    <t>Rate Base Assets</t>
  </si>
  <si>
    <t>Total</t>
  </si>
  <si>
    <t>R1</t>
  </si>
  <si>
    <t>R2</t>
  </si>
  <si>
    <t>GS&gt;50-Regular</t>
  </si>
  <si>
    <t>GS&gt; 50-TOU</t>
  </si>
  <si>
    <t>GS &gt;50-Intermediate</t>
  </si>
  <si>
    <t>Large Use &gt;5MW</t>
  </si>
  <si>
    <t>Street Light</t>
  </si>
  <si>
    <t>Sentinel</t>
  </si>
  <si>
    <t>Unmetered Scattered Load</t>
  </si>
  <si>
    <t>Embedded Distributor</t>
  </si>
  <si>
    <t>Back-up/Standby Power</t>
  </si>
  <si>
    <t>Seasonal</t>
  </si>
  <si>
    <t>crev</t>
  </si>
  <si>
    <t>mi</t>
  </si>
  <si>
    <t>Miscellaneous Revenue (mi)</t>
  </si>
  <si>
    <t>Total Revenue</t>
  </si>
  <si>
    <t>Expenses</t>
  </si>
  <si>
    <t>di</t>
  </si>
  <si>
    <t>Distribution Costs (di)</t>
  </si>
  <si>
    <t>cu</t>
  </si>
  <si>
    <t>Customer Related Costs (cu)</t>
  </si>
  <si>
    <t>ad</t>
  </si>
  <si>
    <t>General and Administration (ad)</t>
  </si>
  <si>
    <t>dep</t>
  </si>
  <si>
    <t>Depreciation and Amortization (dep)</t>
  </si>
  <si>
    <t>INPUT</t>
  </si>
  <si>
    <t>PILs  (INPUT)</t>
  </si>
  <si>
    <t>INT</t>
  </si>
  <si>
    <t>Interest</t>
  </si>
  <si>
    <t>Total Expenses</t>
  </si>
  <si>
    <t>Direct Allocation</t>
  </si>
  <si>
    <t>NI</t>
  </si>
  <si>
    <t>Allocated Net Income  (NI)</t>
  </si>
  <si>
    <t>Revenue Requirement (includes NI)</t>
  </si>
  <si>
    <t>Rate Base Calculation</t>
  </si>
  <si>
    <t>Net Assets</t>
  </si>
  <si>
    <t>dp</t>
  </si>
  <si>
    <t xml:space="preserve">Distribution Plant - Gross </t>
  </si>
  <si>
    <t>gp</t>
  </si>
  <si>
    <t>General Plant - Gross</t>
  </si>
  <si>
    <t>accum dep</t>
  </si>
  <si>
    <t>Accumulated Depreciation</t>
  </si>
  <si>
    <t>co</t>
  </si>
  <si>
    <t xml:space="preserve">Capital Contribution </t>
  </si>
  <si>
    <t>Total Net Plant</t>
  </si>
  <si>
    <t>Directly Allocated Net Fixed Assets</t>
  </si>
  <si>
    <t>COP</t>
  </si>
  <si>
    <t>Cost of Power  (COP)</t>
  </si>
  <si>
    <t>OM&amp;A Expenses</t>
  </si>
  <si>
    <t xml:space="preserve">Directly Allocated Expenses </t>
  </si>
  <si>
    <t xml:space="preserve">Subtotal </t>
  </si>
  <si>
    <t>Working Capital</t>
  </si>
  <si>
    <t>Total Rate Base</t>
  </si>
  <si>
    <t>Rate Base Input equals Output</t>
  </si>
  <si>
    <t>Equity Component of Rate Base</t>
  </si>
  <si>
    <t>Net Income on Allocated Assets</t>
  </si>
  <si>
    <t>Net Income on Direct Allocation Assets</t>
  </si>
  <si>
    <t>Net Income</t>
  </si>
  <si>
    <t>RATIOS ANALYSIS</t>
  </si>
  <si>
    <t>0.00%</t>
  </si>
  <si>
    <t>EXISTING REVENUE MINUS ALLOCATED COSTS</t>
  </si>
  <si>
    <t>RETURN ON EQUITY COMPONENT OF RATE BASE</t>
  </si>
  <si>
    <t>Residential - R1</t>
  </si>
  <si>
    <t>Residential - R2</t>
  </si>
  <si>
    <t>Street Lighting</t>
  </si>
  <si>
    <t>kW</t>
  </si>
  <si>
    <t>kWh</t>
  </si>
  <si>
    <t>Board's Guideline</t>
  </si>
  <si>
    <t>85-115%</t>
  </si>
  <si>
    <t>80-180%</t>
  </si>
  <si>
    <t>70-120%</t>
  </si>
  <si>
    <t>Customer Class</t>
  </si>
  <si>
    <t>Metric</t>
  </si>
  <si>
    <t>Average # of Customers</t>
  </si>
  <si>
    <t>Billing Determinant</t>
  </si>
  <si>
    <t>Revenues</t>
  </si>
  <si>
    <t>Monthly Service Charge</t>
  </si>
  <si>
    <t>Variable Charge</t>
  </si>
  <si>
    <t>Fixed</t>
  </si>
  <si>
    <t>Variable</t>
  </si>
  <si>
    <t>Fixed Allocation</t>
  </si>
  <si>
    <t>Variable Allocation</t>
  </si>
  <si>
    <t>Distribution Rates</t>
  </si>
  <si>
    <t>Beneficary</t>
  </si>
  <si>
    <t>F/V Split</t>
  </si>
  <si>
    <t>Monthly Rates and Charges</t>
  </si>
  <si>
    <t>$</t>
  </si>
  <si>
    <t>Distribution Volumetric Rate</t>
  </si>
  <si>
    <t>$/kWh</t>
  </si>
  <si>
    <t>$/kW</t>
  </si>
  <si>
    <t>Charge Determinant</t>
  </si>
  <si>
    <t>No. of Customers</t>
  </si>
  <si>
    <t>Delivery Charges Indexed by Simple Average of Other LDC Increases in Current Year</t>
  </si>
  <si>
    <t>Delivery Charges</t>
  </si>
  <si>
    <t>Rural and Remote Rate Protection</t>
  </si>
  <si>
    <t>Cost Allocation Revenue Requirement</t>
  </si>
  <si>
    <t>Revenue Requirement Allocation Percentage</t>
  </si>
  <si>
    <t>Cost Allocation Misc.</t>
  </si>
  <si>
    <t>Cost Allocation Misc. Percentage</t>
  </si>
  <si>
    <t>Revenue Proportions @ 100% R|C</t>
  </si>
  <si>
    <t>Over/(Under) Contributing</t>
  </si>
  <si>
    <t>2011 Cost Allcoaction Results</t>
  </si>
  <si>
    <t>2011 Base Distribution Rate Cost Allcation Design</t>
  </si>
  <si>
    <t>2011 Service Revenue Requirement</t>
  </si>
  <si>
    <t>2011 Misc. Revenue</t>
  </si>
  <si>
    <t>2011 Base Revenue Requirement</t>
  </si>
  <si>
    <t>Target R|C Ratio</t>
  </si>
  <si>
    <t>Approved</t>
  </si>
  <si>
    <t>Total Service Revenue</t>
  </si>
  <si>
    <t>Total Service Revenue plus RRRP</t>
  </si>
  <si>
    <t>Board Approved EB-2009-0278</t>
  </si>
  <si>
    <t>Determination of Seasonal and Street Lighting Distribution Rates</t>
  </si>
  <si>
    <t>2011 Approved Revenue @ 100% R|C</t>
  </si>
  <si>
    <t>Approved Proportion of Revenue</t>
  </si>
  <si>
    <t>Base Revenue @ Approved Proportion</t>
  </si>
  <si>
    <t>Approved Revenue to Cost Ratio</t>
  </si>
  <si>
    <t>2011 Cost Allocation R|C</t>
  </si>
  <si>
    <t>Equivalent Distribution Rates</t>
  </si>
  <si>
    <t>Balanced?</t>
  </si>
  <si>
    <t>2014 Distribution Price Indexed Electricity Distribution Rates</t>
  </si>
  <si>
    <t>2014 Distribution Base Rate Determination</t>
  </si>
  <si>
    <t>EB-2013-0110</t>
  </si>
  <si>
    <t>EB-2014-0055</t>
  </si>
  <si>
    <t>2015 Electricity Distribution Rate Application</t>
  </si>
  <si>
    <t>Rate Design Model</t>
  </si>
  <si>
    <t>Cost of Service</t>
  </si>
  <si>
    <t>Effective January 1, 2014  Implemented March 1, 2014</t>
  </si>
  <si>
    <t>Effective January 1, 2015</t>
  </si>
  <si>
    <t>2015 Cost Allocation Results</t>
  </si>
  <si>
    <t>Board Approved EB-2013-0110</t>
  </si>
  <si>
    <t>2015 EDR</t>
  </si>
  <si>
    <t xml:space="preserve">   Customer Class Name</t>
  </si>
  <si>
    <t>2010 Actual</t>
  </si>
  <si>
    <t>2011 Actual</t>
  </si>
  <si>
    <t>2012 Actual</t>
  </si>
  <si>
    <t>2013 Year End</t>
  </si>
  <si>
    <t>2013 Normalized</t>
  </si>
  <si>
    <t>Bridge Year 2014 Normalized</t>
  </si>
  <si>
    <t>Test Year 2015 Normalized</t>
  </si>
  <si>
    <t>Customers and Connections</t>
  </si>
  <si>
    <t xml:space="preserve">   Residential - R1</t>
  </si>
  <si>
    <t xml:space="preserve">   Seasonal</t>
  </si>
  <si>
    <t xml:space="preserve">   Residential - R2</t>
  </si>
  <si>
    <t xml:space="preserve">   Street Lighting (# of Connections)</t>
  </si>
  <si>
    <t xml:space="preserve">   TOTAL</t>
  </si>
  <si>
    <t xml:space="preserve">   Volumes in kWh</t>
  </si>
  <si>
    <t xml:space="preserve">   Street Lighting</t>
  </si>
  <si>
    <t xml:space="preserve">   Volumes in kW</t>
  </si>
  <si>
    <t>Note: Street Ligting revenue in API is based on kWh.</t>
  </si>
  <si>
    <t>Distribution Revenue at Existing Rates</t>
  </si>
  <si>
    <t>Miscellaneous Revenue Input equals Output</t>
  </si>
  <si>
    <t>Total Revenue at Existing Rates</t>
  </si>
  <si>
    <t>Factor required to recover deficiency (1 + D)</t>
  </si>
  <si>
    <t>Distribution Revenue at Status Quo Rates</t>
  </si>
  <si>
    <t>Total Revenue at Status Quo Rates</t>
  </si>
  <si>
    <t>Revenue Requirement Input equals Output</t>
  </si>
  <si>
    <t>REVENUE TO EXPENSES STATUS QUO%</t>
  </si>
  <si>
    <t>STATUS QUO REVENUE MINUS ALLOCATED COSTS</t>
  </si>
  <si>
    <t>RRRP Adjustment Factor</t>
  </si>
  <si>
    <t>N/a</t>
  </si>
  <si>
    <t>2013 Actual</t>
  </si>
  <si>
    <t>2014 Actual</t>
  </si>
  <si>
    <t>Revenue Deficiency Factor</t>
  </si>
  <si>
    <t>Distribution Revenue at Status Quo Equivalent Rates</t>
  </si>
  <si>
    <t>Misc. Revenue</t>
  </si>
  <si>
    <t>Revenue to Cost Ratio</t>
  </si>
  <si>
    <t>85 - 115</t>
  </si>
  <si>
    <t>80 - 120</t>
  </si>
  <si>
    <t>70 - 120</t>
  </si>
  <si>
    <t>Board's Policy Range     %</t>
  </si>
  <si>
    <t>Allocation of Revenue Requirement Including Net Income</t>
  </si>
  <si>
    <t>Test Year Revenue To Cost Ratios as Determined by the Cost Allocation Study</t>
  </si>
  <si>
    <t>Balanced ?</t>
  </si>
  <si>
    <t>Allocation of Distribution Revenue Requirement Including Net Income</t>
  </si>
  <si>
    <t>Target Revenue to Cost Ratio</t>
  </si>
  <si>
    <t>Check</t>
  </si>
  <si>
    <t>Adjusted Distribution Revenue to Achieve Target Revenue to Cost Ratios</t>
  </si>
  <si>
    <t>2015 Proposed Equivalent Electricity Distribution Rates</t>
  </si>
  <si>
    <t>Reconciliation</t>
  </si>
  <si>
    <t xml:space="preserve">Excluding Transformer Ownership Allowance </t>
  </si>
  <si>
    <t>Setting Target Revenue to Cost Ratios</t>
  </si>
  <si>
    <t>Transformer Ownership Allowance</t>
  </si>
  <si>
    <t>Equivalent Distribution Rates Required to Recover the Proposed 2015 Base Revenue Requirement at the Target Revenue to Cost Ratios</t>
  </si>
  <si>
    <t>2015 Distribution Base Rate Determination</t>
  </si>
  <si>
    <t>Determination of Residential R1 &amp; R2 2015 Electricity Distribution Rates and RRRP Funding</t>
  </si>
  <si>
    <t>2015 Application of Rate Indexing Methodology</t>
  </si>
  <si>
    <t>Distribution Charges</t>
  </si>
  <si>
    <t>Proposed Distribution Charges</t>
  </si>
  <si>
    <t>Transformer Ownership Allowance - Allocated to the Residential - R2 class</t>
  </si>
  <si>
    <t>Simple Average Increase in Delivery Charge for 2015 using the 2014 Board Approved RRRP Adjustment Factor</t>
  </si>
  <si>
    <t>2015 Monthly Service Charge</t>
  </si>
  <si>
    <t>2015 Volumetric Distribution Charge</t>
  </si>
  <si>
    <t>2015 Monthly Service Charge Revenue</t>
  </si>
  <si>
    <t>2015 Volumetric Distribution Revenue</t>
  </si>
  <si>
    <t>Proposed 2015 RRRP</t>
  </si>
  <si>
    <t>Reconciliation of 2015 Proposed Distribution Revenue including Transformer Ownership Allowance</t>
  </si>
  <si>
    <t>Proposed Distribution Charges and RRRP Funding for 2015 Test Year</t>
  </si>
  <si>
    <t>2015 Test Year Normalized Customer and Load Forecast Information</t>
  </si>
  <si>
    <t>The Rural and Remote Rate Protection Amount Required for 2015</t>
  </si>
  <si>
    <t>2015 Board Calculation</t>
  </si>
  <si>
    <t>Draft Rate Order</t>
  </si>
  <si>
    <t>January 9, 2015</t>
  </si>
  <si>
    <t>Sheet O1 Revenue to Cost Summary Worksheet  - Final Run</t>
  </si>
  <si>
    <t>Deficiency Input Does Not Equal Output</t>
  </si>
  <si>
    <t>Number of Customers</t>
  </si>
  <si>
    <t>MSC</t>
  </si>
  <si>
    <t>Vol.</t>
  </si>
  <si>
    <t>Foregone Revenue</t>
  </si>
  <si>
    <t>Foregone Revenue Rate Rider</t>
  </si>
  <si>
    <t>Reconciliation of Foregone Revenue</t>
  </si>
  <si>
    <t>Determination of Foregone Revenue for the Period of January 1, 2015 to January 31, 2015</t>
  </si>
  <si>
    <t>2014 Board Approved Rates</t>
  </si>
  <si>
    <t>2015 Draft Rate Order</t>
  </si>
  <si>
    <t>Foregone Revenue for One Month</t>
  </si>
  <si>
    <t>Foregone Revenue Rate Riders Effective February 1, 2015 to December 31, 2015</t>
  </si>
  <si>
    <t>Foregone Revenue Collected Over 11 Months</t>
  </si>
  <si>
    <t>Diff.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</si>
</sst>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F800]dddd\,\ mmmm\ dd\,\ yyyy"/>
    <numFmt numFmtId="168" formatCode="_(* #,##0_);_(* \(#,##0\);_(* &quot;-&quot;??_);_(@_)"/>
    <numFmt numFmtId="169" formatCode="0.0%"/>
    <numFmt numFmtId="170" formatCode="_(* #,##0.0000_);_(* \(#,##0.0000\);_(* &quot;-&quot;??_);_(@_)"/>
    <numFmt numFmtId="171" formatCode="_(&quot;$&quot;* #,##0_);_(&quot;$&quot;* \(#,##0\);_(&quot;$&quot;* &quot;-&quot;??_);_(@_)"/>
    <numFmt numFmtId="172" formatCode="_(&quot;$&quot;* #,##0.0000_);_(&quot;$&quot;* \(#,##0.0000\);_(&quot;$&quot;* &quot;-&quot;??_);_(@_)"/>
    <numFmt numFmtId="173" formatCode="0.0000"/>
    <numFmt numFmtId="174" formatCode="0.000%"/>
    <numFmt numFmtId="175" formatCode="_-* #,##0_-;\-* #,##0_-;_-* &quot;-&quot;??_-;_-@_-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Cooper Black"/>
      <family val="1"/>
    </font>
    <font>
      <b/>
      <sz val="16"/>
      <color indexed="10"/>
      <name val="Cooper Black"/>
      <family val="1"/>
    </font>
    <font>
      <b/>
      <sz val="16"/>
      <name val="Cooper Black"/>
      <family val="1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 val="singleAccounting"/>
      <sz val="10"/>
      <name val="Arial"/>
      <family val="2"/>
    </font>
    <font>
      <u val="doubleAccounting"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9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indent="10"/>
    </xf>
    <xf numFmtId="0" fontId="2" fillId="2" borderId="0" xfId="0" applyFont="1" applyFill="1" applyAlignment="1">
      <alignment horizontal="left" indent="10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indent="5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left"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>
      <alignment horizontal="center"/>
    </xf>
    <xf numFmtId="0" fontId="7" fillId="2" borderId="2" xfId="0" applyNumberFormat="1" applyFont="1" applyFill="1" applyBorder="1" applyAlignment="1">
      <alignment horizontal="center"/>
    </xf>
    <xf numFmtId="0" fontId="7" fillId="2" borderId="0" xfId="0" applyFont="1" applyFill="1" applyBorder="1" applyAlignment="1" applyProtection="1">
      <alignment horizont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164" fontId="9" fillId="2" borderId="5" xfId="0" applyNumberFormat="1" applyFont="1" applyFill="1" applyBorder="1"/>
    <xf numFmtId="164" fontId="9" fillId="2" borderId="6" xfId="0" applyNumberFormat="1" applyFont="1" applyFill="1" applyBorder="1"/>
    <xf numFmtId="0" fontId="7" fillId="3" borderId="3" xfId="0" applyFont="1" applyFill="1" applyBorder="1"/>
    <xf numFmtId="164" fontId="9" fillId="3" borderId="8" xfId="0" applyNumberFormat="1" applyFont="1" applyFill="1" applyBorder="1"/>
    <xf numFmtId="164" fontId="7" fillId="3" borderId="9" xfId="0" applyNumberFormat="1" applyFont="1" applyFill="1" applyBorder="1"/>
    <xf numFmtId="164" fontId="9" fillId="2" borderId="3" xfId="0" applyNumberFormat="1" applyFont="1" applyFill="1" applyBorder="1"/>
    <xf numFmtId="0" fontId="7" fillId="2" borderId="3" xfId="0" applyFont="1" applyFill="1" applyBorder="1"/>
    <xf numFmtId="164" fontId="9" fillId="2" borderId="3" xfId="0" applyNumberFormat="1" applyFont="1" applyFill="1" applyBorder="1" applyAlignment="1">
      <alignment horizontal="right"/>
    </xf>
    <xf numFmtId="164" fontId="7" fillId="2" borderId="10" xfId="0" applyNumberFormat="1" applyFont="1" applyFill="1" applyBorder="1"/>
    <xf numFmtId="0" fontId="8" fillId="0" borderId="0" xfId="0" applyFont="1" applyFill="1" applyBorder="1" applyAlignment="1">
      <alignment horizontal="center"/>
    </xf>
    <xf numFmtId="0" fontId="10" fillId="2" borderId="3" xfId="0" applyFont="1" applyFill="1" applyBorder="1"/>
    <xf numFmtId="164" fontId="9" fillId="2" borderId="6" xfId="0" applyNumberFormat="1" applyFont="1" applyFill="1" applyBorder="1" applyAlignment="1">
      <alignment horizontal="right"/>
    </xf>
    <xf numFmtId="0" fontId="11" fillId="3" borderId="3" xfId="0" applyFont="1" applyFill="1" applyBorder="1" applyAlignment="1">
      <alignment vertical="center" wrapText="1"/>
    </xf>
    <xf numFmtId="164" fontId="12" fillId="3" borderId="3" xfId="0" applyNumberFormat="1" applyFont="1" applyFill="1" applyBorder="1"/>
    <xf numFmtId="164" fontId="11" fillId="3" borderId="10" xfId="0" applyNumberFormat="1" applyFont="1" applyFill="1" applyBorder="1"/>
    <xf numFmtId="164" fontId="9" fillId="3" borderId="11" xfId="0" applyNumberFormat="1" applyFont="1" applyFill="1" applyBorder="1"/>
    <xf numFmtId="164" fontId="7" fillId="3" borderId="12" xfId="0" applyNumberFormat="1" applyFont="1" applyFill="1" applyBorder="1"/>
    <xf numFmtId="164" fontId="9" fillId="3" borderId="3" xfId="0" applyNumberFormat="1" applyFont="1" applyFill="1" applyBorder="1"/>
    <xf numFmtId="164" fontId="7" fillId="3" borderId="10" xfId="0" applyNumberFormat="1" applyFont="1" applyFill="1" applyBorder="1"/>
    <xf numFmtId="10" fontId="8" fillId="2" borderId="0" xfId="3" applyNumberFormat="1" applyFont="1" applyFill="1" applyBorder="1" applyAlignment="1">
      <alignment horizontal="center"/>
    </xf>
    <xf numFmtId="10" fontId="9" fillId="2" borderId="3" xfId="3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68" fontId="0" fillId="0" borderId="13" xfId="1" applyNumberFormat="1" applyFont="1" applyBorder="1"/>
    <xf numFmtId="166" fontId="0" fillId="0" borderId="13" xfId="1" applyFont="1" applyBorder="1"/>
    <xf numFmtId="170" fontId="0" fillId="0" borderId="13" xfId="1" applyNumberFormat="1" applyFont="1" applyBorder="1"/>
    <xf numFmtId="168" fontId="0" fillId="0" borderId="13" xfId="0" applyNumberFormat="1" applyBorder="1"/>
    <xf numFmtId="0" fontId="0" fillId="0" borderId="13" xfId="0" applyBorder="1"/>
    <xf numFmtId="168" fontId="7" fillId="0" borderId="13" xfId="0" applyNumberFormat="1" applyFont="1" applyBorder="1"/>
    <xf numFmtId="168" fontId="1" fillId="0" borderId="13" xfId="1" applyNumberFormat="1" applyBorder="1"/>
    <xf numFmtId="170" fontId="1" fillId="0" borderId="13" xfId="1" applyNumberFormat="1" applyBorder="1"/>
    <xf numFmtId="169" fontId="1" fillId="0" borderId="13" xfId="3" applyNumberFormat="1" applyBorder="1" applyAlignment="1">
      <alignment horizontal="center"/>
    </xf>
    <xf numFmtId="166" fontId="1" fillId="0" borderId="13" xfId="1" applyBorder="1"/>
    <xf numFmtId="165" fontId="0" fillId="0" borderId="0" xfId="2" applyFont="1"/>
    <xf numFmtId="0" fontId="0" fillId="0" borderId="0" xfId="0" applyBorder="1"/>
    <xf numFmtId="0" fontId="7" fillId="0" borderId="0" xfId="0" applyFont="1" applyBorder="1" applyAlignment="1"/>
    <xf numFmtId="0" fontId="0" fillId="0" borderId="13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69" fontId="1" fillId="4" borderId="13" xfId="3" applyNumberFormat="1" applyFill="1" applyBorder="1" applyAlignment="1">
      <alignment horizontal="center"/>
    </xf>
    <xf numFmtId="10" fontId="1" fillId="0" borderId="13" xfId="3" applyNumberFormat="1" applyFill="1" applyBorder="1" applyAlignment="1">
      <alignment horizontal="center"/>
    </xf>
    <xf numFmtId="0" fontId="7" fillId="0" borderId="13" xfId="0" applyFont="1" applyFill="1" applyBorder="1" applyAlignment="1">
      <alignment horizontal="center" vertical="center" wrapText="1"/>
    </xf>
    <xf numFmtId="168" fontId="0" fillId="5" borderId="13" xfId="0" applyNumberFormat="1" applyFill="1" applyBorder="1"/>
    <xf numFmtId="0" fontId="0" fillId="0" borderId="0" xfId="0" applyAlignment="1">
      <alignment horizontal="left" indent="4"/>
    </xf>
    <xf numFmtId="172" fontId="0" fillId="0" borderId="0" xfId="0" applyNumberFormat="1"/>
    <xf numFmtId="0" fontId="1" fillId="0" borderId="0" xfId="0" applyFont="1"/>
    <xf numFmtId="166" fontId="0" fillId="0" borderId="14" xfId="1" applyFont="1" applyBorder="1"/>
    <xf numFmtId="0" fontId="0" fillId="0" borderId="15" xfId="0" applyBorder="1"/>
    <xf numFmtId="170" fontId="0" fillId="0" borderId="15" xfId="1" applyNumberFormat="1" applyFont="1" applyBorder="1"/>
    <xf numFmtId="166" fontId="0" fillId="0" borderId="15" xfId="1" applyFont="1" applyBorder="1"/>
    <xf numFmtId="166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8" fontId="0" fillId="0" borderId="21" xfId="1" applyNumberFormat="1" applyFont="1" applyBorder="1"/>
    <xf numFmtId="0" fontId="0" fillId="0" borderId="6" xfId="0" applyBorder="1"/>
    <xf numFmtId="0" fontId="0" fillId="3" borderId="22" xfId="0" applyFill="1" applyBorder="1"/>
    <xf numFmtId="166" fontId="0" fillId="3" borderId="22" xfId="1" applyFont="1" applyFill="1" applyBorder="1"/>
    <xf numFmtId="170" fontId="0" fillId="3" borderId="22" xfId="1" applyNumberFormat="1" applyFont="1" applyFill="1" applyBorder="1"/>
    <xf numFmtId="0" fontId="7" fillId="3" borderId="22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15" xfId="0" applyFill="1" applyBorder="1"/>
    <xf numFmtId="166" fontId="0" fillId="0" borderId="22" xfId="1" applyFont="1" applyBorder="1" applyAlignment="1">
      <alignment horizontal="center"/>
    </xf>
    <xf numFmtId="0" fontId="0" fillId="0" borderId="24" xfId="0" applyBorder="1"/>
    <xf numFmtId="0" fontId="0" fillId="0" borderId="26" xfId="0" applyBorder="1"/>
    <xf numFmtId="168" fontId="0" fillId="0" borderId="27" xfId="0" applyNumberFormat="1" applyBorder="1"/>
    <xf numFmtId="169" fontId="1" fillId="0" borderId="27" xfId="3" applyNumberFormat="1" applyBorder="1" applyAlignment="1">
      <alignment horizontal="center"/>
    </xf>
    <xf numFmtId="0" fontId="0" fillId="0" borderId="28" xfId="0" applyBorder="1"/>
    <xf numFmtId="166" fontId="1" fillId="0" borderId="13" xfId="1" applyBorder="1" applyAlignment="1">
      <alignment horizontal="center"/>
    </xf>
    <xf numFmtId="168" fontId="1" fillId="0" borderId="13" xfId="1" applyNumberFormat="1" applyBorder="1" applyAlignment="1">
      <alignment horizontal="center"/>
    </xf>
    <xf numFmtId="170" fontId="1" fillId="0" borderId="13" xfId="1" applyNumberFormat="1" applyBorder="1" applyAlignment="1">
      <alignment horizontal="center"/>
    </xf>
    <xf numFmtId="0" fontId="7" fillId="0" borderId="24" xfId="0" applyFont="1" applyBorder="1"/>
    <xf numFmtId="0" fontId="7" fillId="0" borderId="26" xfId="0" applyFont="1" applyBorder="1"/>
    <xf numFmtId="0" fontId="0" fillId="0" borderId="27" xfId="0" applyBorder="1" applyAlignment="1">
      <alignment horizontal="center"/>
    </xf>
    <xf numFmtId="0" fontId="0" fillId="3" borderId="29" xfId="0" applyFill="1" applyBorder="1"/>
    <xf numFmtId="168" fontId="0" fillId="0" borderId="30" xfId="1" applyNumberFormat="1" applyFont="1" applyBorder="1" applyAlignment="1">
      <alignment horizontal="center"/>
    </xf>
    <xf numFmtId="0" fontId="0" fillId="0" borderId="31" xfId="0" applyBorder="1"/>
    <xf numFmtId="0" fontId="0" fillId="0" borderId="21" xfId="0" applyBorder="1"/>
    <xf numFmtId="0" fontId="13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24" xfId="0" applyFont="1" applyBorder="1"/>
    <xf numFmtId="0" fontId="7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3" fontId="17" fillId="9" borderId="13" xfId="0" applyNumberFormat="1" applyFont="1" applyFill="1" applyBorder="1" applyAlignment="1">
      <alignment horizontal="center" vertical="center"/>
    </xf>
    <xf numFmtId="3" fontId="17" fillId="9" borderId="13" xfId="0" applyNumberFormat="1" applyFont="1" applyFill="1" applyBorder="1" applyAlignment="1">
      <alignment horizontal="center" vertical="center" wrapText="1"/>
    </xf>
    <xf numFmtId="3" fontId="16" fillId="0" borderId="13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/>
    </xf>
    <xf numFmtId="0" fontId="17" fillId="9" borderId="13" xfId="0" applyFont="1" applyFill="1" applyBorder="1" applyAlignment="1">
      <alignment vertical="center"/>
    </xf>
    <xf numFmtId="0" fontId="2" fillId="2" borderId="0" xfId="0" applyFont="1" applyFill="1" applyBorder="1"/>
    <xf numFmtId="0" fontId="1" fillId="2" borderId="3" xfId="0" applyFont="1" applyFill="1" applyBorder="1"/>
    <xf numFmtId="164" fontId="1" fillId="2" borderId="1" xfId="0" applyNumberFormat="1" applyFont="1" applyFill="1" applyBorder="1"/>
    <xf numFmtId="164" fontId="9" fillId="2" borderId="10" xfId="0" applyNumberFormat="1" applyFont="1" applyFill="1" applyBorder="1"/>
    <xf numFmtId="164" fontId="1" fillId="2" borderId="10" xfId="0" applyNumberFormat="1" applyFont="1" applyFill="1" applyBorder="1"/>
    <xf numFmtId="164" fontId="1" fillId="2" borderId="7" xfId="0" applyNumberFormat="1" applyFont="1" applyFill="1" applyBorder="1"/>
    <xf numFmtId="173" fontId="9" fillId="2" borderId="3" xfId="3" applyNumberFormat="1" applyFont="1" applyFill="1" applyBorder="1" applyAlignment="1">
      <alignment horizontal="right"/>
    </xf>
    <xf numFmtId="0" fontId="1" fillId="2" borderId="10" xfId="0" applyFont="1" applyFill="1" applyBorder="1"/>
    <xf numFmtId="164" fontId="1" fillId="2" borderId="10" xfId="0" applyNumberFormat="1" applyFont="1" applyFill="1" applyBorder="1" applyAlignment="1">
      <alignment horizontal="right"/>
    </xf>
    <xf numFmtId="164" fontId="1" fillId="2" borderId="10" xfId="1" applyNumberFormat="1" applyFont="1" applyFill="1" applyBorder="1"/>
    <xf numFmtId="164" fontId="1" fillId="2" borderId="7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vertical="center" wrapText="1"/>
    </xf>
    <xf numFmtId="164" fontId="1" fillId="2" borderId="3" xfId="0" applyNumberFormat="1" applyFont="1" applyFill="1" applyBorder="1"/>
    <xf numFmtId="10" fontId="7" fillId="2" borderId="3" xfId="3" applyNumberFormat="1" applyFont="1" applyFill="1" applyBorder="1"/>
    <xf numFmtId="10" fontId="7" fillId="2" borderId="10" xfId="3" applyNumberFormat="1" applyFont="1" applyFill="1" applyBorder="1" applyAlignment="1">
      <alignment horizontal="right"/>
    </xf>
    <xf numFmtId="10" fontId="1" fillId="2" borderId="10" xfId="3" applyNumberFormat="1" applyFont="1" applyFill="1" applyBorder="1" applyAlignment="1">
      <alignment horizontal="right"/>
    </xf>
    <xf numFmtId="10" fontId="1" fillId="2" borderId="6" xfId="3" applyNumberFormat="1" applyFont="1" applyFill="1" applyBorder="1" applyAlignment="1">
      <alignment horizontal="right"/>
    </xf>
    <xf numFmtId="0" fontId="0" fillId="11" borderId="13" xfId="0" applyFill="1" applyBorder="1"/>
    <xf numFmtId="0" fontId="1" fillId="0" borderId="13" xfId="0" applyFont="1" applyBorder="1"/>
    <xf numFmtId="174" fontId="0" fillId="0" borderId="13" xfId="3" applyNumberFormat="1" applyFont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18" fillId="0" borderId="13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1" fillId="0" borderId="13" xfId="0" applyFont="1" applyFill="1" applyBorder="1"/>
    <xf numFmtId="0" fontId="11" fillId="0" borderId="13" xfId="0" applyFont="1" applyFill="1" applyBorder="1" applyAlignment="1">
      <alignment horizontal="center" vertical="center"/>
    </xf>
    <xf numFmtId="0" fontId="11" fillId="11" borderId="13" xfId="0" applyFont="1" applyFill="1" applyBorder="1"/>
    <xf numFmtId="0" fontId="11" fillId="0" borderId="13" xfId="0" applyFont="1" applyFill="1" applyBorder="1" applyAlignment="1">
      <alignment horizontal="center" wrapText="1"/>
    </xf>
    <xf numFmtId="168" fontId="0" fillId="0" borderId="27" xfId="0" applyNumberFormat="1" applyFill="1" applyBorder="1"/>
    <xf numFmtId="0" fontId="7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10" fontId="1" fillId="0" borderId="13" xfId="3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7" fillId="0" borderId="40" xfId="0" applyFont="1" applyBorder="1"/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168" fontId="1" fillId="0" borderId="27" xfId="1" applyNumberFormat="1" applyBorder="1"/>
    <xf numFmtId="0" fontId="0" fillId="0" borderId="27" xfId="0" applyBorder="1"/>
    <xf numFmtId="0" fontId="13" fillId="0" borderId="0" xfId="0" applyFont="1" applyBorder="1" applyAlignment="1">
      <alignment wrapText="1"/>
    </xf>
    <xf numFmtId="0" fontId="0" fillId="0" borderId="46" xfId="0" applyBorder="1"/>
    <xf numFmtId="0" fontId="0" fillId="0" borderId="3" xfId="0" applyBorder="1"/>
    <xf numFmtId="0" fontId="7" fillId="0" borderId="25" xfId="0" applyFont="1" applyFill="1" applyBorder="1" applyAlignment="1">
      <alignment horizontal="center" vertical="center"/>
    </xf>
    <xf numFmtId="168" fontId="7" fillId="0" borderId="27" xfId="0" applyNumberFormat="1" applyFont="1" applyBorder="1"/>
    <xf numFmtId="168" fontId="0" fillId="0" borderId="25" xfId="0" applyNumberFormat="1" applyBorder="1"/>
    <xf numFmtId="168" fontId="7" fillId="0" borderId="28" xfId="0" applyNumberFormat="1" applyFont="1" applyBorder="1"/>
    <xf numFmtId="0" fontId="1" fillId="0" borderId="13" xfId="0" applyFont="1" applyBorder="1" applyAlignment="1">
      <alignment horizontal="left" indent="1"/>
    </xf>
    <xf numFmtId="3" fontId="0" fillId="0" borderId="0" xfId="0" applyNumberFormat="1"/>
    <xf numFmtId="168" fontId="0" fillId="0" borderId="0" xfId="0" applyNumberFormat="1"/>
    <xf numFmtId="0" fontId="0" fillId="0" borderId="25" xfId="0" applyBorder="1"/>
    <xf numFmtId="0" fontId="7" fillId="0" borderId="13" xfId="0" applyFont="1" applyBorder="1" applyAlignment="1">
      <alignment horizontal="center" vertical="center"/>
    </xf>
    <xf numFmtId="0" fontId="0" fillId="0" borderId="25" xfId="0" applyBorder="1" applyAlignment="1">
      <alignment horizontal="center" wrapText="1"/>
    </xf>
    <xf numFmtId="169" fontId="1" fillId="0" borderId="25" xfId="3" applyNumberFormat="1" applyFont="1" applyBorder="1" applyAlignment="1">
      <alignment horizontal="center"/>
    </xf>
    <xf numFmtId="169" fontId="1" fillId="0" borderId="25" xfId="3" applyNumberFormat="1" applyBorder="1" applyAlignment="1">
      <alignment horizontal="center"/>
    </xf>
    <xf numFmtId="169" fontId="1" fillId="4" borderId="27" xfId="3" applyNumberFormat="1" applyFill="1" applyBorder="1" applyAlignment="1">
      <alignment horizontal="center"/>
    </xf>
    <xf numFmtId="169" fontId="1" fillId="0" borderId="27" xfId="3" applyNumberFormat="1" applyFill="1" applyBorder="1" applyAlignment="1">
      <alignment horizontal="center"/>
    </xf>
    <xf numFmtId="10" fontId="1" fillId="0" borderId="27" xfId="3" applyNumberFormat="1" applyFont="1" applyFill="1" applyBorder="1" applyAlignment="1">
      <alignment horizontal="center"/>
    </xf>
    <xf numFmtId="168" fontId="7" fillId="0" borderId="25" xfId="0" applyNumberFormat="1" applyFont="1" applyBorder="1"/>
    <xf numFmtId="10" fontId="7" fillId="8" borderId="25" xfId="3" applyNumberFormat="1" applyFont="1" applyFill="1" applyBorder="1"/>
    <xf numFmtId="171" fontId="7" fillId="0" borderId="28" xfId="2" applyNumberFormat="1" applyFont="1" applyBorder="1"/>
    <xf numFmtId="168" fontId="1" fillId="0" borderId="25" xfId="1" applyNumberFormat="1" applyBorder="1" applyAlignment="1">
      <alignment horizontal="center"/>
    </xf>
    <xf numFmtId="0" fontId="0" fillId="0" borderId="40" xfId="0" applyBorder="1" applyAlignment="1">
      <alignment vertical="center"/>
    </xf>
    <xf numFmtId="168" fontId="0" fillId="7" borderId="28" xfId="0" applyNumberFormat="1" applyFill="1" applyBorder="1"/>
    <xf numFmtId="0" fontId="6" fillId="2" borderId="0" xfId="0" applyFont="1" applyFill="1" applyBorder="1" applyAlignment="1"/>
    <xf numFmtId="0" fontId="7" fillId="0" borderId="24" xfId="0" applyFont="1" applyFill="1" applyBorder="1"/>
    <xf numFmtId="0" fontId="0" fillId="0" borderId="13" xfId="0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168" fontId="1" fillId="0" borderId="13" xfId="1" applyNumberFormat="1" applyFill="1" applyBorder="1"/>
    <xf numFmtId="169" fontId="1" fillId="0" borderId="13" xfId="3" applyNumberFormat="1" applyFill="1" applyBorder="1" applyAlignment="1">
      <alignment horizontal="center"/>
    </xf>
    <xf numFmtId="166" fontId="1" fillId="0" borderId="13" xfId="1" applyFill="1" applyBorder="1"/>
    <xf numFmtId="170" fontId="1" fillId="0" borderId="13" xfId="1" applyNumberFormat="1" applyFill="1" applyBorder="1"/>
    <xf numFmtId="168" fontId="0" fillId="0" borderId="25" xfId="0" applyNumberFormat="1" applyFill="1" applyBorder="1"/>
    <xf numFmtId="1" fontId="1" fillId="0" borderId="13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8" fontId="0" fillId="0" borderId="0" xfId="1" applyNumberFormat="1" applyFont="1"/>
    <xf numFmtId="166" fontId="0" fillId="0" borderId="0" xfId="1" applyFont="1"/>
    <xf numFmtId="170" fontId="0" fillId="0" borderId="0" xfId="1" applyNumberFormat="1" applyFont="1"/>
    <xf numFmtId="175" fontId="0" fillId="0" borderId="0" xfId="0" applyNumberFormat="1"/>
    <xf numFmtId="175" fontId="19" fillId="0" borderId="0" xfId="0" applyNumberFormat="1" applyFont="1"/>
    <xf numFmtId="171" fontId="0" fillId="0" borderId="0" xfId="2" applyNumberFormat="1" applyFont="1"/>
    <xf numFmtId="171" fontId="20" fillId="0" borderId="0" xfId="2" applyNumberFormat="1" applyFont="1"/>
    <xf numFmtId="171" fontId="0" fillId="0" borderId="0" xfId="0" applyNumberFormat="1"/>
    <xf numFmtId="0" fontId="0" fillId="0" borderId="0" xfId="0" applyAlignment="1"/>
    <xf numFmtId="43" fontId="0" fillId="0" borderId="0" xfId="0" applyNumberFormat="1"/>
    <xf numFmtId="170" fontId="0" fillId="0" borderId="0" xfId="0" applyNumberFormat="1"/>
    <xf numFmtId="0" fontId="14" fillId="0" borderId="0" xfId="0" quotePrefix="1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quotePrefix="1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1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2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34" xfId="0" applyFont="1" applyBorder="1" applyAlignment="1">
      <alignment horizontal="center" wrapText="1"/>
    </xf>
    <xf numFmtId="0" fontId="13" fillId="0" borderId="35" xfId="0" applyFont="1" applyBorder="1" applyAlignment="1">
      <alignment horizontal="center" wrapText="1"/>
    </xf>
    <xf numFmtId="0" fontId="13" fillId="0" borderId="45" xfId="0" applyFont="1" applyBorder="1" applyAlignment="1">
      <alignment horizontal="center" wrapText="1"/>
    </xf>
    <xf numFmtId="0" fontId="16" fillId="0" borderId="22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3" fontId="17" fillId="9" borderId="22" xfId="0" applyNumberFormat="1" applyFont="1" applyFill="1" applyBorder="1" applyAlignment="1">
      <alignment horizontal="left" vertical="center"/>
    </xf>
    <xf numFmtId="3" fontId="17" fillId="9" borderId="15" xfId="0" applyNumberFormat="1" applyFont="1" applyFill="1" applyBorder="1" applyAlignment="1">
      <alignment horizontal="left" vertical="center"/>
    </xf>
    <xf numFmtId="3" fontId="17" fillId="9" borderId="23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10" borderId="46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 indent="10"/>
    </xf>
    <xf numFmtId="164" fontId="6" fillId="2" borderId="0" xfId="0" applyNumberFormat="1" applyFont="1" applyFill="1" applyBorder="1" applyAlignment="1">
      <alignment horizontal="center"/>
    </xf>
    <xf numFmtId="0" fontId="7" fillId="10" borderId="20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10" borderId="0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10" borderId="37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4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wrapText="1"/>
    </xf>
    <xf numFmtId="0" fontId="13" fillId="0" borderId="41" xfId="0" applyFont="1" applyBorder="1" applyAlignment="1">
      <alignment horizontal="center" wrapText="1"/>
    </xf>
    <xf numFmtId="0" fontId="13" fillId="0" borderId="31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16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2054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0:I30"/>
  <sheetViews>
    <sheetView showGridLines="0" topLeftCell="A10" workbookViewId="0">
      <selection activeCell="C35" sqref="C35"/>
    </sheetView>
  </sheetViews>
  <sheetFormatPr defaultRowHeight="12.75" x14ac:dyDescent="0.2"/>
  <cols>
    <col min="1" max="1" width="5" customWidth="1"/>
    <col min="9" max="9" width="47" customWidth="1"/>
  </cols>
  <sheetData>
    <row r="20" spans="2:9" ht="33.75" x14ac:dyDescent="0.5">
      <c r="B20" s="211" t="s">
        <v>0</v>
      </c>
      <c r="C20" s="211"/>
      <c r="D20" s="211"/>
      <c r="E20" s="211"/>
      <c r="F20" s="211"/>
      <c r="G20" s="211"/>
      <c r="H20" s="211"/>
      <c r="I20" s="211"/>
    </row>
    <row r="21" spans="2:9" ht="33.75" x14ac:dyDescent="0.5">
      <c r="B21" s="211" t="s">
        <v>126</v>
      </c>
      <c r="C21" s="211"/>
      <c r="D21" s="211"/>
      <c r="E21" s="211"/>
      <c r="F21" s="211"/>
      <c r="G21" s="211"/>
      <c r="H21" s="211"/>
      <c r="I21" s="211"/>
    </row>
    <row r="22" spans="2:9" ht="33.75" x14ac:dyDescent="0.5">
      <c r="B22" s="211" t="s">
        <v>128</v>
      </c>
      <c r="C22" s="211"/>
      <c r="D22" s="211"/>
      <c r="E22" s="211"/>
      <c r="F22" s="211"/>
      <c r="G22" s="211"/>
      <c r="H22" s="211"/>
      <c r="I22" s="211"/>
    </row>
    <row r="25" spans="2:9" ht="30" x14ac:dyDescent="0.4">
      <c r="B25" s="213" t="s">
        <v>127</v>
      </c>
      <c r="C25" s="213"/>
      <c r="D25" s="213"/>
      <c r="E25" s="213"/>
      <c r="F25" s="213"/>
      <c r="G25" s="213"/>
      <c r="H25" s="213"/>
      <c r="I25" s="213"/>
    </row>
    <row r="26" spans="2:9" ht="30" x14ac:dyDescent="0.4">
      <c r="B26" s="213" t="s">
        <v>203</v>
      </c>
      <c r="C26" s="213"/>
      <c r="D26" s="213"/>
      <c r="E26" s="213"/>
      <c r="F26" s="213"/>
      <c r="G26" s="213"/>
      <c r="H26" s="213"/>
      <c r="I26" s="213"/>
    </row>
    <row r="27" spans="2:9" ht="33.75" x14ac:dyDescent="0.5">
      <c r="B27" s="211" t="s">
        <v>125</v>
      </c>
      <c r="C27" s="211"/>
      <c r="D27" s="211"/>
      <c r="E27" s="211"/>
      <c r="F27" s="211"/>
      <c r="G27" s="211"/>
      <c r="H27" s="211"/>
      <c r="I27" s="211"/>
    </row>
    <row r="28" spans="2:9" ht="33.75" x14ac:dyDescent="0.5">
      <c r="B28" s="211"/>
      <c r="C28" s="212"/>
      <c r="D28" s="212"/>
      <c r="E28" s="212"/>
      <c r="F28" s="212"/>
      <c r="G28" s="212"/>
      <c r="H28" s="212"/>
      <c r="I28" s="212"/>
    </row>
    <row r="29" spans="2:9" ht="33.75" x14ac:dyDescent="0.5">
      <c r="B29" s="210"/>
      <c r="C29" s="209"/>
      <c r="D29" s="209"/>
      <c r="E29" s="209"/>
      <c r="F29" s="209"/>
      <c r="G29" s="209"/>
      <c r="H29" s="209"/>
      <c r="I29" s="209"/>
    </row>
    <row r="30" spans="2:9" ht="33.75" x14ac:dyDescent="0.5">
      <c r="B30" s="209" t="s">
        <v>204</v>
      </c>
      <c r="C30" s="209"/>
      <c r="D30" s="209"/>
      <c r="E30" s="209"/>
      <c r="F30" s="209"/>
      <c r="G30" s="209"/>
      <c r="H30" s="209"/>
      <c r="I30" s="209"/>
    </row>
  </sheetData>
  <mergeCells count="9">
    <mergeCell ref="B30:I30"/>
    <mergeCell ref="B29:I29"/>
    <mergeCell ref="B28:I28"/>
    <mergeCell ref="B20:I20"/>
    <mergeCell ref="B21:I21"/>
    <mergeCell ref="B25:I25"/>
    <mergeCell ref="B27:I27"/>
    <mergeCell ref="B22:I22"/>
    <mergeCell ref="B26:I26"/>
  </mergeCells>
  <phoneticPr fontId="2" type="noConversion"/>
  <pageMargins left="0.75" right="0.75" top="1" bottom="1" header="0.5" footer="0.5"/>
  <pageSetup scale="7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1"/>
  <sheetViews>
    <sheetView showGridLines="0" workbookViewId="0">
      <selection activeCell="G17" sqref="G17"/>
    </sheetView>
  </sheetViews>
  <sheetFormatPr defaultRowHeight="12.75" x14ac:dyDescent="0.2"/>
  <cols>
    <col min="1" max="1" width="4.140625" customWidth="1"/>
    <col min="2" max="2" width="19.85546875" bestFit="1" customWidth="1"/>
    <col min="3" max="3" width="6.42578125" customWidth="1"/>
    <col min="4" max="4" width="10.140625" customWidth="1"/>
    <col min="5" max="5" width="12.28515625" bestFit="1" customWidth="1"/>
    <col min="6" max="6" width="9.7109375" customWidth="1"/>
    <col min="7" max="7" width="12.28515625" bestFit="1" customWidth="1"/>
    <col min="8" max="8" width="10.140625" bestFit="1" customWidth="1"/>
    <col min="9" max="9" width="9.42578125" bestFit="1" customWidth="1"/>
    <col min="10" max="10" width="8.85546875" bestFit="1" customWidth="1"/>
    <col min="11" max="13" width="10.28515625" bestFit="1" customWidth="1"/>
  </cols>
  <sheetData>
    <row r="2" spans="2:13" ht="15.75" x14ac:dyDescent="0.25">
      <c r="B2" s="228" t="s">
        <v>114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2:13" ht="13.5" thickBot="1" x14ac:dyDescent="0.25"/>
    <row r="4" spans="2:13" x14ac:dyDescent="0.2">
      <c r="B4" s="261" t="s">
        <v>123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3"/>
    </row>
    <row r="5" spans="2:13" x14ac:dyDescent="0.2">
      <c r="B5" s="280" t="s">
        <v>74</v>
      </c>
      <c r="C5" s="281" t="s">
        <v>75</v>
      </c>
      <c r="D5" s="282" t="s">
        <v>76</v>
      </c>
      <c r="E5" s="265" t="s">
        <v>77</v>
      </c>
      <c r="F5" s="265"/>
      <c r="G5" s="296" t="s">
        <v>87</v>
      </c>
      <c r="H5" s="293"/>
      <c r="I5" s="265" t="s">
        <v>85</v>
      </c>
      <c r="J5" s="265"/>
      <c r="K5" s="265" t="s">
        <v>78</v>
      </c>
      <c r="L5" s="265"/>
      <c r="M5" s="266"/>
    </row>
    <row r="6" spans="2:13" ht="38.25" x14ac:dyDescent="0.2">
      <c r="B6" s="280"/>
      <c r="C6" s="281"/>
      <c r="D6" s="282"/>
      <c r="E6" s="171" t="s">
        <v>69</v>
      </c>
      <c r="F6" s="171" t="s">
        <v>68</v>
      </c>
      <c r="G6" s="42" t="s">
        <v>83</v>
      </c>
      <c r="H6" s="42" t="s">
        <v>84</v>
      </c>
      <c r="I6" s="42" t="s">
        <v>79</v>
      </c>
      <c r="J6" s="42" t="s">
        <v>80</v>
      </c>
      <c r="K6" s="42" t="s">
        <v>81</v>
      </c>
      <c r="L6" s="42" t="s">
        <v>82</v>
      </c>
      <c r="M6" s="150" t="s">
        <v>18</v>
      </c>
    </row>
    <row r="7" spans="2:13" x14ac:dyDescent="0.2">
      <c r="B7" s="185" t="s">
        <v>14</v>
      </c>
      <c r="C7" s="186" t="s">
        <v>69</v>
      </c>
      <c r="D7" s="193">
        <f>'Allocated Revenues'!D22</f>
        <v>3138</v>
      </c>
      <c r="E7" s="188">
        <f>'Allocated Revenues'!E22</f>
        <v>7731414</v>
      </c>
      <c r="F7" s="188"/>
      <c r="G7" s="189">
        <v>0.47499999999999998</v>
      </c>
      <c r="H7" s="53">
        <f>1-G7</f>
        <v>0.52500000000000002</v>
      </c>
      <c r="I7" s="94">
        <f>K7/(D7*12)</f>
        <v>27.152582945981646</v>
      </c>
      <c r="J7" s="96">
        <f>L7/E7</f>
        <v>0.14616793071467968</v>
      </c>
      <c r="K7" s="95">
        <f>G7*M7</f>
        <v>1022457.6634138848</v>
      </c>
      <c r="L7" s="95">
        <f>H7*M7</f>
        <v>1130084.7858785044</v>
      </c>
      <c r="M7" s="181">
        <f>'Allocated Revenues'!M22</f>
        <v>2152542.4492923892</v>
      </c>
    </row>
    <row r="8" spans="2:13" x14ac:dyDescent="0.2">
      <c r="B8" s="185" t="s">
        <v>67</v>
      </c>
      <c r="C8" s="186" t="s">
        <v>69</v>
      </c>
      <c r="D8" s="193">
        <f>'Allocated Revenues'!D23</f>
        <v>1018</v>
      </c>
      <c r="E8" s="188">
        <f>'Allocated Revenues'!E23</f>
        <v>804705</v>
      </c>
      <c r="F8" s="188"/>
      <c r="G8" s="189">
        <v>8.5999999999999993E-2</v>
      </c>
      <c r="H8" s="53">
        <f>1-G8</f>
        <v>0.91400000000000003</v>
      </c>
      <c r="I8" s="94">
        <f>K8/(D8*12)</f>
        <v>1.0952682343997955</v>
      </c>
      <c r="J8" s="96">
        <f>L8/E8</f>
        <v>0.17670976971923846</v>
      </c>
      <c r="K8" s="95">
        <f>G8*M8</f>
        <v>13379.796751427901</v>
      </c>
      <c r="L8" s="95">
        <f>H8*M8</f>
        <v>142199.23524191979</v>
      </c>
      <c r="M8" s="181">
        <f>'Allocated Revenues'!M23</f>
        <v>155579.03199334769</v>
      </c>
    </row>
    <row r="9" spans="2:13" ht="13.5" thickBot="1" x14ac:dyDescent="0.25">
      <c r="B9" s="90"/>
      <c r="C9" s="159"/>
      <c r="D9" s="159"/>
      <c r="E9" s="159"/>
      <c r="F9" s="159"/>
      <c r="G9" s="159"/>
      <c r="H9" s="159"/>
      <c r="I9" s="159"/>
      <c r="J9" s="159"/>
      <c r="K9" s="164">
        <f>K7+K8</f>
        <v>1035837.4601653127</v>
      </c>
      <c r="L9" s="164">
        <f>L7+L8</f>
        <v>1272284.0211204241</v>
      </c>
      <c r="M9" s="166">
        <f>M7+M8</f>
        <v>2308121.4812857369</v>
      </c>
    </row>
    <row r="11" spans="2:13" x14ac:dyDescent="0.2">
      <c r="K11" s="69" t="s">
        <v>175</v>
      </c>
      <c r="L11" s="41" t="str">
        <f>IF(ABS(M9-L9-K9&lt;1),"YES","NO")</f>
        <v>YES</v>
      </c>
    </row>
  </sheetData>
  <mergeCells count="9">
    <mergeCell ref="B2:M2"/>
    <mergeCell ref="B4:M4"/>
    <mergeCell ref="B5:B6"/>
    <mergeCell ref="C5:C6"/>
    <mergeCell ref="D5:D6"/>
    <mergeCell ref="E5:F5"/>
    <mergeCell ref="G5:H5"/>
    <mergeCell ref="I5:J5"/>
    <mergeCell ref="K5:M5"/>
  </mergeCells>
  <pageMargins left="0.75" right="0.75" top="1" bottom="1" header="0.5" footer="0.5"/>
  <pageSetup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1"/>
  <sheetViews>
    <sheetView showGridLines="0" workbookViewId="0">
      <selection activeCell="K20" sqref="K20"/>
    </sheetView>
  </sheetViews>
  <sheetFormatPr defaultRowHeight="12.75" x14ac:dyDescent="0.2"/>
  <cols>
    <col min="1" max="1" width="4" customWidth="1"/>
    <col min="2" max="2" width="26.5703125" customWidth="1"/>
    <col min="3" max="3" width="10.85546875" customWidth="1"/>
    <col min="4" max="4" width="12.28515625" bestFit="1" customWidth="1"/>
    <col min="6" max="6" width="12.140625" customWidth="1"/>
    <col min="7" max="7" width="12.7109375" customWidth="1"/>
    <col min="8" max="8" width="12" customWidth="1"/>
    <col min="9" max="11" width="11.28515625" bestFit="1" customWidth="1"/>
    <col min="13" max="13" width="11.28515625" bestFit="1" customWidth="1"/>
  </cols>
  <sheetData>
    <row r="2" spans="2:13" ht="15.75" x14ac:dyDescent="0.25">
      <c r="B2" s="228" t="s">
        <v>198</v>
      </c>
      <c r="C2" s="228"/>
      <c r="D2" s="228"/>
      <c r="E2" s="228"/>
      <c r="F2" s="228"/>
      <c r="G2" s="228"/>
      <c r="H2" s="228"/>
      <c r="I2" s="228"/>
      <c r="J2" s="228"/>
      <c r="K2" s="228"/>
    </row>
    <row r="3" spans="2:13" ht="13.5" thickBot="1" x14ac:dyDescent="0.25"/>
    <row r="4" spans="2:13" ht="51" x14ac:dyDescent="0.2">
      <c r="B4" s="182"/>
      <c r="C4" s="156" t="s">
        <v>94</v>
      </c>
      <c r="D4" s="156" t="s">
        <v>93</v>
      </c>
      <c r="E4" s="156" t="s">
        <v>193</v>
      </c>
      <c r="F4" s="156" t="s">
        <v>194</v>
      </c>
      <c r="G4" s="156" t="s">
        <v>195</v>
      </c>
      <c r="H4" s="156" t="s">
        <v>196</v>
      </c>
      <c r="I4" s="156" t="s">
        <v>111</v>
      </c>
      <c r="J4" s="156" t="s">
        <v>197</v>
      </c>
      <c r="K4" s="157" t="s">
        <v>112</v>
      </c>
    </row>
    <row r="5" spans="2:13" x14ac:dyDescent="0.2">
      <c r="B5" s="89" t="s">
        <v>65</v>
      </c>
      <c r="C5" s="45">
        <f>'Allocated Revenues'!D20</f>
        <v>8496</v>
      </c>
      <c r="D5" s="45">
        <f>'Allocated Revenues'!E20</f>
        <v>105791701</v>
      </c>
      <c r="E5" s="46">
        <f>'Tariff Sheet'!J9</f>
        <v>23.342964000000002</v>
      </c>
      <c r="F5" s="47">
        <f>'Tariff Sheet'!J10</f>
        <v>3.2756750000000001E-2</v>
      </c>
      <c r="G5" s="45">
        <f>C5*E5*12</f>
        <v>2379861.8657280002</v>
      </c>
      <c r="H5" s="45">
        <f>D5*F5</f>
        <v>3465392.3017317499</v>
      </c>
      <c r="I5" s="48">
        <f>G5+H5</f>
        <v>5845254.1674597505</v>
      </c>
      <c r="J5" s="49"/>
      <c r="K5" s="170"/>
    </row>
    <row r="6" spans="2:13" x14ac:dyDescent="0.2">
      <c r="B6" s="89" t="s">
        <v>66</v>
      </c>
      <c r="C6" s="45">
        <f>'Allocated Revenues'!D21</f>
        <v>50</v>
      </c>
      <c r="D6" s="45">
        <f>'Allocated Revenues'!F21</f>
        <v>198901</v>
      </c>
      <c r="E6" s="46">
        <f>'Tariff Sheet'!J13</f>
        <v>600.82934799999998</v>
      </c>
      <c r="F6" s="47">
        <f>'Tariff Sheet'!J14</f>
        <v>3.1131007299999998</v>
      </c>
      <c r="G6" s="45">
        <f>C6*E6*12</f>
        <v>360497.60879999999</v>
      </c>
      <c r="H6" s="45">
        <f>D6*F6</f>
        <v>619198.84829772997</v>
      </c>
      <c r="I6" s="48">
        <f>G6+H6</f>
        <v>979696.4570977299</v>
      </c>
      <c r="J6" s="49"/>
      <c r="K6" s="170"/>
    </row>
    <row r="7" spans="2:13" x14ac:dyDescent="0.2">
      <c r="B7" s="89" t="s">
        <v>14</v>
      </c>
      <c r="C7" s="45">
        <f>'Allocated Revenues'!D22</f>
        <v>3138</v>
      </c>
      <c r="D7" s="45">
        <f>'Allocated Revenues'!E22</f>
        <v>7731414</v>
      </c>
      <c r="E7" s="46">
        <f>'Tariff Sheet'!J17</f>
        <v>27.152582945981646</v>
      </c>
      <c r="F7" s="47">
        <f>'Tariff Sheet'!J18</f>
        <v>0.14616793071467968</v>
      </c>
      <c r="G7" s="45">
        <f>C7*E7*12</f>
        <v>1022457.6634138848</v>
      </c>
      <c r="H7" s="45">
        <f>D7*F7</f>
        <v>1130084.7858785044</v>
      </c>
      <c r="I7" s="48">
        <f>G7+H7</f>
        <v>2152542.4492923892</v>
      </c>
      <c r="J7" s="49"/>
      <c r="K7" s="170"/>
    </row>
    <row r="8" spans="2:13" x14ac:dyDescent="0.2">
      <c r="B8" s="89" t="s">
        <v>67</v>
      </c>
      <c r="C8" s="45">
        <f>'Allocated Revenues'!D23</f>
        <v>1018</v>
      </c>
      <c r="D8" s="45">
        <f>'Allocated Revenues'!E23</f>
        <v>804705</v>
      </c>
      <c r="E8" s="46">
        <f>'Tariff Sheet'!J21</f>
        <v>1.0952682343997955</v>
      </c>
      <c r="F8" s="47">
        <f>'Tariff Sheet'!J22</f>
        <v>0.17670976971923846</v>
      </c>
      <c r="G8" s="45">
        <f>C8*E8*12</f>
        <v>13379.796751427903</v>
      </c>
      <c r="H8" s="45">
        <f>D8*F8</f>
        <v>142199.23524191979</v>
      </c>
      <c r="I8" s="48">
        <f>G8+H8</f>
        <v>155579.03199334769</v>
      </c>
      <c r="J8" s="49"/>
      <c r="K8" s="170"/>
    </row>
    <row r="9" spans="2:13" ht="13.5" thickBot="1" x14ac:dyDescent="0.25">
      <c r="B9" s="90"/>
      <c r="C9" s="159"/>
      <c r="D9" s="159"/>
      <c r="E9" s="159"/>
      <c r="F9" s="159"/>
      <c r="G9" s="91">
        <f>SUM(G5:G8)</f>
        <v>3776196.9346933127</v>
      </c>
      <c r="H9" s="91">
        <f>SUM(H5:H8)</f>
        <v>5356875.1711499039</v>
      </c>
      <c r="I9" s="91">
        <f>SUM(I5:I8)</f>
        <v>9133072.105843218</v>
      </c>
      <c r="J9" s="91">
        <f>'Tariff Sheet'!J24</f>
        <v>13757204.870674247</v>
      </c>
      <c r="K9" s="183">
        <f>J9+I9</f>
        <v>22890276.976517465</v>
      </c>
      <c r="M9" s="168"/>
    </row>
    <row r="10" spans="2:13" x14ac:dyDescent="0.2">
      <c r="M10" s="169"/>
    </row>
    <row r="11" spans="2:13" x14ac:dyDescent="0.2">
      <c r="J11" s="108" t="s">
        <v>121</v>
      </c>
      <c r="K11" s="109" t="str">
        <f>IF(ABS('Allocated Revenues'!M24+'2015 RRRP Rate Design'!M19-Reconciliation!K9&lt;1),"YES","NO")</f>
        <v>YES</v>
      </c>
    </row>
  </sheetData>
  <mergeCells count="1">
    <mergeCell ref="B2:K2"/>
  </mergeCells>
  <pageMargins left="0.7" right="0.7" top="0.75" bottom="0.75" header="0.3" footer="0.3"/>
  <pageSetup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3"/>
  <sheetViews>
    <sheetView tabSelected="1" workbookViewId="0">
      <selection activeCell="O22" sqref="O22"/>
    </sheetView>
  </sheetViews>
  <sheetFormatPr defaultRowHeight="12.75" x14ac:dyDescent="0.2"/>
  <cols>
    <col min="1" max="1" width="2.5703125" customWidth="1"/>
    <col min="2" max="2" width="14.28515625" bestFit="1" customWidth="1"/>
    <col min="4" max="5" width="12.85546875" customWidth="1"/>
    <col min="8" max="8" width="1" customWidth="1"/>
    <col min="10" max="10" width="9.7109375" bestFit="1" customWidth="1"/>
    <col min="11" max="11" width="1" customWidth="1"/>
    <col min="13" max="13" width="9.7109375" bestFit="1" customWidth="1"/>
  </cols>
  <sheetData>
    <row r="2" spans="2:13" ht="15.75" x14ac:dyDescent="0.25">
      <c r="B2" s="228" t="s">
        <v>213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4" spans="2:13" ht="25.5" x14ac:dyDescent="0.2">
      <c r="B4" s="69" t="s">
        <v>74</v>
      </c>
      <c r="C4" s="194" t="s">
        <v>75</v>
      </c>
      <c r="D4" s="195" t="s">
        <v>207</v>
      </c>
      <c r="E4" s="196" t="s">
        <v>93</v>
      </c>
      <c r="F4" s="297" t="s">
        <v>214</v>
      </c>
      <c r="G4" s="298"/>
      <c r="I4" s="297" t="s">
        <v>215</v>
      </c>
      <c r="J4" s="298"/>
      <c r="K4" s="197"/>
      <c r="L4" s="297" t="s">
        <v>216</v>
      </c>
      <c r="M4" s="298"/>
    </row>
    <row r="5" spans="2:13" x14ac:dyDescent="0.2">
      <c r="F5" s="153" t="s">
        <v>208</v>
      </c>
      <c r="G5" s="153" t="s">
        <v>209</v>
      </c>
      <c r="I5" s="153" t="s">
        <v>208</v>
      </c>
      <c r="J5" s="153" t="s">
        <v>209</v>
      </c>
      <c r="K5" s="153"/>
      <c r="L5" s="153" t="s">
        <v>208</v>
      </c>
      <c r="M5" s="153" t="s">
        <v>209</v>
      </c>
    </row>
    <row r="6" spans="2:13" x14ac:dyDescent="0.2">
      <c r="B6" t="s">
        <v>65</v>
      </c>
      <c r="C6" s="153" t="s">
        <v>69</v>
      </c>
      <c r="D6" s="198">
        <f>'Allocated Revenues'!D20</f>
        <v>8496</v>
      </c>
      <c r="E6" s="198">
        <f>'Allocated Revenues'!E20</f>
        <v>105791701</v>
      </c>
      <c r="F6" s="199">
        <f>'Tariff Sheet'!F9</f>
        <v>23.16</v>
      </c>
      <c r="G6" s="200">
        <f>'Tariff Sheet'!F10</f>
        <v>3.2500000000000001E-2</v>
      </c>
      <c r="I6" s="199">
        <f>'Tariff Sheet'!J9</f>
        <v>23.342964000000002</v>
      </c>
      <c r="J6" s="200">
        <f>'Tariff Sheet'!J10</f>
        <v>3.2756750000000001E-2</v>
      </c>
      <c r="K6" s="200"/>
      <c r="L6" s="201">
        <f>(I6-F6)*D6</f>
        <v>1554.4621440000162</v>
      </c>
      <c r="M6" s="201">
        <f>(J6-G6)*(E6/12)</f>
        <v>2263.5016026458338</v>
      </c>
    </row>
    <row r="7" spans="2:13" x14ac:dyDescent="0.2">
      <c r="B7" t="s">
        <v>66</v>
      </c>
      <c r="C7" s="153" t="s">
        <v>68</v>
      </c>
      <c r="D7" s="198">
        <f>'Allocated Revenues'!D21</f>
        <v>50</v>
      </c>
      <c r="E7" s="198">
        <f>'Allocated Revenues'!F21</f>
        <v>198901</v>
      </c>
      <c r="F7" s="199">
        <f>'Tariff Sheet'!F13</f>
        <v>596.12</v>
      </c>
      <c r="G7" s="200">
        <f>'Tariff Sheet'!F14</f>
        <v>3.0886999999999998</v>
      </c>
      <c r="I7" s="199">
        <f>'Tariff Sheet'!J13</f>
        <v>600.82934799999998</v>
      </c>
      <c r="J7" s="200">
        <f>'Tariff Sheet'!J14</f>
        <v>3.1131007299999998</v>
      </c>
      <c r="K7" s="200"/>
      <c r="L7" s="201">
        <f>(I7-F7)*D7</f>
        <v>235.46739999999886</v>
      </c>
      <c r="M7" s="201">
        <f>(J7-G7)*(E7/12)</f>
        <v>404.44413314416636</v>
      </c>
    </row>
    <row r="8" spans="2:13" x14ac:dyDescent="0.2">
      <c r="B8" t="s">
        <v>14</v>
      </c>
      <c r="C8" s="153" t="s">
        <v>69</v>
      </c>
      <c r="D8" s="198">
        <f>'Allocated Revenues'!D22</f>
        <v>3138</v>
      </c>
      <c r="E8" s="198">
        <f>'Allocated Revenues'!E22</f>
        <v>7731414</v>
      </c>
      <c r="F8" s="199">
        <f>'Tariff Sheet'!F17</f>
        <v>26.75</v>
      </c>
      <c r="G8" s="200">
        <f>'Tariff Sheet'!F18</f>
        <v>0.10290000000000001</v>
      </c>
      <c r="I8" s="199">
        <f>'Tariff Sheet'!J17</f>
        <v>27.152582945981646</v>
      </c>
      <c r="J8" s="200">
        <f>'Tariff Sheet'!J18</f>
        <v>0.14616793071467968</v>
      </c>
      <c r="K8" s="200"/>
      <c r="L8" s="201">
        <f>(I8-F8)*D8</f>
        <v>1263.3052844904041</v>
      </c>
      <c r="M8" s="201">
        <f>(J8-G8)*(E8/12)</f>
        <v>27876.857106542036</v>
      </c>
    </row>
    <row r="9" spans="2:13" ht="15" x14ac:dyDescent="0.35">
      <c r="B9" t="s">
        <v>67</v>
      </c>
      <c r="C9" s="153" t="s">
        <v>69</v>
      </c>
      <c r="D9" s="198">
        <f>'Allocated Revenues'!D23</f>
        <v>1018</v>
      </c>
      <c r="E9" s="198">
        <f>'Allocated Revenues'!E23</f>
        <v>804705</v>
      </c>
      <c r="F9" s="199">
        <f>'Tariff Sheet'!F21</f>
        <v>0.98</v>
      </c>
      <c r="G9" s="200">
        <f>'Tariff Sheet'!F22</f>
        <v>0.15790000000000001</v>
      </c>
      <c r="I9" s="199">
        <f>'Tariff Sheet'!J21</f>
        <v>1.0952682343997955</v>
      </c>
      <c r="J9" s="200">
        <f>'Tariff Sheet'!J22</f>
        <v>0.17670976971923846</v>
      </c>
      <c r="K9" s="200"/>
      <c r="L9" s="202">
        <f>(I9-F9)*D9</f>
        <v>117.34306261899182</v>
      </c>
      <c r="M9" s="202">
        <f>(J9-G9)*(E9/12)</f>
        <v>1261.3596451599815</v>
      </c>
    </row>
    <row r="10" spans="2:13" ht="15" x14ac:dyDescent="0.35">
      <c r="B10" s="69" t="s">
        <v>210</v>
      </c>
      <c r="C10" s="41"/>
      <c r="L10" s="203">
        <f>SUM(L6:L9)</f>
        <v>3170.5778911094112</v>
      </c>
      <c r="M10" s="204">
        <f>SUM(M6:M9)</f>
        <v>31806.162487492016</v>
      </c>
    </row>
    <row r="11" spans="2:13" x14ac:dyDescent="0.2">
      <c r="M11" s="205">
        <f>L10+M10</f>
        <v>34976.740378601426</v>
      </c>
    </row>
    <row r="13" spans="2:13" ht="15.75" x14ac:dyDescent="0.25">
      <c r="B13" s="228" t="s">
        <v>217</v>
      </c>
      <c r="C13" s="228"/>
      <c r="D13" s="228"/>
      <c r="E13" s="228"/>
      <c r="F13" s="228"/>
      <c r="G13" s="228"/>
      <c r="H13" s="228"/>
      <c r="I13" s="228"/>
      <c r="J13" s="228"/>
      <c r="K13" s="206"/>
      <c r="L13" s="206"/>
      <c r="M13" s="206"/>
    </row>
    <row r="15" spans="2:13" ht="25.5" x14ac:dyDescent="0.2">
      <c r="B15" s="69" t="s">
        <v>74</v>
      </c>
      <c r="C15" s="194" t="s">
        <v>75</v>
      </c>
      <c r="D15" s="195" t="s">
        <v>207</v>
      </c>
      <c r="E15" s="196" t="s">
        <v>93</v>
      </c>
      <c r="F15" s="297" t="s">
        <v>216</v>
      </c>
      <c r="G15" s="298"/>
      <c r="I15" s="297" t="s">
        <v>211</v>
      </c>
      <c r="J15" s="298"/>
    </row>
    <row r="16" spans="2:13" x14ac:dyDescent="0.2">
      <c r="F16" s="153" t="s">
        <v>208</v>
      </c>
      <c r="G16" s="153" t="s">
        <v>209</v>
      </c>
      <c r="I16" s="153" t="s">
        <v>208</v>
      </c>
      <c r="J16" s="153" t="s">
        <v>209</v>
      </c>
    </row>
    <row r="17" spans="2:10" x14ac:dyDescent="0.2">
      <c r="B17" t="s">
        <v>65</v>
      </c>
      <c r="C17" s="153" t="s">
        <v>69</v>
      </c>
      <c r="D17" s="198">
        <f t="shared" ref="D17:E20" si="0">D6</f>
        <v>8496</v>
      </c>
      <c r="E17" s="198">
        <f t="shared" si="0"/>
        <v>105791701</v>
      </c>
      <c r="F17" s="201">
        <f t="shared" ref="F17:G20" si="1">L6</f>
        <v>1554.4621440000162</v>
      </c>
      <c r="G17" s="201">
        <f t="shared" si="1"/>
        <v>2263.5016026458338</v>
      </c>
      <c r="I17" s="207"/>
      <c r="J17" s="200">
        <f>(F17+G17)/(E17*11/12)</f>
        <v>3.9370303347115009E-5</v>
      </c>
    </row>
    <row r="18" spans="2:10" x14ac:dyDescent="0.2">
      <c r="B18" t="s">
        <v>66</v>
      </c>
      <c r="C18" s="153" t="s">
        <v>68</v>
      </c>
      <c r="D18" s="198">
        <f t="shared" si="0"/>
        <v>50</v>
      </c>
      <c r="E18" s="198">
        <f t="shared" si="0"/>
        <v>198901</v>
      </c>
      <c r="F18" s="201">
        <f t="shared" si="1"/>
        <v>235.46739999999886</v>
      </c>
      <c r="G18" s="201">
        <f t="shared" si="1"/>
        <v>404.44413314416636</v>
      </c>
      <c r="I18" s="207"/>
      <c r="J18" s="200">
        <f t="shared" ref="J18:J20" si="2">(F18+G18)/(E18*11/12)</f>
        <v>3.5097124141384101E-3</v>
      </c>
    </row>
    <row r="19" spans="2:10" x14ac:dyDescent="0.2">
      <c r="B19" t="s">
        <v>14</v>
      </c>
      <c r="C19" s="153" t="s">
        <v>69</v>
      </c>
      <c r="D19" s="198">
        <f t="shared" si="0"/>
        <v>3138</v>
      </c>
      <c r="E19" s="198">
        <f t="shared" si="0"/>
        <v>7731414</v>
      </c>
      <c r="F19" s="201">
        <f t="shared" si="1"/>
        <v>1263.3052844904041</v>
      </c>
      <c r="G19" s="201">
        <f t="shared" si="1"/>
        <v>27876.857106542036</v>
      </c>
      <c r="I19" s="207"/>
      <c r="J19" s="200">
        <f t="shared" si="2"/>
        <v>4.1117016968622404E-3</v>
      </c>
    </row>
    <row r="20" spans="2:10" x14ac:dyDescent="0.2">
      <c r="B20" t="s">
        <v>67</v>
      </c>
      <c r="C20" s="153" t="s">
        <v>69</v>
      </c>
      <c r="D20" s="198">
        <f t="shared" si="0"/>
        <v>1018</v>
      </c>
      <c r="E20" s="198">
        <f t="shared" si="0"/>
        <v>804705</v>
      </c>
      <c r="F20" s="201">
        <f t="shared" si="1"/>
        <v>117.34306261899182</v>
      </c>
      <c r="G20" s="201">
        <f t="shared" si="1"/>
        <v>1261.3596451599815</v>
      </c>
      <c r="I20" s="207"/>
      <c r="J20" s="200">
        <f t="shared" si="2"/>
        <v>1.8690567569196932E-3</v>
      </c>
    </row>
    <row r="23" spans="2:10" ht="15.75" x14ac:dyDescent="0.25">
      <c r="B23" s="228" t="s">
        <v>212</v>
      </c>
      <c r="C23" s="228"/>
      <c r="D23" s="228"/>
      <c r="E23" s="228"/>
      <c r="F23" s="228"/>
      <c r="G23" s="228"/>
      <c r="H23" s="228"/>
      <c r="I23" s="228"/>
      <c r="J23" s="228"/>
    </row>
    <row r="25" spans="2:10" ht="25.5" x14ac:dyDescent="0.2">
      <c r="B25" s="69" t="s">
        <v>74</v>
      </c>
      <c r="C25" s="194" t="s">
        <v>75</v>
      </c>
      <c r="D25" s="195" t="s">
        <v>207</v>
      </c>
      <c r="E25" s="196" t="s">
        <v>93</v>
      </c>
      <c r="F25" s="297" t="s">
        <v>211</v>
      </c>
      <c r="G25" s="298"/>
      <c r="I25" s="297" t="s">
        <v>218</v>
      </c>
      <c r="J25" s="298"/>
    </row>
    <row r="26" spans="2:10" x14ac:dyDescent="0.2">
      <c r="F26" s="153" t="s">
        <v>208</v>
      </c>
      <c r="G26" s="153" t="s">
        <v>209</v>
      </c>
      <c r="I26" s="153" t="s">
        <v>208</v>
      </c>
      <c r="J26" s="153" t="s">
        <v>209</v>
      </c>
    </row>
    <row r="27" spans="2:10" x14ac:dyDescent="0.2">
      <c r="B27" t="s">
        <v>65</v>
      </c>
      <c r="C27" s="153" t="s">
        <v>69</v>
      </c>
      <c r="D27" s="198">
        <f t="shared" ref="D27:E30" si="3">D6</f>
        <v>8496</v>
      </c>
      <c r="E27" s="198">
        <f t="shared" si="3"/>
        <v>105791701</v>
      </c>
      <c r="F27" s="207"/>
      <c r="G27" s="208">
        <f>ROUND(J17,4)</f>
        <v>0</v>
      </c>
      <c r="I27" s="201"/>
      <c r="J27" s="201">
        <f>(E27*11/12)*G27</f>
        <v>0</v>
      </c>
    </row>
    <row r="28" spans="2:10" x14ac:dyDescent="0.2">
      <c r="B28" t="s">
        <v>66</v>
      </c>
      <c r="C28" s="153" t="s">
        <v>68</v>
      </c>
      <c r="D28" s="198">
        <f t="shared" si="3"/>
        <v>50</v>
      </c>
      <c r="E28" s="198">
        <f t="shared" si="3"/>
        <v>198901</v>
      </c>
      <c r="F28" s="207"/>
      <c r="G28" s="208">
        <f>ROUND(J18,4)</f>
        <v>3.5000000000000001E-3</v>
      </c>
      <c r="I28" s="201"/>
      <c r="J28" s="201">
        <f t="shared" ref="J28:J30" si="4">(E28*11/12)*G28</f>
        <v>638.14070833333335</v>
      </c>
    </row>
    <row r="29" spans="2:10" x14ac:dyDescent="0.2">
      <c r="B29" t="s">
        <v>14</v>
      </c>
      <c r="C29" s="153" t="s">
        <v>69</v>
      </c>
      <c r="D29" s="198">
        <f t="shared" si="3"/>
        <v>3138</v>
      </c>
      <c r="E29" s="198">
        <f t="shared" si="3"/>
        <v>7731414</v>
      </c>
      <c r="F29" s="207"/>
      <c r="G29" s="208">
        <f>ROUND(J19,4)</f>
        <v>4.1000000000000003E-3</v>
      </c>
      <c r="I29" s="201"/>
      <c r="J29" s="201">
        <f t="shared" si="4"/>
        <v>29057.230950000001</v>
      </c>
    </row>
    <row r="30" spans="2:10" ht="15" x14ac:dyDescent="0.35">
      <c r="B30" t="s">
        <v>67</v>
      </c>
      <c r="C30" s="153" t="s">
        <v>69</v>
      </c>
      <c r="D30" s="198">
        <f t="shared" si="3"/>
        <v>1018</v>
      </c>
      <c r="E30" s="198">
        <f t="shared" si="3"/>
        <v>804705</v>
      </c>
      <c r="F30" s="207"/>
      <c r="G30" s="208">
        <f>ROUND(J20,4)</f>
        <v>1.9E-3</v>
      </c>
      <c r="I30" s="202"/>
      <c r="J30" s="202">
        <f t="shared" si="4"/>
        <v>1401.527875</v>
      </c>
    </row>
    <row r="31" spans="2:10" ht="15" x14ac:dyDescent="0.35">
      <c r="I31" s="203"/>
      <c r="J31" s="204">
        <f>SUM(J27:J30)</f>
        <v>31096.899533333333</v>
      </c>
    </row>
    <row r="32" spans="2:10" x14ac:dyDescent="0.2">
      <c r="B32" s="69"/>
      <c r="J32" s="205"/>
    </row>
    <row r="33" spans="9:10" x14ac:dyDescent="0.2">
      <c r="I33" t="s">
        <v>219</v>
      </c>
      <c r="J33" s="205">
        <f>J31-M11</f>
        <v>-3879.8408452680924</v>
      </c>
    </row>
  </sheetData>
  <mergeCells count="10">
    <mergeCell ref="B23:J23"/>
    <mergeCell ref="F25:G25"/>
    <mergeCell ref="I25:J25"/>
    <mergeCell ref="B2:M2"/>
    <mergeCell ref="F4:G4"/>
    <mergeCell ref="I4:J4"/>
    <mergeCell ref="L4:M4"/>
    <mergeCell ref="B13:J13"/>
    <mergeCell ref="F15:G15"/>
    <mergeCell ref="I15:J15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7"/>
  <sheetViews>
    <sheetView showGridLines="0" zoomScaleNormal="100" workbookViewId="0">
      <selection activeCell="F18" sqref="F18"/>
    </sheetView>
  </sheetViews>
  <sheetFormatPr defaultRowHeight="12.75" x14ac:dyDescent="0.2"/>
  <cols>
    <col min="1" max="1" width="3.42578125" customWidth="1"/>
    <col min="2" max="2" width="44.28515625" customWidth="1"/>
    <col min="3" max="3" width="6.5703125" style="41" bestFit="1" customWidth="1"/>
    <col min="4" max="4" width="2.85546875" customWidth="1"/>
    <col min="5" max="5" width="5.5703125" customWidth="1"/>
    <col min="6" max="6" width="11.28515625" bestFit="1" customWidth="1"/>
    <col min="7" max="7" width="7" customWidth="1"/>
    <col min="8" max="8" width="1.85546875" customWidth="1"/>
    <col min="9" max="9" width="6.28515625" customWidth="1"/>
    <col min="10" max="10" width="12.28515625" bestFit="1" customWidth="1"/>
    <col min="11" max="11" width="8.85546875" customWidth="1"/>
  </cols>
  <sheetData>
    <row r="2" spans="2:11" ht="15.75" x14ac:dyDescent="0.25">
      <c r="B2" s="228" t="s">
        <v>199</v>
      </c>
      <c r="C2" s="228"/>
      <c r="D2" s="228"/>
      <c r="E2" s="228"/>
      <c r="F2" s="228"/>
      <c r="G2" s="228"/>
      <c r="H2" s="228"/>
      <c r="I2" s="228"/>
      <c r="J2" s="228"/>
      <c r="K2" s="228"/>
    </row>
    <row r="3" spans="2:11" ht="13.5" thickBot="1" x14ac:dyDescent="0.25"/>
    <row r="4" spans="2:11" ht="16.5" thickBot="1" x14ac:dyDescent="0.3">
      <c r="B4" s="229"/>
      <c r="C4" s="230"/>
      <c r="D4" s="231"/>
      <c r="E4" s="223" t="s">
        <v>110</v>
      </c>
      <c r="F4" s="223"/>
      <c r="G4" s="224"/>
      <c r="H4" s="102"/>
      <c r="I4" s="234" t="s">
        <v>133</v>
      </c>
      <c r="J4" s="235"/>
      <c r="K4" s="236"/>
    </row>
    <row r="5" spans="2:11" ht="16.5" thickBot="1" x14ac:dyDescent="0.3">
      <c r="B5" s="105"/>
      <c r="C5" s="104"/>
      <c r="D5" s="106"/>
      <c r="E5" s="220" t="s">
        <v>124</v>
      </c>
      <c r="F5" s="221"/>
      <c r="G5" s="222"/>
      <c r="H5" s="56"/>
      <c r="I5" s="217" t="s">
        <v>125</v>
      </c>
      <c r="J5" s="218"/>
      <c r="K5" s="219"/>
    </row>
    <row r="6" spans="2:11" ht="33.75" customHeight="1" x14ac:dyDescent="0.25">
      <c r="B6" s="232" t="s">
        <v>189</v>
      </c>
      <c r="C6" s="221"/>
      <c r="D6" s="233"/>
      <c r="E6" s="225" t="s">
        <v>96</v>
      </c>
      <c r="F6" s="226"/>
      <c r="G6" s="227"/>
      <c r="H6" s="56"/>
      <c r="I6" s="237" t="s">
        <v>190</v>
      </c>
      <c r="J6" s="238"/>
      <c r="K6" s="239"/>
    </row>
    <row r="7" spans="2:11" ht="26.25" customHeight="1" x14ac:dyDescent="0.2">
      <c r="B7" s="97" t="s">
        <v>88</v>
      </c>
      <c r="C7" s="107" t="s">
        <v>75</v>
      </c>
      <c r="D7" s="85"/>
      <c r="E7" s="214" t="s">
        <v>129</v>
      </c>
      <c r="F7" s="215"/>
      <c r="G7" s="216"/>
      <c r="H7" s="56"/>
      <c r="I7" s="214" t="s">
        <v>130</v>
      </c>
      <c r="J7" s="215"/>
      <c r="K7" s="216"/>
    </row>
    <row r="8" spans="2:11" x14ac:dyDescent="0.2">
      <c r="B8" s="97" t="s">
        <v>65</v>
      </c>
      <c r="C8" s="43"/>
      <c r="D8" s="82"/>
      <c r="E8" s="86"/>
      <c r="F8" s="87"/>
      <c r="G8" s="78"/>
      <c r="H8" s="56"/>
      <c r="I8" s="77"/>
      <c r="J8" s="71"/>
      <c r="K8" s="78"/>
    </row>
    <row r="9" spans="2:11" x14ac:dyDescent="0.2">
      <c r="B9" s="89" t="s">
        <v>79</v>
      </c>
      <c r="C9" s="43" t="s">
        <v>89</v>
      </c>
      <c r="D9" s="83"/>
      <c r="E9" s="88"/>
      <c r="F9" s="73">
        <v>23.16</v>
      </c>
      <c r="G9" s="78"/>
      <c r="H9" s="56"/>
      <c r="I9" s="75"/>
      <c r="J9" s="70">
        <f>'2015 RRRP Rate Design'!I17</f>
        <v>23.342964000000002</v>
      </c>
      <c r="K9" s="76"/>
    </row>
    <row r="10" spans="2:11" x14ac:dyDescent="0.2">
      <c r="B10" s="89" t="s">
        <v>90</v>
      </c>
      <c r="C10" s="43" t="s">
        <v>91</v>
      </c>
      <c r="D10" s="84"/>
      <c r="E10" s="88"/>
      <c r="F10" s="72">
        <v>3.2500000000000001E-2</v>
      </c>
      <c r="G10" s="78"/>
      <c r="H10" s="56"/>
      <c r="I10" s="77"/>
      <c r="J10" s="72">
        <f>'2015 RRRP Rate Design'!J17</f>
        <v>3.2756750000000001E-2</v>
      </c>
      <c r="K10" s="78"/>
    </row>
    <row r="11" spans="2:11" x14ac:dyDescent="0.2">
      <c r="B11" s="89"/>
      <c r="C11" s="43"/>
      <c r="D11" s="82"/>
      <c r="E11" s="86"/>
      <c r="F11" s="71"/>
      <c r="G11" s="78"/>
      <c r="H11" s="56"/>
      <c r="I11" s="77"/>
      <c r="J11" s="71"/>
      <c r="K11" s="78"/>
    </row>
    <row r="12" spans="2:11" x14ac:dyDescent="0.2">
      <c r="B12" s="97" t="s">
        <v>66</v>
      </c>
      <c r="C12" s="43"/>
      <c r="D12" s="82"/>
      <c r="E12" s="86"/>
      <c r="F12" s="71"/>
      <c r="G12" s="78"/>
      <c r="H12" s="56"/>
      <c r="I12" s="77"/>
      <c r="J12" s="71"/>
      <c r="K12" s="78"/>
    </row>
    <row r="13" spans="2:11" x14ac:dyDescent="0.2">
      <c r="B13" s="89" t="s">
        <v>79</v>
      </c>
      <c r="C13" s="43" t="s">
        <v>89</v>
      </c>
      <c r="D13" s="83"/>
      <c r="E13" s="88"/>
      <c r="F13" s="74">
        <v>596.12</v>
      </c>
      <c r="G13" s="78"/>
      <c r="H13" s="56"/>
      <c r="I13" s="77"/>
      <c r="J13" s="73">
        <f>'2015 RRRP Rate Design'!I18</f>
        <v>600.82934799999998</v>
      </c>
      <c r="K13" s="78"/>
    </row>
    <row r="14" spans="2:11" x14ac:dyDescent="0.2">
      <c r="B14" s="89" t="s">
        <v>90</v>
      </c>
      <c r="C14" s="43" t="s">
        <v>92</v>
      </c>
      <c r="D14" s="84"/>
      <c r="E14" s="88"/>
      <c r="F14" s="72">
        <v>3.0886999999999998</v>
      </c>
      <c r="G14" s="78"/>
      <c r="H14" s="56"/>
      <c r="I14" s="77"/>
      <c r="J14" s="72">
        <f>'2015 RRRP Rate Design'!J18</f>
        <v>3.1131007299999998</v>
      </c>
      <c r="K14" s="78"/>
    </row>
    <row r="15" spans="2:11" x14ac:dyDescent="0.2">
      <c r="B15" s="89"/>
      <c r="C15" s="43"/>
      <c r="D15" s="82"/>
      <c r="E15" s="86"/>
      <c r="F15" s="71"/>
      <c r="G15" s="78"/>
      <c r="H15" s="56"/>
      <c r="I15" s="77"/>
      <c r="J15" s="71"/>
      <c r="K15" s="78"/>
    </row>
    <row r="16" spans="2:11" x14ac:dyDescent="0.2">
      <c r="B16" s="97" t="s">
        <v>14</v>
      </c>
      <c r="C16" s="43"/>
      <c r="D16" s="82"/>
      <c r="E16" s="86"/>
      <c r="F16" s="71"/>
      <c r="G16" s="78"/>
      <c r="H16" s="56"/>
      <c r="I16" s="77"/>
      <c r="J16" s="71"/>
      <c r="K16" s="78"/>
    </row>
    <row r="17" spans="2:11" x14ac:dyDescent="0.2">
      <c r="B17" s="89" t="s">
        <v>79</v>
      </c>
      <c r="C17" s="43" t="s">
        <v>89</v>
      </c>
      <c r="D17" s="83"/>
      <c r="E17" s="88"/>
      <c r="F17" s="74">
        <v>26.75</v>
      </c>
      <c r="G17" s="78"/>
      <c r="H17" s="56"/>
      <c r="I17" s="77"/>
      <c r="J17" s="74">
        <f>'2015 Non-RRRP Rate Design'!I7</f>
        <v>27.152582945981646</v>
      </c>
      <c r="K17" s="78"/>
    </row>
    <row r="18" spans="2:11" x14ac:dyDescent="0.2">
      <c r="B18" s="89" t="s">
        <v>90</v>
      </c>
      <c r="C18" s="43" t="s">
        <v>91</v>
      </c>
      <c r="D18" s="84"/>
      <c r="E18" s="88"/>
      <c r="F18" s="72">
        <v>0.10290000000000001</v>
      </c>
      <c r="G18" s="78"/>
      <c r="H18" s="56"/>
      <c r="I18" s="77"/>
      <c r="J18" s="72">
        <f>'2015 Non-RRRP Rate Design'!J7</f>
        <v>0.14616793071467968</v>
      </c>
      <c r="K18" s="78"/>
    </row>
    <row r="19" spans="2:11" x14ac:dyDescent="0.2">
      <c r="B19" s="89"/>
      <c r="C19" s="43"/>
      <c r="D19" s="82"/>
      <c r="E19" s="86"/>
      <c r="F19" s="71"/>
      <c r="G19" s="78"/>
      <c r="H19" s="56"/>
      <c r="I19" s="77"/>
      <c r="J19" s="71"/>
      <c r="K19" s="78"/>
    </row>
    <row r="20" spans="2:11" x14ac:dyDescent="0.2">
      <c r="B20" s="97" t="s">
        <v>67</v>
      </c>
      <c r="C20" s="43"/>
      <c r="D20" s="82"/>
      <c r="E20" s="86"/>
      <c r="F20" s="71"/>
      <c r="G20" s="78"/>
      <c r="H20" s="56"/>
      <c r="I20" s="77"/>
      <c r="J20" s="71"/>
      <c r="K20" s="78"/>
    </row>
    <row r="21" spans="2:11" x14ac:dyDescent="0.2">
      <c r="B21" s="110" t="s">
        <v>79</v>
      </c>
      <c r="C21" s="43" t="s">
        <v>89</v>
      </c>
      <c r="D21" s="83"/>
      <c r="E21" s="88"/>
      <c r="F21" s="74">
        <v>0.98</v>
      </c>
      <c r="G21" s="78"/>
      <c r="H21" s="56"/>
      <c r="I21" s="77"/>
      <c r="J21" s="74">
        <f>'2015 Non-RRRP Rate Design'!I8</f>
        <v>1.0952682343997955</v>
      </c>
      <c r="K21" s="78"/>
    </row>
    <row r="22" spans="2:11" x14ac:dyDescent="0.2">
      <c r="B22" s="89" t="s">
        <v>90</v>
      </c>
      <c r="C22" s="43" t="s">
        <v>91</v>
      </c>
      <c r="D22" s="84"/>
      <c r="E22" s="88"/>
      <c r="F22" s="72">
        <v>0.15790000000000001</v>
      </c>
      <c r="G22" s="78"/>
      <c r="H22" s="56"/>
      <c r="I22" s="77"/>
      <c r="J22" s="72">
        <f>'2015 Non-RRRP Rate Design'!J8</f>
        <v>0.17670976971923846</v>
      </c>
      <c r="K22" s="78"/>
    </row>
    <row r="23" spans="2:11" ht="12" customHeight="1" x14ac:dyDescent="0.2">
      <c r="B23" s="89"/>
      <c r="C23" s="43"/>
      <c r="D23" s="82"/>
      <c r="E23" s="86"/>
      <c r="F23" s="71"/>
      <c r="G23" s="78"/>
      <c r="H23" s="56"/>
      <c r="I23" s="77"/>
      <c r="J23" s="71"/>
      <c r="K23" s="78"/>
    </row>
    <row r="24" spans="2:11" ht="13.5" thickBot="1" x14ac:dyDescent="0.25">
      <c r="B24" s="98" t="s">
        <v>97</v>
      </c>
      <c r="C24" s="99" t="s">
        <v>89</v>
      </c>
      <c r="D24" s="100"/>
      <c r="E24" s="101"/>
      <c r="F24" s="80">
        <v>12117516</v>
      </c>
      <c r="G24" s="81"/>
      <c r="H24" s="103"/>
      <c r="I24" s="79"/>
      <c r="J24" s="80">
        <f>'2015 RRRP Rate Design'!M21</f>
        <v>13757204.870674247</v>
      </c>
      <c r="K24" s="81"/>
    </row>
    <row r="26" spans="2:11" x14ac:dyDescent="0.2">
      <c r="G26" s="55"/>
    </row>
    <row r="27" spans="2:11" x14ac:dyDescent="0.2">
      <c r="B27" s="67"/>
      <c r="G27" s="68"/>
    </row>
  </sheetData>
  <mergeCells count="11">
    <mergeCell ref="B2:K2"/>
    <mergeCell ref="B4:D4"/>
    <mergeCell ref="B6:D6"/>
    <mergeCell ref="I4:K4"/>
    <mergeCell ref="I6:K6"/>
    <mergeCell ref="I7:K7"/>
    <mergeCell ref="I5:K5"/>
    <mergeCell ref="E5:G5"/>
    <mergeCell ref="E7:G7"/>
    <mergeCell ref="E4:G4"/>
    <mergeCell ref="E6:G6"/>
  </mergeCells>
  <phoneticPr fontId="2" type="noConversion"/>
  <pageMargins left="0.75" right="0.75" top="1" bottom="1" header="0.5" footer="0.5"/>
  <pageSetup scale="8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workbookViewId="0">
      <selection activeCell="L8" sqref="L8"/>
    </sheetView>
  </sheetViews>
  <sheetFormatPr defaultRowHeight="12.75" x14ac:dyDescent="0.2"/>
  <cols>
    <col min="1" max="1" width="3.42578125" customWidth="1"/>
    <col min="2" max="2" width="32" customWidth="1"/>
    <col min="3" max="3" width="12.42578125" customWidth="1"/>
    <col min="4" max="4" width="13" customWidth="1"/>
    <col min="5" max="5" width="12.7109375" customWidth="1"/>
    <col min="6" max="7" width="12" customWidth="1"/>
    <col min="8" max="8" width="13.42578125" customWidth="1"/>
    <col min="9" max="9" width="14.140625" bestFit="1" customWidth="1"/>
  </cols>
  <sheetData>
    <row r="2" spans="2:9" x14ac:dyDescent="0.2">
      <c r="B2" s="246" t="s">
        <v>200</v>
      </c>
      <c r="C2" s="246"/>
      <c r="D2" s="246"/>
      <c r="E2" s="246"/>
      <c r="F2" s="246"/>
      <c r="G2" s="246"/>
      <c r="H2" s="246"/>
      <c r="I2" s="246"/>
    </row>
    <row r="4" spans="2:9" ht="45" x14ac:dyDescent="0.2">
      <c r="B4" s="142" t="s">
        <v>134</v>
      </c>
      <c r="C4" s="143" t="s">
        <v>135</v>
      </c>
      <c r="D4" s="143" t="s">
        <v>136</v>
      </c>
      <c r="E4" s="143" t="s">
        <v>137</v>
      </c>
      <c r="F4" s="144" t="s">
        <v>138</v>
      </c>
      <c r="G4" s="144" t="s">
        <v>139</v>
      </c>
      <c r="H4" s="144" t="s">
        <v>140</v>
      </c>
      <c r="I4" s="144" t="s">
        <v>141</v>
      </c>
    </row>
    <row r="5" spans="2:9" ht="15" x14ac:dyDescent="0.2">
      <c r="B5" s="240" t="s">
        <v>142</v>
      </c>
      <c r="C5" s="241"/>
      <c r="D5" s="241"/>
      <c r="E5" s="241"/>
      <c r="F5" s="241"/>
      <c r="G5" s="241"/>
      <c r="H5" s="241"/>
      <c r="I5" s="242"/>
    </row>
    <row r="6" spans="2:9" ht="15" x14ac:dyDescent="0.2">
      <c r="B6" s="115" t="s">
        <v>143</v>
      </c>
      <c r="C6" s="116">
        <v>8031</v>
      </c>
      <c r="D6" s="116">
        <v>8082</v>
      </c>
      <c r="E6" s="116">
        <v>8166</v>
      </c>
      <c r="F6" s="116">
        <v>8306</v>
      </c>
      <c r="G6" s="116">
        <v>8306</v>
      </c>
      <c r="H6" s="116">
        <v>8432</v>
      </c>
      <c r="I6" s="116">
        <v>8559</v>
      </c>
    </row>
    <row r="7" spans="2:9" ht="15" x14ac:dyDescent="0.2">
      <c r="B7" s="115" t="s">
        <v>144</v>
      </c>
      <c r="C7" s="116">
        <v>3538</v>
      </c>
      <c r="D7" s="116">
        <v>3453</v>
      </c>
      <c r="E7" s="116">
        <v>3405</v>
      </c>
      <c r="F7" s="116">
        <v>3298</v>
      </c>
      <c r="G7" s="116">
        <v>3298</v>
      </c>
      <c r="H7" s="116">
        <v>3191</v>
      </c>
      <c r="I7" s="116">
        <v>3084</v>
      </c>
    </row>
    <row r="8" spans="2:9" ht="15" x14ac:dyDescent="0.2">
      <c r="B8" s="115" t="s">
        <v>145</v>
      </c>
      <c r="C8" s="116">
        <v>43</v>
      </c>
      <c r="D8" s="116">
        <v>46</v>
      </c>
      <c r="E8" s="116">
        <v>49</v>
      </c>
      <c r="F8" s="116">
        <v>50</v>
      </c>
      <c r="G8" s="116">
        <v>50</v>
      </c>
      <c r="H8" s="116">
        <v>50</v>
      </c>
      <c r="I8" s="116">
        <v>50</v>
      </c>
    </row>
    <row r="9" spans="2:9" ht="15" x14ac:dyDescent="0.2">
      <c r="B9" s="115" t="s">
        <v>146</v>
      </c>
      <c r="C9" s="116">
        <v>1052</v>
      </c>
      <c r="D9" s="116">
        <v>1052</v>
      </c>
      <c r="E9" s="117">
        <v>1018</v>
      </c>
      <c r="F9" s="116">
        <v>1018</v>
      </c>
      <c r="G9" s="116">
        <v>1018</v>
      </c>
      <c r="H9" s="116">
        <v>1018</v>
      </c>
      <c r="I9" s="116">
        <v>1018</v>
      </c>
    </row>
    <row r="10" spans="2:9" ht="15" x14ac:dyDescent="0.2">
      <c r="B10" s="115" t="s">
        <v>147</v>
      </c>
      <c r="C10" s="118">
        <v>12664</v>
      </c>
      <c r="D10" s="118">
        <v>12633</v>
      </c>
      <c r="E10" s="118">
        <v>12638</v>
      </c>
      <c r="F10" s="118">
        <v>12672</v>
      </c>
      <c r="G10" s="118">
        <v>12672</v>
      </c>
      <c r="H10" s="118">
        <v>12691</v>
      </c>
      <c r="I10" s="118">
        <v>12711</v>
      </c>
    </row>
    <row r="11" spans="2:9" x14ac:dyDescent="0.2">
      <c r="B11" s="49"/>
      <c r="C11" s="49"/>
      <c r="D11" s="49"/>
      <c r="E11" s="49"/>
      <c r="F11" s="49"/>
      <c r="G11" s="49"/>
      <c r="H11" s="49"/>
      <c r="I11" s="49"/>
    </row>
    <row r="12" spans="2:9" ht="15" x14ac:dyDescent="0.2">
      <c r="B12" s="240" t="s">
        <v>148</v>
      </c>
      <c r="C12" s="241"/>
      <c r="D12" s="241"/>
      <c r="E12" s="241"/>
      <c r="F12" s="241"/>
      <c r="G12" s="241"/>
      <c r="H12" s="241"/>
      <c r="I12" s="242"/>
    </row>
    <row r="13" spans="2:9" ht="45" x14ac:dyDescent="0.2">
      <c r="B13" s="112"/>
      <c r="C13" s="113" t="s">
        <v>135</v>
      </c>
      <c r="D13" s="113" t="s">
        <v>136</v>
      </c>
      <c r="E13" s="113" t="s">
        <v>137</v>
      </c>
      <c r="F13" s="114" t="s">
        <v>138</v>
      </c>
      <c r="G13" s="114" t="s">
        <v>139</v>
      </c>
      <c r="H13" s="114" t="s">
        <v>140</v>
      </c>
      <c r="I13" s="114" t="s">
        <v>141</v>
      </c>
    </row>
    <row r="14" spans="2:9" ht="15" x14ac:dyDescent="0.2">
      <c r="B14" s="115" t="s">
        <v>143</v>
      </c>
      <c r="C14" s="116">
        <v>98515494</v>
      </c>
      <c r="D14" s="116">
        <v>103344412</v>
      </c>
      <c r="E14" s="116">
        <v>103512450</v>
      </c>
      <c r="F14" s="116">
        <v>106250425</v>
      </c>
      <c r="G14" s="116">
        <v>104788841</v>
      </c>
      <c r="H14" s="116">
        <v>104839037</v>
      </c>
      <c r="I14" s="116">
        <v>105791701</v>
      </c>
    </row>
    <row r="15" spans="2:9" ht="15" x14ac:dyDescent="0.2">
      <c r="B15" s="115" t="s">
        <v>144</v>
      </c>
      <c r="C15" s="116">
        <v>11130245</v>
      </c>
      <c r="D15" s="116">
        <v>10087145</v>
      </c>
      <c r="E15" s="116">
        <v>10136343</v>
      </c>
      <c r="F15" s="116">
        <v>8458860</v>
      </c>
      <c r="G15" s="116">
        <v>8342500</v>
      </c>
      <c r="H15" s="116">
        <v>8025496</v>
      </c>
      <c r="I15" s="116">
        <v>7731414</v>
      </c>
    </row>
    <row r="16" spans="2:9" ht="15" x14ac:dyDescent="0.2">
      <c r="B16" s="115" t="s">
        <v>145</v>
      </c>
      <c r="C16" s="116">
        <v>70938155</v>
      </c>
      <c r="D16" s="116">
        <v>75394032</v>
      </c>
      <c r="E16" s="116">
        <v>79423076</v>
      </c>
      <c r="F16" s="116">
        <v>83700857</v>
      </c>
      <c r="G16" s="116">
        <v>83416121</v>
      </c>
      <c r="H16" s="116">
        <v>83425900</v>
      </c>
      <c r="I16" s="116">
        <v>83288188</v>
      </c>
    </row>
    <row r="17" spans="2:9" ht="15" x14ac:dyDescent="0.2">
      <c r="B17" s="115" t="s">
        <v>149</v>
      </c>
      <c r="C17" s="116">
        <v>721376</v>
      </c>
      <c r="D17" s="116">
        <v>523958</v>
      </c>
      <c r="E17" s="117">
        <v>728404</v>
      </c>
      <c r="F17" s="116">
        <v>807250</v>
      </c>
      <c r="G17" s="116">
        <v>807250</v>
      </c>
      <c r="H17" s="116">
        <v>807250</v>
      </c>
      <c r="I17" s="116">
        <v>804705</v>
      </c>
    </row>
    <row r="18" spans="2:9" ht="15" x14ac:dyDescent="0.25">
      <c r="B18" s="115" t="s">
        <v>147</v>
      </c>
      <c r="C18" s="119">
        <v>181305270</v>
      </c>
      <c r="D18" s="119">
        <v>189349547</v>
      </c>
      <c r="E18" s="119">
        <v>193800273</v>
      </c>
      <c r="F18" s="119">
        <v>199217392</v>
      </c>
      <c r="G18" s="119">
        <v>197354712</v>
      </c>
      <c r="H18" s="119">
        <v>197097683</v>
      </c>
      <c r="I18" s="119">
        <f>SUM(I14:I17)</f>
        <v>197616008</v>
      </c>
    </row>
    <row r="19" spans="2:9" x14ac:dyDescent="0.2">
      <c r="B19" s="49"/>
      <c r="C19" s="49"/>
      <c r="D19" s="49"/>
      <c r="E19" s="49"/>
      <c r="F19" s="49"/>
      <c r="G19" s="49"/>
      <c r="H19" s="49"/>
      <c r="I19" s="49"/>
    </row>
    <row r="20" spans="2:9" ht="15" x14ac:dyDescent="0.2">
      <c r="B20" s="240" t="s">
        <v>150</v>
      </c>
      <c r="C20" s="241"/>
      <c r="D20" s="241"/>
      <c r="E20" s="241"/>
      <c r="F20" s="241"/>
      <c r="G20" s="241"/>
      <c r="H20" s="241"/>
      <c r="I20" s="242"/>
    </row>
    <row r="21" spans="2:9" ht="45" x14ac:dyDescent="0.2">
      <c r="B21" s="112"/>
      <c r="C21" s="113" t="s">
        <v>135</v>
      </c>
      <c r="D21" s="113" t="s">
        <v>136</v>
      </c>
      <c r="E21" s="113" t="s">
        <v>137</v>
      </c>
      <c r="F21" s="114" t="s">
        <v>138</v>
      </c>
      <c r="G21" s="114" t="s">
        <v>139</v>
      </c>
      <c r="H21" s="114" t="s">
        <v>140</v>
      </c>
      <c r="I21" s="114" t="s">
        <v>141</v>
      </c>
    </row>
    <row r="22" spans="2:9" ht="15" x14ac:dyDescent="0.2">
      <c r="B22" s="115" t="s">
        <v>143</v>
      </c>
      <c r="C22" s="120"/>
      <c r="D22" s="120"/>
      <c r="E22" s="120"/>
      <c r="F22" s="120"/>
      <c r="G22" s="120"/>
      <c r="H22" s="120"/>
      <c r="I22" s="120"/>
    </row>
    <row r="23" spans="2:9" ht="15" x14ac:dyDescent="0.2">
      <c r="B23" s="115" t="s">
        <v>144</v>
      </c>
      <c r="C23" s="120"/>
      <c r="D23" s="120"/>
      <c r="E23" s="120"/>
      <c r="F23" s="120"/>
      <c r="G23" s="120"/>
      <c r="H23" s="120"/>
      <c r="I23" s="120"/>
    </row>
    <row r="24" spans="2:9" ht="15" x14ac:dyDescent="0.2">
      <c r="B24" s="115" t="s">
        <v>145</v>
      </c>
      <c r="C24" s="116">
        <v>163570</v>
      </c>
      <c r="D24" s="116">
        <v>176514</v>
      </c>
      <c r="E24" s="116">
        <v>185948</v>
      </c>
      <c r="F24" s="116">
        <v>199530</v>
      </c>
      <c r="G24" s="116">
        <v>199530</v>
      </c>
      <c r="H24" s="116">
        <v>199530</v>
      </c>
      <c r="I24" s="116">
        <v>198901</v>
      </c>
    </row>
    <row r="25" spans="2:9" ht="15" x14ac:dyDescent="0.2">
      <c r="B25" s="115" t="s">
        <v>149</v>
      </c>
      <c r="C25" s="243" t="s">
        <v>151</v>
      </c>
      <c r="D25" s="244"/>
      <c r="E25" s="244"/>
      <c r="F25" s="244"/>
      <c r="G25" s="244"/>
      <c r="H25" s="244"/>
      <c r="I25" s="245"/>
    </row>
    <row r="26" spans="2:9" ht="15" x14ac:dyDescent="0.25">
      <c r="B26" s="115" t="s">
        <v>147</v>
      </c>
      <c r="C26" s="119">
        <v>163570</v>
      </c>
      <c r="D26" s="119">
        <v>176514</v>
      </c>
      <c r="E26" s="119">
        <v>185948</v>
      </c>
      <c r="F26" s="119">
        <v>199530</v>
      </c>
      <c r="G26" s="119">
        <v>199530</v>
      </c>
      <c r="H26" s="119">
        <v>199530</v>
      </c>
      <c r="I26" s="119">
        <f>SUM(I22:I25)</f>
        <v>198901</v>
      </c>
    </row>
    <row r="27" spans="2:9" x14ac:dyDescent="0.2">
      <c r="B27" s="138"/>
      <c r="C27" s="138"/>
      <c r="D27" s="138"/>
      <c r="E27" s="138"/>
      <c r="F27" s="138"/>
      <c r="G27" s="138"/>
      <c r="H27" s="138"/>
      <c r="I27" s="138"/>
    </row>
    <row r="28" spans="2:9" ht="25.5" x14ac:dyDescent="0.2">
      <c r="B28" s="145"/>
      <c r="C28" s="146" t="s">
        <v>162</v>
      </c>
      <c r="D28" s="146" t="s">
        <v>136</v>
      </c>
      <c r="E28" s="146" t="s">
        <v>137</v>
      </c>
      <c r="F28" s="146" t="s">
        <v>163</v>
      </c>
      <c r="G28" s="147"/>
      <c r="H28" s="146" t="s">
        <v>164</v>
      </c>
      <c r="I28" s="148" t="s">
        <v>202</v>
      </c>
    </row>
    <row r="29" spans="2:9" x14ac:dyDescent="0.2">
      <c r="B29" s="139" t="s">
        <v>161</v>
      </c>
      <c r="C29" s="49"/>
      <c r="D29" s="140">
        <v>2.5000000000000001E-2</v>
      </c>
      <c r="E29" s="140">
        <v>2.81E-2</v>
      </c>
      <c r="F29" s="140">
        <v>3.7499999999999999E-2</v>
      </c>
      <c r="G29" s="141"/>
      <c r="H29" s="140">
        <v>3.7600000000000001E-2</v>
      </c>
      <c r="I29" s="140">
        <v>7.9000000000000008E-3</v>
      </c>
    </row>
    <row r="30" spans="2:9" x14ac:dyDescent="0.2">
      <c r="B30" s="138"/>
      <c r="C30" s="138"/>
      <c r="D30" s="138"/>
      <c r="E30" s="138"/>
      <c r="F30" s="138"/>
      <c r="G30" s="141"/>
      <c r="H30" s="138"/>
      <c r="I30" s="138"/>
    </row>
    <row r="31" spans="2:9" x14ac:dyDescent="0.2">
      <c r="B31" s="49" t="s">
        <v>184</v>
      </c>
      <c r="C31" s="49"/>
      <c r="D31" s="49"/>
      <c r="E31" s="49"/>
      <c r="F31" s="49"/>
      <c r="G31" s="141"/>
      <c r="H31" s="49"/>
      <c r="I31" s="49"/>
    </row>
    <row r="32" spans="2:9" ht="15" x14ac:dyDescent="0.25">
      <c r="B32" s="167" t="s">
        <v>68</v>
      </c>
      <c r="C32" s="49"/>
      <c r="D32" s="119">
        <v>115523</v>
      </c>
      <c r="E32" s="119">
        <v>118393</v>
      </c>
      <c r="F32" s="119">
        <v>123494</v>
      </c>
      <c r="G32" s="141"/>
      <c r="H32" s="119">
        <v>123494</v>
      </c>
      <c r="I32" s="119">
        <v>123494</v>
      </c>
    </row>
    <row r="33" spans="2:9" ht="15" x14ac:dyDescent="0.25">
      <c r="B33" s="167" t="s">
        <v>89</v>
      </c>
      <c r="C33" s="49"/>
      <c r="D33" s="119">
        <f>D32*0.6</f>
        <v>69313.8</v>
      </c>
      <c r="E33" s="119">
        <f>E32*0.6</f>
        <v>71035.8</v>
      </c>
      <c r="F33" s="119">
        <f>F32*0.6</f>
        <v>74096.399999999994</v>
      </c>
      <c r="G33" s="141"/>
      <c r="H33" s="119">
        <f>H32*0.6</f>
        <v>74096.399999999994</v>
      </c>
      <c r="I33" s="119">
        <f>I32*0.6</f>
        <v>74096.399999999994</v>
      </c>
    </row>
  </sheetData>
  <mergeCells count="5">
    <mergeCell ref="B5:I5"/>
    <mergeCell ref="B12:I12"/>
    <mergeCell ref="B20:I20"/>
    <mergeCell ref="C25:I25"/>
    <mergeCell ref="B2:I2"/>
  </mergeCells>
  <pageMargins left="0.7" right="0.7" top="0.75" bottom="0.75" header="0.3" footer="0.3"/>
  <pageSetup scale="7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workbookViewId="0">
      <selection activeCell="O71" sqref="O71"/>
    </sheetView>
  </sheetViews>
  <sheetFormatPr defaultRowHeight="12.75" x14ac:dyDescent="0.2"/>
  <cols>
    <col min="1" max="1" width="10.5703125" customWidth="1"/>
    <col min="2" max="2" width="48.42578125" bestFit="1" customWidth="1"/>
    <col min="3" max="5" width="15.7109375" customWidth="1"/>
    <col min="6" max="9" width="0" hidden="1" customWidth="1"/>
    <col min="10" max="10" width="15.7109375" customWidth="1"/>
    <col min="11" max="14" width="0" hidden="1" customWidth="1"/>
    <col min="15" max="15" width="15.7109375" customWidth="1"/>
  </cols>
  <sheetData>
    <row r="1" spans="1:15" ht="18" x14ac:dyDescent="0.25">
      <c r="A1" s="250" t="s">
        <v>125</v>
      </c>
      <c r="B1" s="250"/>
      <c r="C1" s="250"/>
      <c r="D1" s="250"/>
      <c r="E1" s="250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0.25" x14ac:dyDescent="0.3">
      <c r="A2" s="2" t="s">
        <v>205</v>
      </c>
      <c r="B2" s="3"/>
      <c r="C2" s="4"/>
      <c r="D2" s="4"/>
      <c r="E2" s="5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">
      <c r="A3" s="6"/>
      <c r="B3" s="6"/>
      <c r="C3" s="7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">
      <c r="A4" s="8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21"/>
      <c r="N4" s="121"/>
      <c r="O4" s="121"/>
    </row>
    <row r="5" spans="1:15" ht="13.5" thickBot="1" x14ac:dyDescent="0.25">
      <c r="A5" s="9"/>
      <c r="B5" s="10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121"/>
      <c r="N5" s="121"/>
      <c r="O5" s="121"/>
    </row>
    <row r="6" spans="1:15" x14ac:dyDescent="0.2">
      <c r="A6" s="11"/>
      <c r="B6" s="12"/>
      <c r="C6" s="13"/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4">
        <v>6</v>
      </c>
      <c r="J6" s="14">
        <v>7</v>
      </c>
      <c r="K6" s="14">
        <v>8</v>
      </c>
      <c r="L6" s="14">
        <v>9</v>
      </c>
      <c r="M6" s="14">
        <v>10</v>
      </c>
      <c r="N6" s="14">
        <v>11</v>
      </c>
      <c r="O6" s="14">
        <v>12</v>
      </c>
    </row>
    <row r="7" spans="1:15" ht="51.75" thickBot="1" x14ac:dyDescent="0.25">
      <c r="A7" s="15" t="s">
        <v>1</v>
      </c>
      <c r="B7" s="16"/>
      <c r="C7" s="17" t="s">
        <v>2</v>
      </c>
      <c r="D7" s="18" t="s">
        <v>3</v>
      </c>
      <c r="E7" s="18" t="s">
        <v>4</v>
      </c>
      <c r="F7" s="18" t="s">
        <v>5</v>
      </c>
      <c r="G7" s="18" t="s">
        <v>6</v>
      </c>
      <c r="H7" s="18" t="s">
        <v>7</v>
      </c>
      <c r="I7" s="18" t="s">
        <v>8</v>
      </c>
      <c r="J7" s="18" t="s">
        <v>9</v>
      </c>
      <c r="K7" s="18" t="s">
        <v>10</v>
      </c>
      <c r="L7" s="18" t="s">
        <v>11</v>
      </c>
      <c r="M7" s="18" t="s">
        <v>12</v>
      </c>
      <c r="N7" s="18" t="s">
        <v>13</v>
      </c>
      <c r="O7" s="18" t="s">
        <v>14</v>
      </c>
    </row>
    <row r="8" spans="1:15" x14ac:dyDescent="0.2">
      <c r="A8" s="19" t="s">
        <v>15</v>
      </c>
      <c r="B8" s="122" t="s">
        <v>152</v>
      </c>
      <c r="C8" s="20">
        <v>20478676.201099999</v>
      </c>
      <c r="D8" s="123">
        <v>14900659.6505</v>
      </c>
      <c r="E8" s="123">
        <v>3674440.8198000002</v>
      </c>
      <c r="F8" s="123">
        <v>0</v>
      </c>
      <c r="G8" s="123">
        <v>0</v>
      </c>
      <c r="H8" s="123">
        <v>0</v>
      </c>
      <c r="I8" s="123">
        <v>0</v>
      </c>
      <c r="J8" s="123">
        <v>139696.788</v>
      </c>
      <c r="K8" s="123">
        <v>0</v>
      </c>
      <c r="L8" s="123">
        <v>0</v>
      </c>
      <c r="M8" s="123">
        <v>0</v>
      </c>
      <c r="N8" s="123">
        <v>0</v>
      </c>
      <c r="O8" s="123">
        <v>1763878.9427999998</v>
      </c>
    </row>
    <row r="9" spans="1:15" x14ac:dyDescent="0.2">
      <c r="A9" s="19" t="s">
        <v>16</v>
      </c>
      <c r="B9" s="122" t="s">
        <v>17</v>
      </c>
      <c r="C9" s="124">
        <v>466757.64</v>
      </c>
      <c r="D9" s="125">
        <v>292845.03390436457</v>
      </c>
      <c r="E9" s="125">
        <v>75826.547480141744</v>
      </c>
      <c r="F9" s="125">
        <v>0</v>
      </c>
      <c r="G9" s="125">
        <v>0</v>
      </c>
      <c r="H9" s="125">
        <v>0</v>
      </c>
      <c r="I9" s="125">
        <v>0</v>
      </c>
      <c r="J9" s="125">
        <v>18777.981852369074</v>
      </c>
      <c r="K9" s="125">
        <v>0</v>
      </c>
      <c r="L9" s="125">
        <v>0</v>
      </c>
      <c r="M9" s="125">
        <v>0</v>
      </c>
      <c r="N9" s="125">
        <v>0</v>
      </c>
      <c r="O9" s="125">
        <v>79308.076763124598</v>
      </c>
    </row>
    <row r="10" spans="1:15" ht="13.5" thickBot="1" x14ac:dyDescent="0.25">
      <c r="A10" s="19"/>
      <c r="B10" s="122"/>
      <c r="C10" s="252" t="s">
        <v>153</v>
      </c>
      <c r="D10" s="253"/>
      <c r="E10" s="253"/>
      <c r="F10" s="254"/>
      <c r="G10" s="125"/>
      <c r="H10" s="125"/>
      <c r="I10" s="125"/>
      <c r="J10" s="125"/>
      <c r="K10" s="125"/>
      <c r="L10" s="125"/>
      <c r="M10" s="126"/>
      <c r="N10" s="126"/>
      <c r="O10" s="126"/>
    </row>
    <row r="11" spans="1:15" ht="13.5" thickBot="1" x14ac:dyDescent="0.25">
      <c r="A11" s="19"/>
      <c r="B11" s="22" t="s">
        <v>154</v>
      </c>
      <c r="C11" s="23">
        <v>20945433.8411</v>
      </c>
      <c r="D11" s="24">
        <v>15193504.684404364</v>
      </c>
      <c r="E11" s="24">
        <v>3750267.3672801419</v>
      </c>
      <c r="F11" s="24">
        <v>0</v>
      </c>
      <c r="G11" s="24">
        <v>0</v>
      </c>
      <c r="H11" s="24">
        <v>0</v>
      </c>
      <c r="I11" s="24">
        <v>0</v>
      </c>
      <c r="J11" s="24">
        <v>158474.76985236906</v>
      </c>
      <c r="K11" s="24">
        <v>0</v>
      </c>
      <c r="L11" s="24">
        <v>0</v>
      </c>
      <c r="M11" s="24">
        <v>0</v>
      </c>
      <c r="N11" s="24">
        <v>0</v>
      </c>
      <c r="O11" s="24">
        <v>1843187.0195631245</v>
      </c>
    </row>
    <row r="12" spans="1:15" ht="14.25" thickTop="1" thickBot="1" x14ac:dyDescent="0.25">
      <c r="A12" s="19"/>
      <c r="B12" s="122" t="s">
        <v>155</v>
      </c>
      <c r="C12" s="127">
        <v>1.1141433338983067</v>
      </c>
      <c r="D12" s="125"/>
      <c r="E12" s="125"/>
      <c r="F12" s="125"/>
      <c r="G12" s="125"/>
      <c r="H12" s="125"/>
      <c r="I12" s="125"/>
      <c r="J12" s="125"/>
      <c r="K12" s="125"/>
      <c r="L12" s="125"/>
      <c r="M12" s="128"/>
      <c r="N12" s="128"/>
      <c r="O12" s="128"/>
    </row>
    <row r="13" spans="1:15" x14ac:dyDescent="0.2">
      <c r="A13" s="19"/>
      <c r="B13" s="122" t="s">
        <v>156</v>
      </c>
      <c r="C13" s="20">
        <v>22816180.576517463</v>
      </c>
      <c r="D13" s="123">
        <v>16601470.620292047</v>
      </c>
      <c r="E13" s="123">
        <v>4093853.7451839992</v>
      </c>
      <c r="F13" s="123">
        <v>0</v>
      </c>
      <c r="G13" s="123">
        <v>0</v>
      </c>
      <c r="H13" s="123">
        <v>0</v>
      </c>
      <c r="I13" s="123">
        <v>0</v>
      </c>
      <c r="J13" s="123">
        <v>155642.24511720496</v>
      </c>
      <c r="K13" s="123">
        <v>0</v>
      </c>
      <c r="L13" s="123">
        <v>0</v>
      </c>
      <c r="M13" s="123">
        <v>0</v>
      </c>
      <c r="N13" s="123">
        <v>0</v>
      </c>
      <c r="O13" s="123">
        <v>1965213.9659242125</v>
      </c>
    </row>
    <row r="14" spans="1:15" ht="13.5" thickBot="1" x14ac:dyDescent="0.25">
      <c r="A14" s="19"/>
      <c r="B14" s="122" t="s">
        <v>17</v>
      </c>
      <c r="C14" s="21">
        <v>466757.64</v>
      </c>
      <c r="D14" s="126">
        <v>292845.03390436457</v>
      </c>
      <c r="E14" s="126">
        <v>75826.547480141744</v>
      </c>
      <c r="F14" s="126">
        <v>0</v>
      </c>
      <c r="G14" s="126">
        <v>0</v>
      </c>
      <c r="H14" s="126">
        <v>0</v>
      </c>
      <c r="I14" s="126">
        <v>0</v>
      </c>
      <c r="J14" s="126">
        <v>18777.981852369074</v>
      </c>
      <c r="K14" s="126">
        <v>0</v>
      </c>
      <c r="L14" s="126">
        <v>0</v>
      </c>
      <c r="M14" s="126">
        <v>0</v>
      </c>
      <c r="N14" s="126">
        <v>0</v>
      </c>
      <c r="O14" s="126">
        <v>79308.076763124598</v>
      </c>
    </row>
    <row r="15" spans="1:15" ht="13.5" thickBot="1" x14ac:dyDescent="0.25">
      <c r="A15" s="19"/>
      <c r="B15" s="22" t="s">
        <v>157</v>
      </c>
      <c r="C15" s="23">
        <v>23282938.216517463</v>
      </c>
      <c r="D15" s="24">
        <v>16894315.654196411</v>
      </c>
      <c r="E15" s="24">
        <v>4169680.2926641409</v>
      </c>
      <c r="F15" s="24">
        <v>0</v>
      </c>
      <c r="G15" s="24">
        <v>0</v>
      </c>
      <c r="H15" s="24">
        <v>0</v>
      </c>
      <c r="I15" s="24">
        <v>0</v>
      </c>
      <c r="J15" s="24">
        <v>174420.22696957403</v>
      </c>
      <c r="K15" s="24">
        <v>0</v>
      </c>
      <c r="L15" s="24">
        <v>0</v>
      </c>
      <c r="M15" s="24">
        <v>0</v>
      </c>
      <c r="N15" s="24">
        <v>0</v>
      </c>
      <c r="O15" s="24">
        <v>2044522.0426873371</v>
      </c>
    </row>
    <row r="16" spans="1:15" ht="13.5" thickTop="1" x14ac:dyDescent="0.2">
      <c r="A16" s="19"/>
      <c r="B16" s="122"/>
      <c r="C16" s="25"/>
      <c r="D16" s="125"/>
      <c r="E16" s="125"/>
      <c r="F16" s="125"/>
      <c r="G16" s="125"/>
      <c r="H16" s="125"/>
      <c r="I16" s="125"/>
      <c r="J16" s="125"/>
      <c r="K16" s="125"/>
      <c r="L16" s="125"/>
      <c r="M16" s="128"/>
      <c r="N16" s="128"/>
      <c r="O16" s="128"/>
    </row>
    <row r="17" spans="1:15" x14ac:dyDescent="0.2">
      <c r="A17" s="19"/>
      <c r="B17" s="26" t="s">
        <v>19</v>
      </c>
      <c r="C17" s="25"/>
      <c r="D17" s="125"/>
      <c r="E17" s="125"/>
      <c r="F17" s="125"/>
      <c r="G17" s="125"/>
      <c r="H17" s="125"/>
      <c r="I17" s="125"/>
      <c r="J17" s="125"/>
      <c r="K17" s="125"/>
      <c r="L17" s="125"/>
      <c r="M17" s="128"/>
      <c r="N17" s="128"/>
      <c r="O17" s="128"/>
    </row>
    <row r="18" spans="1:15" x14ac:dyDescent="0.2">
      <c r="A18" s="19" t="s">
        <v>20</v>
      </c>
      <c r="B18" s="122" t="s">
        <v>21</v>
      </c>
      <c r="C18" s="25">
        <v>5795694.4399999995</v>
      </c>
      <c r="D18" s="125">
        <v>3667981.5955145527</v>
      </c>
      <c r="E18" s="125">
        <v>1069576.8758549565</v>
      </c>
      <c r="F18" s="125">
        <v>0</v>
      </c>
      <c r="G18" s="125">
        <v>0</v>
      </c>
      <c r="H18" s="125">
        <v>0</v>
      </c>
      <c r="I18" s="125">
        <v>0</v>
      </c>
      <c r="J18" s="125">
        <v>204322.5872712658</v>
      </c>
      <c r="K18" s="125">
        <v>0</v>
      </c>
      <c r="L18" s="125">
        <v>0</v>
      </c>
      <c r="M18" s="125">
        <v>0</v>
      </c>
      <c r="N18" s="125">
        <v>0</v>
      </c>
      <c r="O18" s="125">
        <v>853813.38135922479</v>
      </c>
    </row>
    <row r="19" spans="1:15" x14ac:dyDescent="0.2">
      <c r="A19" s="19" t="s">
        <v>22</v>
      </c>
      <c r="B19" s="122" t="s">
        <v>23</v>
      </c>
      <c r="C19" s="25">
        <v>2036392.2</v>
      </c>
      <c r="D19" s="125">
        <v>1507777.7390144041</v>
      </c>
      <c r="E19" s="125">
        <v>36643.730989477452</v>
      </c>
      <c r="F19" s="125">
        <v>0</v>
      </c>
      <c r="G19" s="125">
        <v>0</v>
      </c>
      <c r="H19" s="125">
        <v>0</v>
      </c>
      <c r="I19" s="125">
        <v>0</v>
      </c>
      <c r="J19" s="125">
        <v>9141.4340380565736</v>
      </c>
      <c r="K19" s="125">
        <v>0</v>
      </c>
      <c r="L19" s="125">
        <v>0</v>
      </c>
      <c r="M19" s="125">
        <v>0</v>
      </c>
      <c r="N19" s="125">
        <v>0</v>
      </c>
      <c r="O19" s="125">
        <v>482829.29595806188</v>
      </c>
    </row>
    <row r="20" spans="1:15" x14ac:dyDescent="0.2">
      <c r="A20" s="19" t="s">
        <v>24</v>
      </c>
      <c r="B20" s="122" t="s">
        <v>25</v>
      </c>
      <c r="C20" s="25">
        <v>4580592.120000001</v>
      </c>
      <c r="D20" s="125">
        <v>3023163.2103913883</v>
      </c>
      <c r="E20" s="125">
        <v>653755.69449001376</v>
      </c>
      <c r="F20" s="125">
        <v>0</v>
      </c>
      <c r="G20" s="125">
        <v>0</v>
      </c>
      <c r="H20" s="125">
        <v>0</v>
      </c>
      <c r="I20" s="125">
        <v>0</v>
      </c>
      <c r="J20" s="125">
        <v>125799.49132797636</v>
      </c>
      <c r="K20" s="125">
        <v>0</v>
      </c>
      <c r="L20" s="125">
        <v>0</v>
      </c>
      <c r="M20" s="125">
        <v>0</v>
      </c>
      <c r="N20" s="125">
        <v>0</v>
      </c>
      <c r="O20" s="125">
        <v>777873.72379062255</v>
      </c>
    </row>
    <row r="21" spans="1:15" x14ac:dyDescent="0.2">
      <c r="A21" s="19" t="s">
        <v>26</v>
      </c>
      <c r="B21" s="122" t="s">
        <v>27</v>
      </c>
      <c r="C21" s="27">
        <v>3899208.7288166666</v>
      </c>
      <c r="D21" s="129">
        <v>2504649.3798755757</v>
      </c>
      <c r="E21" s="129">
        <v>680360.02239908441</v>
      </c>
      <c r="F21" s="129">
        <v>0</v>
      </c>
      <c r="G21" s="129">
        <v>0</v>
      </c>
      <c r="H21" s="129">
        <v>0</v>
      </c>
      <c r="I21" s="129">
        <v>0</v>
      </c>
      <c r="J21" s="129">
        <v>123961.81817109598</v>
      </c>
      <c r="K21" s="129">
        <v>0</v>
      </c>
      <c r="L21" s="129">
        <v>0</v>
      </c>
      <c r="M21" s="129">
        <v>0</v>
      </c>
      <c r="N21" s="129">
        <v>0</v>
      </c>
      <c r="O21" s="129">
        <v>590237.508370911</v>
      </c>
    </row>
    <row r="22" spans="1:15" x14ac:dyDescent="0.2">
      <c r="A22" s="19" t="s">
        <v>28</v>
      </c>
      <c r="B22" s="122" t="s">
        <v>29</v>
      </c>
      <c r="C22" s="25">
        <v>409652.99999999988</v>
      </c>
      <c r="D22" s="125">
        <v>260408.60459714194</v>
      </c>
      <c r="E22" s="125">
        <v>75900.788251064529</v>
      </c>
      <c r="F22" s="125">
        <v>0</v>
      </c>
      <c r="G22" s="125">
        <v>0</v>
      </c>
      <c r="H22" s="125">
        <v>0</v>
      </c>
      <c r="I22" s="125">
        <v>0</v>
      </c>
      <c r="J22" s="125">
        <v>13697.426270472708</v>
      </c>
      <c r="K22" s="125">
        <v>0</v>
      </c>
      <c r="L22" s="125">
        <v>0</v>
      </c>
      <c r="M22" s="125">
        <v>0</v>
      </c>
      <c r="N22" s="125">
        <v>0</v>
      </c>
      <c r="O22" s="125">
        <v>59646.180881320761</v>
      </c>
    </row>
    <row r="23" spans="1:15" ht="13.5" thickBot="1" x14ac:dyDescent="0.25">
      <c r="A23" s="19" t="s">
        <v>30</v>
      </c>
      <c r="B23" s="122" t="s">
        <v>31</v>
      </c>
      <c r="C23" s="21">
        <v>2913125.6442608</v>
      </c>
      <c r="D23" s="126">
        <v>1851818.4513188116</v>
      </c>
      <c r="E23" s="126">
        <v>539745.91342864558</v>
      </c>
      <c r="F23" s="126">
        <v>0</v>
      </c>
      <c r="G23" s="126">
        <v>0</v>
      </c>
      <c r="H23" s="126">
        <v>0</v>
      </c>
      <c r="I23" s="126">
        <v>0</v>
      </c>
      <c r="J23" s="126">
        <v>97405.178843766858</v>
      </c>
      <c r="K23" s="126">
        <v>0</v>
      </c>
      <c r="L23" s="126">
        <v>0</v>
      </c>
      <c r="M23" s="126">
        <v>0</v>
      </c>
      <c r="N23" s="126">
        <v>0</v>
      </c>
      <c r="O23" s="126">
        <v>424156.10066957591</v>
      </c>
    </row>
    <row r="24" spans="1:15" ht="13.5" thickBot="1" x14ac:dyDescent="0.25">
      <c r="A24" s="19"/>
      <c r="B24" s="22" t="s">
        <v>32</v>
      </c>
      <c r="C24" s="23">
        <v>19634666.133077469</v>
      </c>
      <c r="D24" s="24">
        <v>12815798.980711874</v>
      </c>
      <c r="E24" s="24">
        <v>3055983.0254132422</v>
      </c>
      <c r="F24" s="24">
        <v>0</v>
      </c>
      <c r="G24" s="24">
        <v>0</v>
      </c>
      <c r="H24" s="24">
        <v>0</v>
      </c>
      <c r="I24" s="24">
        <v>0</v>
      </c>
      <c r="J24" s="24">
        <v>574327.93592263432</v>
      </c>
      <c r="K24" s="24">
        <v>0</v>
      </c>
      <c r="L24" s="24">
        <v>0</v>
      </c>
      <c r="M24" s="24">
        <v>0</v>
      </c>
      <c r="N24" s="24">
        <v>0</v>
      </c>
      <c r="O24" s="24">
        <v>3188556.1910297167</v>
      </c>
    </row>
    <row r="25" spans="1:15" ht="13.5" thickTop="1" x14ac:dyDescent="0.2">
      <c r="A25" s="19"/>
      <c r="B25" s="26"/>
      <c r="C25" s="2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15" x14ac:dyDescent="0.2">
      <c r="A26" s="19"/>
      <c r="B26" s="26" t="s">
        <v>33</v>
      </c>
      <c r="C26" s="25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</row>
    <row r="27" spans="1:15" x14ac:dyDescent="0.2">
      <c r="A27" s="19"/>
      <c r="B27" s="122"/>
      <c r="C27" s="25"/>
      <c r="D27" s="125"/>
      <c r="E27" s="125"/>
      <c r="F27" s="125"/>
      <c r="G27" s="125"/>
      <c r="H27" s="125"/>
      <c r="I27" s="125"/>
      <c r="J27" s="125"/>
      <c r="K27" s="125"/>
      <c r="L27" s="125"/>
      <c r="M27" s="128"/>
      <c r="N27" s="128"/>
      <c r="O27" s="128"/>
    </row>
    <row r="28" spans="1:15" x14ac:dyDescent="0.2">
      <c r="A28" s="19" t="s">
        <v>34</v>
      </c>
      <c r="B28" s="122" t="s">
        <v>35</v>
      </c>
      <c r="C28" s="25">
        <v>3648272.0834400002</v>
      </c>
      <c r="D28" s="125">
        <v>2319137.031681248</v>
      </c>
      <c r="E28" s="125">
        <v>675954.3488939408</v>
      </c>
      <c r="F28" s="125">
        <v>0</v>
      </c>
      <c r="G28" s="125">
        <v>0</v>
      </c>
      <c r="H28" s="125">
        <v>0</v>
      </c>
      <c r="I28" s="125">
        <v>0</v>
      </c>
      <c r="J28" s="125">
        <v>121986.01713533959</v>
      </c>
      <c r="K28" s="125">
        <v>0</v>
      </c>
      <c r="L28" s="125">
        <v>0</v>
      </c>
      <c r="M28" s="125">
        <v>0</v>
      </c>
      <c r="N28" s="125">
        <v>0</v>
      </c>
      <c r="O28" s="125">
        <v>531194.68572947162</v>
      </c>
    </row>
    <row r="29" spans="1:15" x14ac:dyDescent="0.2">
      <c r="A29" s="19"/>
      <c r="B29" s="122"/>
      <c r="C29" s="25"/>
      <c r="D29" s="125"/>
      <c r="E29" s="125"/>
      <c r="F29" s="125"/>
      <c r="G29" s="125"/>
      <c r="H29" s="125"/>
      <c r="I29" s="125"/>
      <c r="J29" s="125"/>
      <c r="K29" s="125"/>
      <c r="L29" s="125"/>
      <c r="M29" s="128"/>
      <c r="N29" s="128"/>
      <c r="O29" s="128"/>
    </row>
    <row r="30" spans="1:15" x14ac:dyDescent="0.2">
      <c r="A30" s="19"/>
      <c r="B30" s="26" t="s">
        <v>36</v>
      </c>
      <c r="C30" s="25">
        <v>23282938.216517463</v>
      </c>
      <c r="D30" s="130">
        <v>15134936.012393121</v>
      </c>
      <c r="E30" s="130">
        <v>3731937.3743071831</v>
      </c>
      <c r="F30" s="130">
        <v>0</v>
      </c>
      <c r="G30" s="130">
        <v>0</v>
      </c>
      <c r="H30" s="130">
        <v>0</v>
      </c>
      <c r="I30" s="130">
        <v>0</v>
      </c>
      <c r="J30" s="130">
        <v>696313.95305797388</v>
      </c>
      <c r="K30" s="130">
        <v>0</v>
      </c>
      <c r="L30" s="130">
        <v>0</v>
      </c>
      <c r="M30" s="130">
        <v>0</v>
      </c>
      <c r="N30" s="130">
        <v>0</v>
      </c>
      <c r="O30" s="130">
        <v>3719750.8767591882</v>
      </c>
    </row>
    <row r="31" spans="1:15" x14ac:dyDescent="0.2">
      <c r="A31" s="29"/>
      <c r="B31" s="122"/>
      <c r="C31" s="255" t="s">
        <v>158</v>
      </c>
      <c r="D31" s="256"/>
      <c r="E31" s="257"/>
      <c r="F31" s="125"/>
      <c r="G31" s="125"/>
      <c r="H31" s="125"/>
      <c r="I31" s="125"/>
      <c r="J31" s="125"/>
      <c r="K31" s="125"/>
      <c r="L31" s="125"/>
      <c r="M31" s="128"/>
      <c r="N31" s="128"/>
      <c r="O31" s="128"/>
    </row>
    <row r="32" spans="1:15" x14ac:dyDescent="0.2">
      <c r="A32" s="19"/>
      <c r="B32" s="122"/>
      <c r="C32" s="25"/>
      <c r="D32" s="125"/>
      <c r="E32" s="125"/>
      <c r="F32" s="125"/>
      <c r="G32" s="125"/>
      <c r="H32" s="125"/>
      <c r="I32" s="125"/>
      <c r="J32" s="125"/>
      <c r="K32" s="125"/>
      <c r="L32" s="125"/>
      <c r="M32" s="128"/>
      <c r="N32" s="128"/>
      <c r="O32" s="128"/>
    </row>
    <row r="33" spans="1:15" x14ac:dyDescent="0.2">
      <c r="A33" s="19"/>
      <c r="B33" s="122"/>
      <c r="C33" s="25"/>
      <c r="D33" s="125"/>
      <c r="E33" s="125"/>
      <c r="F33" s="125"/>
      <c r="G33" s="125"/>
      <c r="H33" s="125"/>
      <c r="I33" s="125"/>
      <c r="J33" s="125"/>
      <c r="K33" s="125"/>
      <c r="L33" s="125"/>
      <c r="M33" s="128"/>
      <c r="N33" s="128"/>
      <c r="O33" s="128"/>
    </row>
    <row r="34" spans="1:15" x14ac:dyDescent="0.2">
      <c r="A34" s="19"/>
      <c r="B34" s="26" t="s">
        <v>37</v>
      </c>
      <c r="C34" s="25"/>
      <c r="D34" s="125"/>
      <c r="E34" s="125"/>
      <c r="F34" s="125"/>
      <c r="G34" s="125"/>
      <c r="H34" s="125"/>
      <c r="I34" s="125"/>
      <c r="J34" s="125"/>
      <c r="K34" s="125"/>
      <c r="L34" s="125"/>
      <c r="M34" s="128"/>
      <c r="N34" s="128"/>
      <c r="O34" s="128"/>
    </row>
    <row r="35" spans="1:15" x14ac:dyDescent="0.2">
      <c r="A35" s="19"/>
      <c r="B35" s="26"/>
      <c r="C35" s="25"/>
      <c r="D35" s="125"/>
      <c r="E35" s="125"/>
      <c r="F35" s="125"/>
      <c r="G35" s="125"/>
      <c r="H35" s="125"/>
      <c r="I35" s="125"/>
      <c r="J35" s="125"/>
      <c r="K35" s="125"/>
      <c r="L35" s="125"/>
      <c r="M35" s="128"/>
      <c r="N35" s="128"/>
      <c r="O35" s="128"/>
    </row>
    <row r="36" spans="1:15" x14ac:dyDescent="0.2">
      <c r="A36" s="19"/>
      <c r="B36" s="30" t="s">
        <v>38</v>
      </c>
      <c r="C36" s="25"/>
      <c r="D36" s="125"/>
      <c r="E36" s="125"/>
      <c r="F36" s="125"/>
      <c r="G36" s="125"/>
      <c r="H36" s="125"/>
      <c r="I36" s="125"/>
      <c r="J36" s="125"/>
      <c r="K36" s="125"/>
      <c r="L36" s="125"/>
      <c r="M36" s="128"/>
      <c r="N36" s="128"/>
      <c r="O36" s="128"/>
    </row>
    <row r="37" spans="1:15" x14ac:dyDescent="0.2">
      <c r="A37" s="19" t="s">
        <v>39</v>
      </c>
      <c r="B37" s="122" t="s">
        <v>40</v>
      </c>
      <c r="C37" s="25">
        <v>122555750.75499998</v>
      </c>
      <c r="D37" s="125">
        <v>78199285.900127128</v>
      </c>
      <c r="E37" s="125">
        <v>22170419.146495003</v>
      </c>
      <c r="F37" s="125">
        <v>0</v>
      </c>
      <c r="G37" s="125">
        <v>0</v>
      </c>
      <c r="H37" s="125">
        <v>0</v>
      </c>
      <c r="I37" s="125">
        <v>0</v>
      </c>
      <c r="J37" s="125">
        <v>4091599.6156565566</v>
      </c>
      <c r="K37" s="125">
        <v>0</v>
      </c>
      <c r="L37" s="125">
        <v>0</v>
      </c>
      <c r="M37" s="125">
        <v>0</v>
      </c>
      <c r="N37" s="125">
        <v>0</v>
      </c>
      <c r="O37" s="125">
        <v>18094446.092721298</v>
      </c>
    </row>
    <row r="38" spans="1:15" x14ac:dyDescent="0.2">
      <c r="A38" s="19" t="s">
        <v>41</v>
      </c>
      <c r="B38" s="122" t="s">
        <v>42</v>
      </c>
      <c r="C38" s="25">
        <v>39239754.173549995</v>
      </c>
      <c r="D38" s="125">
        <v>24948138.866113167</v>
      </c>
      <c r="E38" s="125">
        <v>7260204.4728470584</v>
      </c>
      <c r="F38" s="125">
        <v>0</v>
      </c>
      <c r="G38" s="125">
        <v>0</v>
      </c>
      <c r="H38" s="125">
        <v>0</v>
      </c>
      <c r="I38" s="125">
        <v>0</v>
      </c>
      <c r="J38" s="125">
        <v>1313178.0645101296</v>
      </c>
      <c r="K38" s="125">
        <v>0</v>
      </c>
      <c r="L38" s="125">
        <v>0</v>
      </c>
      <c r="M38" s="125">
        <v>0</v>
      </c>
      <c r="N38" s="125">
        <v>0</v>
      </c>
      <c r="O38" s="125">
        <v>5718232.7700796416</v>
      </c>
    </row>
    <row r="39" spans="1:15" x14ac:dyDescent="0.2">
      <c r="A39" s="19" t="s">
        <v>43</v>
      </c>
      <c r="B39" s="122" t="s">
        <v>44</v>
      </c>
      <c r="C39" s="27">
        <v>-66750600.319825009</v>
      </c>
      <c r="D39" s="129">
        <v>-42719077.835023291</v>
      </c>
      <c r="E39" s="129">
        <v>-11845257.5513069</v>
      </c>
      <c r="F39" s="129">
        <v>0</v>
      </c>
      <c r="G39" s="129">
        <v>0</v>
      </c>
      <c r="H39" s="129">
        <v>0</v>
      </c>
      <c r="I39" s="129">
        <v>0</v>
      </c>
      <c r="J39" s="129">
        <v>-2224052.2524889158</v>
      </c>
      <c r="K39" s="129">
        <v>0</v>
      </c>
      <c r="L39" s="129">
        <v>0</v>
      </c>
      <c r="M39" s="129">
        <v>0</v>
      </c>
      <c r="N39" s="129">
        <v>0</v>
      </c>
      <c r="O39" s="129">
        <v>-9962212.6810059026</v>
      </c>
    </row>
    <row r="40" spans="1:15" ht="13.5" thickBot="1" x14ac:dyDescent="0.25">
      <c r="A40" s="19" t="s">
        <v>45</v>
      </c>
      <c r="B40" s="122" t="s">
        <v>46</v>
      </c>
      <c r="C40" s="31">
        <v>-521234.00000000006</v>
      </c>
      <c r="D40" s="131">
        <v>-339031.34334772028</v>
      </c>
      <c r="E40" s="131">
        <v>-77846.414118781729</v>
      </c>
      <c r="F40" s="131">
        <v>0</v>
      </c>
      <c r="G40" s="131">
        <v>0</v>
      </c>
      <c r="H40" s="131">
        <v>0</v>
      </c>
      <c r="I40" s="131">
        <v>0</v>
      </c>
      <c r="J40" s="131">
        <v>-19513.986409200854</v>
      </c>
      <c r="K40" s="131">
        <v>0</v>
      </c>
      <c r="L40" s="131">
        <v>0</v>
      </c>
      <c r="M40" s="131">
        <v>0</v>
      </c>
      <c r="N40" s="131">
        <v>0</v>
      </c>
      <c r="O40" s="131">
        <v>-84842.256124297157</v>
      </c>
    </row>
    <row r="41" spans="1:15" ht="13.5" thickBot="1" x14ac:dyDescent="0.25">
      <c r="A41" s="19"/>
      <c r="B41" s="22" t="s">
        <v>47</v>
      </c>
      <c r="C41" s="23">
        <v>94523670.608724967</v>
      </c>
      <c r="D41" s="24">
        <v>60089315.587869287</v>
      </c>
      <c r="E41" s="24">
        <v>17507519.653916381</v>
      </c>
      <c r="F41" s="24">
        <v>0</v>
      </c>
      <c r="G41" s="24">
        <v>0</v>
      </c>
      <c r="H41" s="24">
        <v>0</v>
      </c>
      <c r="I41" s="24">
        <v>0</v>
      </c>
      <c r="J41" s="24">
        <v>3161211.4412685693</v>
      </c>
      <c r="K41" s="24">
        <v>0</v>
      </c>
      <c r="L41" s="24">
        <v>0</v>
      </c>
      <c r="M41" s="24">
        <v>0</v>
      </c>
      <c r="N41" s="24">
        <v>0</v>
      </c>
      <c r="O41" s="24">
        <v>13765623.925670741</v>
      </c>
    </row>
    <row r="42" spans="1:15" ht="13.5" thickTop="1" x14ac:dyDescent="0.2">
      <c r="A42" s="19"/>
      <c r="B42" s="26"/>
      <c r="C42" s="2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</row>
    <row r="43" spans="1:15" x14ac:dyDescent="0.2">
      <c r="A43" s="19"/>
      <c r="B43" s="26" t="s">
        <v>48</v>
      </c>
      <c r="C43" s="25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</row>
    <row r="44" spans="1:15" x14ac:dyDescent="0.2">
      <c r="A44" s="19"/>
      <c r="B44" s="122"/>
      <c r="C44" s="25"/>
      <c r="D44" s="125"/>
      <c r="E44" s="125"/>
      <c r="F44" s="125"/>
      <c r="G44" s="125"/>
      <c r="H44" s="125"/>
      <c r="I44" s="125"/>
      <c r="J44" s="125"/>
      <c r="K44" s="125"/>
      <c r="L44" s="125"/>
      <c r="M44" s="128"/>
      <c r="N44" s="128"/>
      <c r="O44" s="128"/>
    </row>
    <row r="45" spans="1:15" x14ac:dyDescent="0.2">
      <c r="A45" s="19"/>
      <c r="B45" s="26"/>
      <c r="C45" s="25"/>
      <c r="D45" s="125"/>
      <c r="E45" s="125"/>
      <c r="F45" s="125"/>
      <c r="G45" s="125"/>
      <c r="H45" s="125"/>
      <c r="I45" s="125"/>
      <c r="J45" s="125"/>
      <c r="K45" s="125"/>
      <c r="L45" s="125"/>
      <c r="M45" s="128"/>
      <c r="N45" s="128"/>
      <c r="O45" s="128"/>
    </row>
    <row r="46" spans="1:15" x14ac:dyDescent="0.2">
      <c r="A46" s="19" t="s">
        <v>49</v>
      </c>
      <c r="B46" s="122" t="s">
        <v>50</v>
      </c>
      <c r="C46" s="25">
        <v>23068924</v>
      </c>
      <c r="D46" s="125">
        <v>12366016.656759126</v>
      </c>
      <c r="E46" s="125">
        <v>9676699.6363034118</v>
      </c>
      <c r="F46" s="125">
        <v>0</v>
      </c>
      <c r="G46" s="125">
        <v>0</v>
      </c>
      <c r="H46" s="125">
        <v>0</v>
      </c>
      <c r="I46" s="125">
        <v>0</v>
      </c>
      <c r="J46" s="125">
        <v>100839.36604569879</v>
      </c>
      <c r="K46" s="125">
        <v>0</v>
      </c>
      <c r="L46" s="125">
        <v>0</v>
      </c>
      <c r="M46" s="125">
        <v>0</v>
      </c>
      <c r="N46" s="125">
        <v>0</v>
      </c>
      <c r="O46" s="125">
        <v>925368.34089176438</v>
      </c>
    </row>
    <row r="47" spans="1:15" x14ac:dyDescent="0.2">
      <c r="A47" s="19"/>
      <c r="B47" s="122" t="s">
        <v>51</v>
      </c>
      <c r="C47" s="25">
        <v>12412678.76</v>
      </c>
      <c r="D47" s="125">
        <v>8198922.5449203448</v>
      </c>
      <c r="E47" s="125">
        <v>1759976.3013344477</v>
      </c>
      <c r="F47" s="125">
        <v>0</v>
      </c>
      <c r="G47" s="125">
        <v>0</v>
      </c>
      <c r="H47" s="125">
        <v>0</v>
      </c>
      <c r="I47" s="125">
        <v>0</v>
      </c>
      <c r="J47" s="125">
        <v>339263.51263729873</v>
      </c>
      <c r="K47" s="125">
        <v>0</v>
      </c>
      <c r="L47" s="125">
        <v>0</v>
      </c>
      <c r="M47" s="125">
        <v>0</v>
      </c>
      <c r="N47" s="125">
        <v>0</v>
      </c>
      <c r="O47" s="125">
        <v>2114516.4011079092</v>
      </c>
    </row>
    <row r="48" spans="1:15" x14ac:dyDescent="0.2">
      <c r="A48" s="19"/>
      <c r="B48" s="132" t="s">
        <v>52</v>
      </c>
      <c r="C48" s="25">
        <v>0</v>
      </c>
      <c r="D48" s="125">
        <v>0</v>
      </c>
      <c r="E48" s="125">
        <v>0</v>
      </c>
      <c r="F48" s="125">
        <v>0</v>
      </c>
      <c r="G48" s="125">
        <v>0</v>
      </c>
      <c r="H48" s="125">
        <v>0</v>
      </c>
      <c r="I48" s="125">
        <v>0</v>
      </c>
      <c r="J48" s="125">
        <v>0</v>
      </c>
      <c r="K48" s="125">
        <v>0</v>
      </c>
      <c r="L48" s="125">
        <v>0</v>
      </c>
      <c r="M48" s="125">
        <v>0</v>
      </c>
      <c r="N48" s="125">
        <v>0</v>
      </c>
      <c r="O48" s="125">
        <v>0</v>
      </c>
    </row>
    <row r="49" spans="1:15" x14ac:dyDescent="0.2">
      <c r="A49" s="19"/>
      <c r="B49" s="32" t="s">
        <v>53</v>
      </c>
      <c r="C49" s="33">
        <v>35481602.760000005</v>
      </c>
      <c r="D49" s="34">
        <v>20564939.201679472</v>
      </c>
      <c r="E49" s="34">
        <v>11436675.93763786</v>
      </c>
      <c r="F49" s="34">
        <v>0</v>
      </c>
      <c r="G49" s="34">
        <v>0</v>
      </c>
      <c r="H49" s="34">
        <v>0</v>
      </c>
      <c r="I49" s="34">
        <v>0</v>
      </c>
      <c r="J49" s="34">
        <v>440102.87868299754</v>
      </c>
      <c r="K49" s="34">
        <v>0</v>
      </c>
      <c r="L49" s="34">
        <v>0</v>
      </c>
      <c r="M49" s="34">
        <v>0</v>
      </c>
      <c r="N49" s="34">
        <v>0</v>
      </c>
      <c r="O49" s="34">
        <v>3039884.7419996737</v>
      </c>
    </row>
    <row r="50" spans="1:15" x14ac:dyDescent="0.2">
      <c r="A50" s="19"/>
      <c r="B50" s="26"/>
      <c r="C50" s="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</row>
    <row r="51" spans="1:15" x14ac:dyDescent="0.2">
      <c r="A51" s="19"/>
      <c r="B51" s="26" t="s">
        <v>54</v>
      </c>
      <c r="C51" s="25">
        <v>3548160.2760000005</v>
      </c>
      <c r="D51" s="28">
        <v>2056493.9201679472</v>
      </c>
      <c r="E51" s="28">
        <v>1143667.5937637861</v>
      </c>
      <c r="F51" s="28">
        <v>0</v>
      </c>
      <c r="G51" s="28">
        <v>0</v>
      </c>
      <c r="H51" s="28">
        <v>0</v>
      </c>
      <c r="I51" s="28">
        <v>0</v>
      </c>
      <c r="J51" s="28">
        <v>44010.287868299754</v>
      </c>
      <c r="K51" s="28">
        <v>0</v>
      </c>
      <c r="L51" s="28">
        <v>0</v>
      </c>
      <c r="M51" s="28">
        <v>0</v>
      </c>
      <c r="N51" s="28">
        <v>0</v>
      </c>
      <c r="O51" s="28">
        <v>303988.4741999674</v>
      </c>
    </row>
    <row r="52" spans="1:15" x14ac:dyDescent="0.2">
      <c r="A52" s="19"/>
      <c r="B52" s="133"/>
      <c r="C52" s="25"/>
      <c r="D52" s="125"/>
      <c r="E52" s="125"/>
      <c r="F52" s="125"/>
      <c r="G52" s="125"/>
      <c r="H52" s="125"/>
      <c r="I52" s="125"/>
      <c r="J52" s="125"/>
      <c r="K52" s="125"/>
      <c r="L52" s="125"/>
      <c r="M52" s="128"/>
      <c r="N52" s="128"/>
      <c r="O52" s="128"/>
    </row>
    <row r="53" spans="1:15" ht="13.5" thickBot="1" x14ac:dyDescent="0.25">
      <c r="A53" s="19"/>
      <c r="B53" s="22" t="s">
        <v>55</v>
      </c>
      <c r="C53" s="35">
        <v>98071830.884724975</v>
      </c>
      <c r="D53" s="36">
        <v>62145809.508037232</v>
      </c>
      <c r="E53" s="36">
        <v>18651187.247680169</v>
      </c>
      <c r="F53" s="36">
        <v>0</v>
      </c>
      <c r="G53" s="36">
        <v>0</v>
      </c>
      <c r="H53" s="36">
        <v>0</v>
      </c>
      <c r="I53" s="36">
        <v>0</v>
      </c>
      <c r="J53" s="36">
        <v>3205221.7291368693</v>
      </c>
      <c r="K53" s="36">
        <v>0</v>
      </c>
      <c r="L53" s="36">
        <v>0</v>
      </c>
      <c r="M53" s="36">
        <v>0</v>
      </c>
      <c r="N53" s="36">
        <v>0</v>
      </c>
      <c r="O53" s="36">
        <v>14069612.399870709</v>
      </c>
    </row>
    <row r="54" spans="1:15" ht="13.5" thickTop="1" x14ac:dyDescent="0.2">
      <c r="A54" s="29"/>
      <c r="B54" s="26"/>
      <c r="C54" s="258" t="s">
        <v>56</v>
      </c>
      <c r="D54" s="259"/>
      <c r="E54" s="260"/>
      <c r="F54" s="28"/>
      <c r="G54" s="28"/>
      <c r="H54" s="28"/>
      <c r="I54" s="28"/>
      <c r="J54" s="28"/>
      <c r="K54" s="28"/>
      <c r="L54" s="28"/>
      <c r="M54" s="28"/>
      <c r="N54" s="28"/>
      <c r="O54" s="28"/>
    </row>
    <row r="55" spans="1:15" x14ac:dyDescent="0.2">
      <c r="A55" s="19"/>
      <c r="B55" s="26" t="s">
        <v>57</v>
      </c>
      <c r="C55" s="25">
        <v>39228732.353889994</v>
      </c>
      <c r="D55" s="28">
        <v>24858323.803214893</v>
      </c>
      <c r="E55" s="28">
        <v>7460474.8990720678</v>
      </c>
      <c r="F55" s="28">
        <v>0</v>
      </c>
      <c r="G55" s="28">
        <v>0</v>
      </c>
      <c r="H55" s="28">
        <v>0</v>
      </c>
      <c r="I55" s="28">
        <v>0</v>
      </c>
      <c r="J55" s="28">
        <v>1282088.6916547478</v>
      </c>
      <c r="K55" s="28">
        <v>0</v>
      </c>
      <c r="L55" s="28">
        <v>0</v>
      </c>
      <c r="M55" s="28">
        <v>0</v>
      </c>
      <c r="N55" s="28">
        <v>0</v>
      </c>
      <c r="O55" s="28">
        <v>5627844.9599482836</v>
      </c>
    </row>
    <row r="56" spans="1:15" x14ac:dyDescent="0.2">
      <c r="A56" s="19"/>
      <c r="B56" s="26"/>
      <c r="C56" s="2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1:15" x14ac:dyDescent="0.2">
      <c r="A57" s="19"/>
      <c r="B57" s="26" t="s">
        <v>58</v>
      </c>
      <c r="C57" s="25">
        <v>3446937.0603157845</v>
      </c>
      <c r="D57" s="28">
        <v>4078516.6734845378</v>
      </c>
      <c r="E57" s="28">
        <v>1113697.2672508988</v>
      </c>
      <c r="F57" s="28">
        <v>0</v>
      </c>
      <c r="G57" s="28">
        <v>0</v>
      </c>
      <c r="H57" s="28">
        <v>0</v>
      </c>
      <c r="I57" s="28">
        <v>0</v>
      </c>
      <c r="J57" s="28">
        <v>-399907.70895306033</v>
      </c>
      <c r="K57" s="28">
        <v>0</v>
      </c>
      <c r="L57" s="28">
        <v>0</v>
      </c>
      <c r="M57" s="28">
        <v>0</v>
      </c>
      <c r="N57" s="28">
        <v>0</v>
      </c>
      <c r="O57" s="28">
        <v>-1345369.1714665922</v>
      </c>
    </row>
    <row r="58" spans="1:15" x14ac:dyDescent="0.2">
      <c r="A58" s="19"/>
      <c r="B58" s="26"/>
      <c r="C58" s="2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x14ac:dyDescent="0.2">
      <c r="A59" s="19"/>
      <c r="B59" s="26" t="s">
        <v>59</v>
      </c>
      <c r="C59" s="25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</row>
    <row r="60" spans="1:15" x14ac:dyDescent="0.2">
      <c r="A60" s="19"/>
      <c r="B60" s="122"/>
      <c r="C60" s="25"/>
      <c r="D60" s="125"/>
      <c r="E60" s="125"/>
      <c r="F60" s="125"/>
      <c r="G60" s="125"/>
      <c r="H60" s="125"/>
      <c r="I60" s="125"/>
      <c r="J60" s="125"/>
      <c r="K60" s="125"/>
      <c r="L60" s="125"/>
      <c r="M60" s="128"/>
      <c r="N60" s="128"/>
      <c r="O60" s="128"/>
    </row>
    <row r="61" spans="1:15" x14ac:dyDescent="0.2">
      <c r="A61" s="19"/>
      <c r="B61" s="22" t="s">
        <v>60</v>
      </c>
      <c r="C61" s="37">
        <v>3446937.0603157845</v>
      </c>
      <c r="D61" s="38">
        <v>4078516.6734845378</v>
      </c>
      <c r="E61" s="38">
        <v>1113697.2672508988</v>
      </c>
      <c r="F61" s="38">
        <v>0</v>
      </c>
      <c r="G61" s="38">
        <v>0</v>
      </c>
      <c r="H61" s="38">
        <v>0</v>
      </c>
      <c r="I61" s="38">
        <v>0</v>
      </c>
      <c r="J61" s="38">
        <v>-399907.70895306033</v>
      </c>
      <c r="K61" s="38">
        <v>0</v>
      </c>
      <c r="L61" s="38">
        <v>0</v>
      </c>
      <c r="M61" s="38">
        <v>0</v>
      </c>
      <c r="N61" s="38">
        <v>0</v>
      </c>
      <c r="O61" s="38">
        <v>-1345369.1714665922</v>
      </c>
    </row>
    <row r="62" spans="1:15" x14ac:dyDescent="0.2">
      <c r="A62" s="19"/>
      <c r="B62" s="122"/>
      <c r="C62" s="25"/>
      <c r="D62" s="125"/>
      <c r="E62" s="125"/>
      <c r="F62" s="125"/>
      <c r="G62" s="125"/>
      <c r="H62" s="125"/>
      <c r="I62" s="125"/>
      <c r="J62" s="125"/>
      <c r="K62" s="125"/>
      <c r="L62" s="125"/>
      <c r="M62" s="128"/>
      <c r="N62" s="128"/>
      <c r="O62" s="128"/>
    </row>
    <row r="63" spans="1:15" x14ac:dyDescent="0.2">
      <c r="A63" s="19"/>
      <c r="B63" s="26" t="s">
        <v>61</v>
      </c>
      <c r="C63" s="25"/>
      <c r="D63" s="125"/>
      <c r="E63" s="125"/>
      <c r="F63" s="125"/>
      <c r="G63" s="125"/>
      <c r="H63" s="125"/>
      <c r="I63" s="125"/>
      <c r="J63" s="125"/>
      <c r="K63" s="125"/>
      <c r="L63" s="125"/>
      <c r="M63" s="128"/>
      <c r="N63" s="128"/>
      <c r="O63" s="128"/>
    </row>
    <row r="64" spans="1:15" x14ac:dyDescent="0.2">
      <c r="A64" s="19"/>
      <c r="B64" s="122"/>
      <c r="C64" s="25"/>
      <c r="D64" s="125"/>
      <c r="E64" s="125"/>
      <c r="F64" s="125"/>
      <c r="G64" s="125"/>
      <c r="H64" s="125"/>
      <c r="I64" s="125"/>
      <c r="J64" s="125"/>
      <c r="K64" s="125"/>
      <c r="L64" s="125"/>
      <c r="M64" s="128"/>
      <c r="N64" s="128"/>
      <c r="O64" s="128"/>
    </row>
    <row r="65" spans="1:15" x14ac:dyDescent="0.2">
      <c r="A65" s="39"/>
      <c r="B65" s="134" t="s">
        <v>159</v>
      </c>
      <c r="C65" s="40">
        <v>1</v>
      </c>
      <c r="D65" s="135">
        <v>1.1162462557068387</v>
      </c>
      <c r="E65" s="135">
        <v>1.1172964266149357</v>
      </c>
      <c r="F65" s="135" t="s">
        <v>62</v>
      </c>
      <c r="G65" s="135" t="s">
        <v>62</v>
      </c>
      <c r="H65" s="135" t="s">
        <v>62</v>
      </c>
      <c r="I65" s="135" t="s">
        <v>62</v>
      </c>
      <c r="J65" s="135">
        <v>0.25049078250346668</v>
      </c>
      <c r="K65" s="135" t="s">
        <v>62</v>
      </c>
      <c r="L65" s="135" t="s">
        <v>62</v>
      </c>
      <c r="M65" s="136" t="s">
        <v>62</v>
      </c>
      <c r="N65" s="136" t="s">
        <v>62</v>
      </c>
      <c r="O65" s="136">
        <v>0.54963950824271746</v>
      </c>
    </row>
    <row r="66" spans="1:15" x14ac:dyDescent="0.2">
      <c r="A66" s="19"/>
      <c r="B66" s="122"/>
      <c r="C66" s="25"/>
      <c r="D66" s="125"/>
      <c r="E66" s="125"/>
      <c r="F66" s="125"/>
      <c r="G66" s="125"/>
      <c r="H66" s="125"/>
      <c r="I66" s="125"/>
      <c r="J66" s="125"/>
      <c r="K66" s="125"/>
      <c r="L66" s="125"/>
      <c r="M66" s="128"/>
      <c r="N66" s="128"/>
      <c r="O66" s="128"/>
    </row>
    <row r="67" spans="1:15" x14ac:dyDescent="0.2">
      <c r="A67" s="19"/>
      <c r="B67" s="122" t="s">
        <v>63</v>
      </c>
      <c r="C67" s="25">
        <v>-2337504.3754174663</v>
      </c>
      <c r="D67" s="125">
        <v>58568.672011243179</v>
      </c>
      <c r="E67" s="125">
        <v>18329.992972958833</v>
      </c>
      <c r="F67" s="125">
        <v>0</v>
      </c>
      <c r="G67" s="125">
        <v>0</v>
      </c>
      <c r="H67" s="125">
        <v>0</v>
      </c>
      <c r="I67" s="125">
        <v>0</v>
      </c>
      <c r="J67" s="125">
        <v>-537839.18320560479</v>
      </c>
      <c r="K67" s="125">
        <v>0</v>
      </c>
      <c r="L67" s="125">
        <v>0</v>
      </c>
      <c r="M67" s="125">
        <v>0</v>
      </c>
      <c r="N67" s="125">
        <v>0</v>
      </c>
      <c r="O67" s="125">
        <v>-1876563.8571960637</v>
      </c>
    </row>
    <row r="68" spans="1:15" x14ac:dyDescent="0.2">
      <c r="A68" s="29"/>
      <c r="B68" s="26"/>
      <c r="C68" s="247" t="s">
        <v>206</v>
      </c>
      <c r="D68" s="248"/>
      <c r="E68" s="249"/>
      <c r="F68" s="28"/>
      <c r="G68" s="28"/>
      <c r="H68" s="28"/>
      <c r="I68" s="28"/>
      <c r="J68" s="28"/>
      <c r="K68" s="28"/>
      <c r="L68" s="28"/>
      <c r="M68" s="28"/>
      <c r="N68" s="28"/>
      <c r="O68" s="28"/>
    </row>
    <row r="69" spans="1:15" x14ac:dyDescent="0.2">
      <c r="A69" s="19"/>
      <c r="B69" s="122" t="s">
        <v>160</v>
      </c>
      <c r="C69" s="25">
        <v>-2.5611370801925659E-9</v>
      </c>
      <c r="D69" s="125">
        <v>1759379.6418032907</v>
      </c>
      <c r="E69" s="125">
        <v>437742.91835695785</v>
      </c>
      <c r="F69" s="125">
        <v>0</v>
      </c>
      <c r="G69" s="125">
        <v>0</v>
      </c>
      <c r="H69" s="125">
        <v>0</v>
      </c>
      <c r="I69" s="125">
        <v>0</v>
      </c>
      <c r="J69" s="125">
        <v>-521893.72608839988</v>
      </c>
      <c r="K69" s="125">
        <v>0</v>
      </c>
      <c r="L69" s="125">
        <v>0</v>
      </c>
      <c r="M69" s="125">
        <v>0</v>
      </c>
      <c r="N69" s="125">
        <v>0</v>
      </c>
      <c r="O69" s="125">
        <v>-1675228.8340718511</v>
      </c>
    </row>
    <row r="70" spans="1:15" x14ac:dyDescent="0.2">
      <c r="A70" s="19"/>
      <c r="B70" s="122"/>
      <c r="C70" s="25"/>
      <c r="D70" s="125"/>
      <c r="E70" s="125"/>
      <c r="F70" s="125"/>
      <c r="G70" s="125"/>
      <c r="H70" s="125"/>
      <c r="I70" s="125"/>
      <c r="J70" s="125"/>
      <c r="K70" s="125"/>
      <c r="L70" s="125"/>
      <c r="M70" s="128"/>
      <c r="N70" s="128"/>
      <c r="O70" s="128"/>
    </row>
    <row r="71" spans="1:15" ht="13.5" thickBot="1" x14ac:dyDescent="0.25">
      <c r="A71" s="19"/>
      <c r="B71" s="122" t="s">
        <v>64</v>
      </c>
      <c r="C71" s="137">
        <v>8.7867663660918166E-2</v>
      </c>
      <c r="D71" s="137">
        <v>0.16407046210239923</v>
      </c>
      <c r="E71" s="137">
        <v>0.14927967486217536</v>
      </c>
      <c r="F71" s="137" t="s">
        <v>62</v>
      </c>
      <c r="G71" s="137" t="s">
        <v>62</v>
      </c>
      <c r="H71" s="137" t="s">
        <v>62</v>
      </c>
      <c r="I71" s="137" t="s">
        <v>62</v>
      </c>
      <c r="J71" s="137">
        <v>-0.31191891134841321</v>
      </c>
      <c r="K71" s="137" t="s">
        <v>62</v>
      </c>
      <c r="L71" s="137" t="s">
        <v>62</v>
      </c>
      <c r="M71" s="137" t="s">
        <v>62</v>
      </c>
      <c r="N71" s="137" t="s">
        <v>62</v>
      </c>
      <c r="O71" s="137">
        <v>-0.2390558341676412</v>
      </c>
    </row>
  </sheetData>
  <mergeCells count="6">
    <mergeCell ref="C68:E68"/>
    <mergeCell ref="A1:E1"/>
    <mergeCell ref="C5:L5"/>
    <mergeCell ref="C10:F10"/>
    <mergeCell ref="C31:E31"/>
    <mergeCell ref="C54:E54"/>
  </mergeCells>
  <conditionalFormatting sqref="C31 C54">
    <cfRule type="cellIs" dxfId="2" priority="3" stopIfTrue="1" operator="equal">
      <formula>"Error"</formula>
    </cfRule>
  </conditionalFormatting>
  <conditionalFormatting sqref="C68">
    <cfRule type="cellIs" dxfId="1" priority="2" stopIfTrue="1" operator="equal">
      <formula>"Error"</formula>
    </cfRule>
  </conditionalFormatting>
  <conditionalFormatting sqref="C10">
    <cfRule type="cellIs" dxfId="0" priority="1" stopIfTrue="1" operator="equal">
      <formula>"Error"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5"/>
  <sheetViews>
    <sheetView showGridLines="0" workbookViewId="0">
      <selection activeCell="C15" sqref="C15"/>
    </sheetView>
  </sheetViews>
  <sheetFormatPr defaultRowHeight="12.75" x14ac:dyDescent="0.2"/>
  <cols>
    <col min="1" max="1" width="2.42578125" customWidth="1"/>
    <col min="2" max="2" width="14.28515625" bestFit="1" customWidth="1"/>
    <col min="3" max="3" width="11.7109375" bestFit="1" customWidth="1"/>
    <col min="4" max="4" width="11.85546875" customWidth="1"/>
    <col min="5" max="5" width="11.42578125" customWidth="1"/>
    <col min="6" max="6" width="11" customWidth="1"/>
    <col min="7" max="7" width="11.5703125" customWidth="1"/>
    <col min="8" max="8" width="10" customWidth="1"/>
    <col min="9" max="9" width="11.28515625" bestFit="1" customWidth="1"/>
    <col min="10" max="10" width="9.7109375" customWidth="1"/>
    <col min="12" max="12" width="9.5703125" customWidth="1"/>
  </cols>
  <sheetData>
    <row r="1" spans="2:12" ht="8.25" customHeight="1" x14ac:dyDescent="0.2"/>
    <row r="2" spans="2:12" ht="15.75" x14ac:dyDescent="0.25">
      <c r="B2" s="228" t="s">
        <v>113</v>
      </c>
      <c r="C2" s="228"/>
      <c r="D2" s="228"/>
      <c r="E2" s="228"/>
      <c r="F2" s="228"/>
      <c r="G2" s="228"/>
      <c r="H2" s="228"/>
      <c r="I2" s="228"/>
      <c r="J2" s="228"/>
      <c r="K2" s="228"/>
    </row>
    <row r="3" spans="2:12" ht="8.25" customHeight="1" thickBot="1" x14ac:dyDescent="0.25"/>
    <row r="4" spans="2:12" x14ac:dyDescent="0.2">
      <c r="B4" s="261" t="s">
        <v>104</v>
      </c>
      <c r="C4" s="262"/>
      <c r="D4" s="262"/>
      <c r="E4" s="262"/>
      <c r="F4" s="262"/>
      <c r="G4" s="262"/>
      <c r="H4" s="262"/>
      <c r="I4" s="262"/>
      <c r="J4" s="262"/>
      <c r="K4" s="263"/>
    </row>
    <row r="5" spans="2:12" ht="51" x14ac:dyDescent="0.2">
      <c r="B5" s="89"/>
      <c r="C5" s="58" t="s">
        <v>98</v>
      </c>
      <c r="D5" s="58" t="s">
        <v>99</v>
      </c>
      <c r="E5" s="58" t="s">
        <v>100</v>
      </c>
      <c r="F5" s="58" t="s">
        <v>101</v>
      </c>
      <c r="G5" s="58" t="s">
        <v>106</v>
      </c>
      <c r="H5" s="58" t="s">
        <v>107</v>
      </c>
      <c r="I5" s="59" t="s">
        <v>108</v>
      </c>
      <c r="J5" s="49"/>
      <c r="K5" s="170"/>
    </row>
    <row r="6" spans="2:12" x14ac:dyDescent="0.2">
      <c r="B6" s="89" t="s">
        <v>65</v>
      </c>
      <c r="C6" s="51">
        <v>12066293</v>
      </c>
      <c r="D6" s="53">
        <f>C6/C$10</f>
        <v>0.6374815914886176</v>
      </c>
      <c r="E6" s="51">
        <v>217490</v>
      </c>
      <c r="F6" s="53">
        <f>E6/E$10</f>
        <v>0.63397627799461898</v>
      </c>
      <c r="G6" s="51">
        <f>D6*G$10</f>
        <v>12876371.457420979</v>
      </c>
      <c r="H6" s="51">
        <f>F6*H$10</f>
        <v>234623.20891280458</v>
      </c>
      <c r="I6" s="48">
        <f>G6-H6</f>
        <v>12641748.248508174</v>
      </c>
      <c r="J6" s="49"/>
      <c r="K6" s="170"/>
    </row>
    <row r="7" spans="2:12" x14ac:dyDescent="0.2">
      <c r="B7" s="89" t="s">
        <v>66</v>
      </c>
      <c r="C7" s="51">
        <v>4569290</v>
      </c>
      <c r="D7" s="53">
        <f>C7/C$10</f>
        <v>0.24140291149676418</v>
      </c>
      <c r="E7" s="51">
        <v>88133</v>
      </c>
      <c r="F7" s="53">
        <f>E7/E$10</f>
        <v>0.25690482922662999</v>
      </c>
      <c r="G7" s="51">
        <f>D7*G$10</f>
        <v>4876052.2669786895</v>
      </c>
      <c r="H7" s="51">
        <f>F7*H$10</f>
        <v>95075.853009849685</v>
      </c>
      <c r="I7" s="48">
        <f>G7-H7</f>
        <v>4780976.4139688397</v>
      </c>
      <c r="J7" s="49"/>
      <c r="K7" s="170"/>
    </row>
    <row r="8" spans="2:12" x14ac:dyDescent="0.2">
      <c r="B8" s="89" t="s">
        <v>14</v>
      </c>
      <c r="C8" s="51">
        <v>1995675</v>
      </c>
      <c r="D8" s="53">
        <f>C8/C$10</f>
        <v>0.10543470766821648</v>
      </c>
      <c r="E8" s="51">
        <v>32431</v>
      </c>
      <c r="F8" s="53">
        <f>E8/E$10</f>
        <v>9.453531045861184E-2</v>
      </c>
      <c r="G8" s="51">
        <f>D8*G$10</f>
        <v>2129655.943899971</v>
      </c>
      <c r="H8" s="51">
        <f>F8*H$10</f>
        <v>34985.816765143987</v>
      </c>
      <c r="I8" s="48">
        <f>G8-H8</f>
        <v>2094670.127134827</v>
      </c>
      <c r="J8" s="49"/>
      <c r="K8" s="170"/>
    </row>
    <row r="9" spans="2:12" x14ac:dyDescent="0.2">
      <c r="B9" s="89" t="s">
        <v>67</v>
      </c>
      <c r="C9" s="51">
        <v>296807</v>
      </c>
      <c r="D9" s="53">
        <f>C9/C$10</f>
        <v>1.5680789346401759E-2</v>
      </c>
      <c r="E9" s="51">
        <v>5003</v>
      </c>
      <c r="F9" s="53">
        <f>E9/E$10</f>
        <v>1.4583582320139218E-2</v>
      </c>
      <c r="G9" s="51">
        <f>D9*G$10</f>
        <v>316733.33170036133</v>
      </c>
      <c r="H9" s="51">
        <f>F9*H$10</f>
        <v>5397.1213122017625</v>
      </c>
      <c r="I9" s="48">
        <f>G9-H9</f>
        <v>311336.21038815955</v>
      </c>
      <c r="J9" s="49"/>
      <c r="K9" s="170"/>
    </row>
    <row r="10" spans="2:12" x14ac:dyDescent="0.2">
      <c r="B10" s="89"/>
      <c r="C10" s="48">
        <f>SUM(C6:C9)</f>
        <v>18928065</v>
      </c>
      <c r="D10" s="53">
        <f>SUM(D6:D9)</f>
        <v>1</v>
      </c>
      <c r="E10" s="48">
        <f>SUM(E6:E9)</f>
        <v>343057</v>
      </c>
      <c r="F10" s="53">
        <f>SUM(F6:F9)</f>
        <v>1</v>
      </c>
      <c r="G10" s="66">
        <v>20198813</v>
      </c>
      <c r="H10" s="66">
        <v>370082</v>
      </c>
      <c r="I10" s="48">
        <f>SUM(I6:I9)</f>
        <v>19828731</v>
      </c>
      <c r="J10" s="49"/>
      <c r="K10" s="170"/>
    </row>
    <row r="11" spans="2:12" x14ac:dyDescent="0.2">
      <c r="B11" s="267"/>
      <c r="C11" s="268"/>
      <c r="D11" s="268"/>
      <c r="E11" s="268"/>
      <c r="F11" s="268"/>
      <c r="G11" s="268"/>
      <c r="H11" s="268"/>
      <c r="I11" s="268"/>
      <c r="J11" s="268"/>
      <c r="K11" s="269"/>
    </row>
    <row r="12" spans="2:12" x14ac:dyDescent="0.2">
      <c r="B12" s="267"/>
      <c r="C12" s="268"/>
      <c r="D12" s="268"/>
      <c r="E12" s="268"/>
      <c r="F12" s="268"/>
      <c r="G12" s="268"/>
      <c r="H12" s="268"/>
      <c r="I12" s="268"/>
      <c r="J12" s="268"/>
      <c r="K12" s="269"/>
    </row>
    <row r="13" spans="2:12" x14ac:dyDescent="0.2">
      <c r="B13" s="264" t="s">
        <v>105</v>
      </c>
      <c r="C13" s="265"/>
      <c r="D13" s="265"/>
      <c r="E13" s="265"/>
      <c r="F13" s="265"/>
      <c r="G13" s="265"/>
      <c r="H13" s="265"/>
      <c r="I13" s="265"/>
      <c r="J13" s="265"/>
      <c r="K13" s="266"/>
      <c r="L13" s="57"/>
    </row>
    <row r="14" spans="2:12" ht="51" x14ac:dyDescent="0.2">
      <c r="B14" s="89"/>
      <c r="C14" s="58" t="s">
        <v>115</v>
      </c>
      <c r="D14" s="58" t="s">
        <v>102</v>
      </c>
      <c r="E14" s="60" t="s">
        <v>116</v>
      </c>
      <c r="F14" s="58" t="s">
        <v>117</v>
      </c>
      <c r="G14" s="58" t="s">
        <v>103</v>
      </c>
      <c r="H14" s="60" t="s">
        <v>118</v>
      </c>
      <c r="I14" s="61" t="s">
        <v>119</v>
      </c>
      <c r="J14" s="62" t="s">
        <v>70</v>
      </c>
      <c r="K14" s="172" t="s">
        <v>109</v>
      </c>
    </row>
    <row r="15" spans="2:12" x14ac:dyDescent="0.2">
      <c r="B15" s="89" t="s">
        <v>65</v>
      </c>
      <c r="C15" s="51">
        <f>I6</f>
        <v>12641748.248508174</v>
      </c>
      <c r="D15" s="53">
        <f>C15/C$19</f>
        <v>0.6375470144059231</v>
      </c>
      <c r="E15" s="63">
        <f>1-(E16+E17+E18)</f>
        <v>0.72757959569365926</v>
      </c>
      <c r="F15" s="51">
        <f>E15*C$19</f>
        <v>14426980.084098328</v>
      </c>
      <c r="G15" s="51">
        <f>F15-C15</f>
        <v>1785231.8355901539</v>
      </c>
      <c r="H15" s="63">
        <f>F15/C15</f>
        <v>1.1412171639947684</v>
      </c>
      <c r="I15" s="64">
        <v>1.167</v>
      </c>
      <c r="J15" s="43" t="s">
        <v>71</v>
      </c>
      <c r="K15" s="173" t="s">
        <v>86</v>
      </c>
    </row>
    <row r="16" spans="2:12" x14ac:dyDescent="0.2">
      <c r="B16" s="89" t="s">
        <v>66</v>
      </c>
      <c r="C16" s="51">
        <f>I7</f>
        <v>4780976.4139688397</v>
      </c>
      <c r="D16" s="53">
        <f>C16/C$19</f>
        <v>0.24111358482642381</v>
      </c>
      <c r="E16" s="63">
        <v>0.14418811810364002</v>
      </c>
      <c r="F16" s="51">
        <f>E16*C$19</f>
        <v>2859067.4072733079</v>
      </c>
      <c r="G16" s="51">
        <f>F16-C16</f>
        <v>-1921909.0066955318</v>
      </c>
      <c r="H16" s="63">
        <f>F16/C16</f>
        <v>0.59800910101121074</v>
      </c>
      <c r="I16" s="64">
        <v>0.39500000000000002</v>
      </c>
      <c r="J16" s="43" t="s">
        <v>72</v>
      </c>
      <c r="K16" s="174">
        <f>I16+((0.8-I16)*1/2)</f>
        <v>0.59750000000000003</v>
      </c>
    </row>
    <row r="17" spans="2:12" x14ac:dyDescent="0.2">
      <c r="B17" s="89" t="s">
        <v>14</v>
      </c>
      <c r="C17" s="51">
        <f>I8</f>
        <v>2094670.127134827</v>
      </c>
      <c r="D17" s="53">
        <f>C17/C$19</f>
        <v>0.105638133228739</v>
      </c>
      <c r="E17" s="63">
        <v>0.12148084988219474</v>
      </c>
      <c r="F17" s="51">
        <f>E17*C$19</f>
        <v>2408811.093965421</v>
      </c>
      <c r="G17" s="51">
        <f>F17-C17</f>
        <v>314140.966830594</v>
      </c>
      <c r="H17" s="63">
        <f>F17/C17</f>
        <v>1.1499715696333954</v>
      </c>
      <c r="I17" s="64">
        <v>1.4990000000000001</v>
      </c>
      <c r="J17" s="43" t="s">
        <v>71</v>
      </c>
      <c r="K17" s="173">
        <v>1.1499999999999999</v>
      </c>
    </row>
    <row r="18" spans="2:12" x14ac:dyDescent="0.2">
      <c r="B18" s="89" t="s">
        <v>67</v>
      </c>
      <c r="C18" s="51">
        <f>I9</f>
        <v>311336.21038815955</v>
      </c>
      <c r="D18" s="53">
        <f>C18/C$19</f>
        <v>1.5701267538914092E-2</v>
      </c>
      <c r="E18" s="63">
        <v>6.7514363205059469E-3</v>
      </c>
      <c r="F18" s="51">
        <f>E18*C$19</f>
        <v>133872.4146629422</v>
      </c>
      <c r="G18" s="51">
        <f>F18-C18</f>
        <v>-177463.79572521735</v>
      </c>
      <c r="H18" s="63">
        <f>F18/C18</f>
        <v>0.42999307564011358</v>
      </c>
      <c r="I18" s="64">
        <v>0.159</v>
      </c>
      <c r="J18" s="43" t="s">
        <v>73</v>
      </c>
      <c r="K18" s="174">
        <f>I18+((0.7-I18)*1/2)</f>
        <v>0.42949999999999999</v>
      </c>
    </row>
    <row r="19" spans="2:12" ht="13.5" thickBot="1" x14ac:dyDescent="0.25">
      <c r="B19" s="90"/>
      <c r="C19" s="158">
        <f>SUM(C15:C18)</f>
        <v>19828731</v>
      </c>
      <c r="D19" s="92">
        <f>SUM(D15:D18)</f>
        <v>1</v>
      </c>
      <c r="E19" s="175">
        <f>SUM(E15:E18)</f>
        <v>0.99999999999999989</v>
      </c>
      <c r="F19" s="158">
        <f>SUM(F15:F18)</f>
        <v>19828731</v>
      </c>
      <c r="G19" s="159"/>
      <c r="H19" s="176"/>
      <c r="I19" s="159"/>
      <c r="J19" s="177"/>
      <c r="K19" s="93"/>
      <c r="L19" s="56"/>
    </row>
    <row r="23" spans="2:12" x14ac:dyDescent="0.2">
      <c r="B23" s="69"/>
    </row>
    <row r="25" spans="2:12" x14ac:dyDescent="0.2">
      <c r="B25" s="69"/>
    </row>
  </sheetData>
  <mergeCells count="5">
    <mergeCell ref="B2:K2"/>
    <mergeCell ref="B4:K4"/>
    <mergeCell ref="B13:K13"/>
    <mergeCell ref="B11:K11"/>
    <mergeCell ref="B12:K12"/>
  </mergeCells>
  <phoneticPr fontId="2" type="noConversion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2"/>
  <sheetViews>
    <sheetView showGridLines="0" workbookViewId="0">
      <selection activeCell="G19" sqref="G19"/>
    </sheetView>
  </sheetViews>
  <sheetFormatPr defaultRowHeight="12.75" x14ac:dyDescent="0.2"/>
  <cols>
    <col min="1" max="1" width="2.42578125" customWidth="1"/>
    <col min="2" max="2" width="15" customWidth="1"/>
    <col min="3" max="3" width="14.140625" customWidth="1"/>
    <col min="4" max="4" width="10.42578125" bestFit="1" customWidth="1"/>
    <col min="5" max="5" width="12" customWidth="1"/>
    <col min="6" max="6" width="11.5703125" customWidth="1"/>
    <col min="7" max="7" width="10" customWidth="1"/>
    <col min="8" max="8" width="3.85546875" customWidth="1"/>
    <col min="9" max="9" width="9.7109375" customWidth="1"/>
    <col min="10" max="10" width="9.5703125" customWidth="1"/>
  </cols>
  <sheetData>
    <row r="2" spans="2:9" ht="15.75" x14ac:dyDescent="0.25">
      <c r="B2" s="270" t="s">
        <v>174</v>
      </c>
      <c r="C2" s="270"/>
      <c r="D2" s="270"/>
      <c r="E2" s="270"/>
      <c r="F2" s="270"/>
      <c r="G2" s="270"/>
      <c r="H2" s="270"/>
      <c r="I2" s="270"/>
    </row>
    <row r="3" spans="2:9" ht="6" customHeight="1" thickBot="1" x14ac:dyDescent="0.25"/>
    <row r="4" spans="2:9" x14ac:dyDescent="0.2">
      <c r="B4" s="261" t="s">
        <v>131</v>
      </c>
      <c r="C4" s="262"/>
      <c r="D4" s="262"/>
      <c r="E4" s="262"/>
      <c r="F4" s="262"/>
      <c r="G4" s="262"/>
      <c r="H4" s="262"/>
      <c r="I4" s="263"/>
    </row>
    <row r="5" spans="2:9" ht="63.75" x14ac:dyDescent="0.2">
      <c r="B5" s="97"/>
      <c r="C5" s="42" t="s">
        <v>173</v>
      </c>
      <c r="D5" s="42" t="s">
        <v>165</v>
      </c>
      <c r="E5" s="42" t="s">
        <v>166</v>
      </c>
      <c r="F5" s="42" t="s">
        <v>167</v>
      </c>
      <c r="G5" s="42" t="s">
        <v>168</v>
      </c>
      <c r="H5" s="65"/>
      <c r="I5" s="150" t="s">
        <v>172</v>
      </c>
    </row>
    <row r="6" spans="2:9" x14ac:dyDescent="0.2">
      <c r="B6" s="89" t="s">
        <v>65</v>
      </c>
      <c r="C6" s="51">
        <f>'Cost Allocation DRO'!D30</f>
        <v>15134936.012393121</v>
      </c>
      <c r="D6" s="52">
        <f>'Cost Allocation DRO'!$C$12</f>
        <v>1.1141433338983067</v>
      </c>
      <c r="E6" s="51">
        <f>'Cost Allocation DRO'!D13</f>
        <v>16601470.620292047</v>
      </c>
      <c r="F6" s="51">
        <f>'Cost Allocation DRO'!D14</f>
        <v>292845.03390436457</v>
      </c>
      <c r="G6" s="152">
        <f>(E6+F6)/C6</f>
        <v>1.1162462557068387</v>
      </c>
      <c r="H6" s="48"/>
      <c r="I6" s="151" t="s">
        <v>169</v>
      </c>
    </row>
    <row r="7" spans="2:9" x14ac:dyDescent="0.2">
      <c r="B7" s="89" t="s">
        <v>66</v>
      </c>
      <c r="C7" s="51">
        <f>'Cost Allocation DRO'!E30</f>
        <v>3731937.3743071831</v>
      </c>
      <c r="D7" s="52">
        <f>'Cost Allocation DRO'!$C$12</f>
        <v>1.1141433338983067</v>
      </c>
      <c r="E7" s="51">
        <f>'Cost Allocation DRO'!E13</f>
        <v>4093853.7451839992</v>
      </c>
      <c r="F7" s="51">
        <f>'Cost Allocation DRO'!E14</f>
        <v>75826.547480141744</v>
      </c>
      <c r="G7" s="152">
        <f t="shared" ref="G7:G9" si="0">(E7+F7)/C7</f>
        <v>1.1172964266149357</v>
      </c>
      <c r="H7" s="48"/>
      <c r="I7" s="151" t="s">
        <v>170</v>
      </c>
    </row>
    <row r="8" spans="2:9" x14ac:dyDescent="0.2">
      <c r="B8" s="89" t="s">
        <v>14</v>
      </c>
      <c r="C8" s="51">
        <f>'Cost Allocation DRO'!O30</f>
        <v>3719750.8767591882</v>
      </c>
      <c r="D8" s="52">
        <f>'Cost Allocation DRO'!$C$12</f>
        <v>1.1141433338983067</v>
      </c>
      <c r="E8" s="51">
        <f>'Cost Allocation DRO'!O13</f>
        <v>1965213.9659242125</v>
      </c>
      <c r="F8" s="51">
        <f>'Cost Allocation DRO'!O14</f>
        <v>79308.076763124598</v>
      </c>
      <c r="G8" s="152">
        <f t="shared" si="0"/>
        <v>0.54963950824271746</v>
      </c>
      <c r="H8" s="48"/>
      <c r="I8" s="151" t="s">
        <v>169</v>
      </c>
    </row>
    <row r="9" spans="2:9" x14ac:dyDescent="0.2">
      <c r="B9" s="89" t="s">
        <v>67</v>
      </c>
      <c r="C9" s="51">
        <f>'Cost Allocation DRO'!J30</f>
        <v>696313.95305797388</v>
      </c>
      <c r="D9" s="52">
        <f>'Cost Allocation DRO'!$C$12</f>
        <v>1.1141433338983067</v>
      </c>
      <c r="E9" s="51">
        <f>'Cost Allocation DRO'!J13</f>
        <v>155642.24511720496</v>
      </c>
      <c r="F9" s="51">
        <f>'Cost Allocation DRO'!J14</f>
        <v>18777.981852369074</v>
      </c>
      <c r="G9" s="152">
        <f t="shared" si="0"/>
        <v>0.25049078250346668</v>
      </c>
      <c r="H9" s="48"/>
      <c r="I9" s="151" t="s">
        <v>171</v>
      </c>
    </row>
    <row r="10" spans="2:9" ht="13.5" thickBot="1" x14ac:dyDescent="0.25">
      <c r="B10" s="90"/>
      <c r="C10" s="91">
        <f>SUM(C6:C9)</f>
        <v>23282938.216517463</v>
      </c>
      <c r="D10" s="92"/>
      <c r="E10" s="91">
        <f>SUM(E6:E9)</f>
        <v>22816180.576517463</v>
      </c>
      <c r="F10" s="91">
        <f>SUM(F6:F9)</f>
        <v>466757.64</v>
      </c>
      <c r="G10" s="149"/>
      <c r="H10" s="91"/>
      <c r="I10" s="93"/>
    </row>
    <row r="12" spans="2:9" x14ac:dyDescent="0.2">
      <c r="E12" s="154" t="s">
        <v>175</v>
      </c>
      <c r="F12" s="41" t="str">
        <f>IF(ABS(C10-E10-F10&lt;1),"YES","NO")</f>
        <v>YES</v>
      </c>
    </row>
  </sheetData>
  <mergeCells count="2">
    <mergeCell ref="B2:I2"/>
    <mergeCell ref="B4:I4"/>
  </mergeCells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"/>
  <sheetViews>
    <sheetView workbookViewId="0">
      <selection activeCell="H5" sqref="H5:H8"/>
    </sheetView>
  </sheetViews>
  <sheetFormatPr defaultRowHeight="12.75" x14ac:dyDescent="0.2"/>
  <cols>
    <col min="1" max="1" width="2.42578125" customWidth="1"/>
    <col min="2" max="2" width="15" customWidth="1"/>
    <col min="3" max="3" width="14.140625" customWidth="1"/>
    <col min="4" max="4" width="10.42578125" bestFit="1" customWidth="1"/>
    <col min="5" max="5" width="14.140625" customWidth="1"/>
    <col min="6" max="6" width="12" customWidth="1"/>
    <col min="7" max="7" width="11.5703125" customWidth="1"/>
    <col min="8" max="8" width="14.140625" customWidth="1"/>
    <col min="9" max="9" width="9.5703125" customWidth="1"/>
  </cols>
  <sheetData>
    <row r="1" spans="2:8" ht="13.5" thickBot="1" x14ac:dyDescent="0.25"/>
    <row r="2" spans="2:8" ht="15.75" customHeight="1" x14ac:dyDescent="0.2">
      <c r="B2" s="271" t="s">
        <v>183</v>
      </c>
      <c r="C2" s="272"/>
      <c r="D2" s="272"/>
      <c r="E2" s="272"/>
      <c r="F2" s="272"/>
      <c r="G2" s="272"/>
      <c r="H2" s="273"/>
    </row>
    <row r="3" spans="2:8" ht="13.5" thickBot="1" x14ac:dyDescent="0.25">
      <c r="B3" s="274"/>
      <c r="C3" s="275"/>
      <c r="D3" s="275"/>
      <c r="E3" s="275"/>
      <c r="F3" s="275"/>
      <c r="G3" s="275"/>
      <c r="H3" s="276"/>
    </row>
    <row r="4" spans="2:8" ht="89.25" x14ac:dyDescent="0.2">
      <c r="B4" s="155"/>
      <c r="C4" s="156" t="s">
        <v>173</v>
      </c>
      <c r="D4" s="156" t="s">
        <v>167</v>
      </c>
      <c r="E4" s="156" t="s">
        <v>176</v>
      </c>
      <c r="F4" s="156" t="s">
        <v>166</v>
      </c>
      <c r="G4" s="156" t="s">
        <v>177</v>
      </c>
      <c r="H4" s="157" t="s">
        <v>179</v>
      </c>
    </row>
    <row r="5" spans="2:8" x14ac:dyDescent="0.2">
      <c r="B5" s="89" t="s">
        <v>65</v>
      </c>
      <c r="C5" s="51">
        <f>'Cost Allocation DRO'!D30</f>
        <v>15134936.012393121</v>
      </c>
      <c r="D5" s="51">
        <f>'Cost Allocation DRO'!D14</f>
        <v>292845.03390436457</v>
      </c>
      <c r="E5" s="51">
        <f>C5-D5</f>
        <v>14842090.978488756</v>
      </c>
      <c r="F5" s="51">
        <f>'Cost Allocation DRO'!D13</f>
        <v>16601470.620292047</v>
      </c>
      <c r="G5" s="152">
        <f>(H5+D5)/C5</f>
        <v>1.1063099322120511</v>
      </c>
      <c r="H5" s="51">
        <v>16451085</v>
      </c>
    </row>
    <row r="6" spans="2:8" x14ac:dyDescent="0.2">
      <c r="B6" s="89" t="s">
        <v>66</v>
      </c>
      <c r="C6" s="51">
        <f>'Cost Allocation DRO'!E30</f>
        <v>3731937.3743071831</v>
      </c>
      <c r="D6" s="51">
        <f>'Cost Allocation DRO'!E14</f>
        <v>75826.547480141744</v>
      </c>
      <c r="E6" s="51">
        <f t="shared" ref="E6:E9" si="0">C6-D6</f>
        <v>3656110.8268270413</v>
      </c>
      <c r="F6" s="51">
        <f>'Cost Allocation DRO'!E13</f>
        <v>4093853.7451839992</v>
      </c>
      <c r="G6" s="152">
        <f t="shared" ref="G6:G8" si="1">(H6+D6)/C6</f>
        <v>1.1074142538308547</v>
      </c>
      <c r="H6" s="51">
        <f>H9-(H5+H7+H8)</f>
        <v>4056974.0952317268</v>
      </c>
    </row>
    <row r="7" spans="2:8" x14ac:dyDescent="0.2">
      <c r="B7" s="89" t="s">
        <v>14</v>
      </c>
      <c r="C7" s="51">
        <f>'Cost Allocation DRO'!O30</f>
        <v>3719750.8767591882</v>
      </c>
      <c r="D7" s="51">
        <f>'Cost Allocation DRO'!O14</f>
        <v>79308.076763124598</v>
      </c>
      <c r="E7" s="51">
        <f t="shared" si="0"/>
        <v>3640442.7999960636</v>
      </c>
      <c r="F7" s="51">
        <f>'Cost Allocation DRO'!O13</f>
        <v>1965213.9659242125</v>
      </c>
      <c r="G7" s="152">
        <f t="shared" si="1"/>
        <v>0.6000000000000002</v>
      </c>
      <c r="H7" s="51">
        <v>2152542.4492923892</v>
      </c>
    </row>
    <row r="8" spans="2:8" x14ac:dyDescent="0.2">
      <c r="B8" s="89" t="s">
        <v>67</v>
      </c>
      <c r="C8" s="51">
        <f>'Cost Allocation DRO'!J30</f>
        <v>696313.95305797388</v>
      </c>
      <c r="D8" s="51">
        <f>'Cost Allocation DRO'!J14</f>
        <v>18777.981852369074</v>
      </c>
      <c r="E8" s="51">
        <f t="shared" si="0"/>
        <v>677535.97120560484</v>
      </c>
      <c r="F8" s="51">
        <f>'Cost Allocation DRO'!J13</f>
        <v>155642.24511720496</v>
      </c>
      <c r="G8" s="152">
        <f t="shared" si="1"/>
        <v>0.25040000000000012</v>
      </c>
      <c r="H8" s="51">
        <v>155579.03199334769</v>
      </c>
    </row>
    <row r="9" spans="2:8" ht="13.5" thickBot="1" x14ac:dyDescent="0.25">
      <c r="B9" s="90"/>
      <c r="C9" s="91">
        <f>SUM(C5:C8)</f>
        <v>23282938.216517463</v>
      </c>
      <c r="D9" s="91">
        <f>SUM(D5:D8)</f>
        <v>466757.64</v>
      </c>
      <c r="E9" s="158">
        <f t="shared" si="0"/>
        <v>22816180.576517463</v>
      </c>
      <c r="F9" s="91">
        <f>SUM(F5:F8)</f>
        <v>22816180.576517463</v>
      </c>
      <c r="G9" s="159"/>
      <c r="H9" s="91">
        <v>22816180.576517463</v>
      </c>
    </row>
    <row r="11" spans="2:8" x14ac:dyDescent="0.2">
      <c r="F11" s="154"/>
      <c r="G11" s="153" t="s">
        <v>178</v>
      </c>
      <c r="H11" s="41" t="str">
        <f>IF(H9-SUM(H5:H8)&lt;1,"YES","NO")</f>
        <v>YES</v>
      </c>
    </row>
  </sheetData>
  <mergeCells count="1">
    <mergeCell ref="B2:H3"/>
  </mergeCells>
  <pageMargins left="0.7" right="0.7" top="0.75" bottom="0.75" header="0.3" footer="0.3"/>
  <pageSetup scale="96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6"/>
  <sheetViews>
    <sheetView showGridLines="0" workbookViewId="0">
      <selection activeCell="M22" sqref="M22:M23"/>
    </sheetView>
  </sheetViews>
  <sheetFormatPr defaultRowHeight="12.75" x14ac:dyDescent="0.2"/>
  <cols>
    <col min="1" max="1" width="3.7109375" customWidth="1"/>
    <col min="2" max="2" width="16.42578125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8" width="10.140625" bestFit="1" customWidth="1"/>
    <col min="9" max="9" width="9.28515625" bestFit="1" customWidth="1"/>
    <col min="10" max="10" width="8.7109375" bestFit="1" customWidth="1"/>
    <col min="11" max="11" width="10.28515625" bestFit="1" customWidth="1"/>
    <col min="12" max="13" width="11.28515625" bestFit="1" customWidth="1"/>
    <col min="14" max="14" width="14.140625" bestFit="1" customWidth="1"/>
  </cols>
  <sheetData>
    <row r="1" spans="2:15" ht="13.5" thickBot="1" x14ac:dyDescent="0.25"/>
    <row r="2" spans="2:15" ht="15.75" x14ac:dyDescent="0.25">
      <c r="B2" s="234" t="s">
        <v>132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6"/>
    </row>
    <row r="3" spans="2:15" ht="15.75" x14ac:dyDescent="0.25">
      <c r="B3" s="277" t="s">
        <v>120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9"/>
    </row>
    <row r="4" spans="2:15" x14ac:dyDescent="0.2">
      <c r="B4" s="161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62"/>
    </row>
    <row r="5" spans="2:15" x14ac:dyDescent="0.2">
      <c r="B5" s="264" t="s">
        <v>122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6"/>
    </row>
    <row r="6" spans="2:15" x14ac:dyDescent="0.2">
      <c r="B6" s="280" t="s">
        <v>74</v>
      </c>
      <c r="C6" s="281" t="s">
        <v>75</v>
      </c>
      <c r="D6" s="282" t="s">
        <v>76</v>
      </c>
      <c r="E6" s="265" t="s">
        <v>77</v>
      </c>
      <c r="F6" s="265"/>
      <c r="G6" s="265" t="s">
        <v>87</v>
      </c>
      <c r="H6" s="265"/>
      <c r="I6" s="265" t="s">
        <v>85</v>
      </c>
      <c r="J6" s="265"/>
      <c r="K6" s="265" t="s">
        <v>78</v>
      </c>
      <c r="L6" s="265"/>
      <c r="M6" s="265"/>
      <c r="N6" s="266"/>
    </row>
    <row r="7" spans="2:15" ht="38.25" x14ac:dyDescent="0.2">
      <c r="B7" s="280"/>
      <c r="C7" s="281"/>
      <c r="D7" s="282"/>
      <c r="E7" s="111" t="s">
        <v>69</v>
      </c>
      <c r="F7" s="111" t="s">
        <v>68</v>
      </c>
      <c r="G7" s="42" t="s">
        <v>83</v>
      </c>
      <c r="H7" s="42" t="s">
        <v>84</v>
      </c>
      <c r="I7" s="42" t="s">
        <v>79</v>
      </c>
      <c r="J7" s="42" t="s">
        <v>80</v>
      </c>
      <c r="K7" s="42" t="s">
        <v>81</v>
      </c>
      <c r="L7" s="42" t="s">
        <v>82</v>
      </c>
      <c r="M7" s="42" t="s">
        <v>18</v>
      </c>
      <c r="N7" s="163" t="s">
        <v>181</v>
      </c>
    </row>
    <row r="8" spans="2:15" x14ac:dyDescent="0.2">
      <c r="B8" s="97" t="s">
        <v>65</v>
      </c>
      <c r="C8" s="43" t="s">
        <v>69</v>
      </c>
      <c r="D8" s="44">
        <v>8039</v>
      </c>
      <c r="E8" s="51">
        <v>106119297</v>
      </c>
      <c r="F8" s="51"/>
      <c r="G8" s="53">
        <v>0.13646721756898086</v>
      </c>
      <c r="H8" s="53">
        <v>0.86353278243101916</v>
      </c>
      <c r="I8" s="54">
        <v>20.956112164144972</v>
      </c>
      <c r="J8" s="52">
        <v>0.1205452542502279</v>
      </c>
      <c r="K8" s="51">
        <v>2021594.2282507373</v>
      </c>
      <c r="L8" s="51">
        <v>12792177.637720447</v>
      </c>
      <c r="M8" s="48">
        <v>14813771.865971185</v>
      </c>
      <c r="N8" s="165">
        <f>(D8*I8*12+E8*J8+F8*J8)-M8</f>
        <v>0</v>
      </c>
    </row>
    <row r="9" spans="2:15" x14ac:dyDescent="0.2">
      <c r="B9" s="97" t="s">
        <v>66</v>
      </c>
      <c r="C9" s="43" t="s">
        <v>68</v>
      </c>
      <c r="D9" s="44">
        <v>48</v>
      </c>
      <c r="E9" s="51"/>
      <c r="F9" s="51">
        <v>151952</v>
      </c>
      <c r="G9" s="53">
        <v>0.1200968956263495</v>
      </c>
      <c r="H9" s="53">
        <v>0.87990310437365049</v>
      </c>
      <c r="I9" s="54">
        <v>612.10216090033919</v>
      </c>
      <c r="J9" s="52">
        <v>16.999769932833534</v>
      </c>
      <c r="K9" s="51">
        <v>352570.84467859537</v>
      </c>
      <c r="L9" s="51">
        <v>2583149.0408339212</v>
      </c>
      <c r="M9" s="48">
        <v>2935719.8855125164</v>
      </c>
      <c r="N9" s="165">
        <f t="shared" ref="N9:N11" si="0">(D9*I9*12+E9*J9+F9*J9)-M9</f>
        <v>0</v>
      </c>
    </row>
    <row r="10" spans="2:15" x14ac:dyDescent="0.2">
      <c r="B10" s="97" t="s">
        <v>14</v>
      </c>
      <c r="C10" s="43" t="s">
        <v>69</v>
      </c>
      <c r="D10" s="44">
        <v>3660</v>
      </c>
      <c r="E10" s="51">
        <v>12622297</v>
      </c>
      <c r="F10" s="51"/>
      <c r="G10" s="53">
        <v>0.43756357758419168</v>
      </c>
      <c r="H10" s="53">
        <v>0.56243642241580827</v>
      </c>
      <c r="I10" s="54">
        <v>24.64176410025285</v>
      </c>
      <c r="J10" s="52">
        <v>0.11021177701734912</v>
      </c>
      <c r="K10" s="51">
        <v>1082266.2792831052</v>
      </c>
      <c r="L10" s="51">
        <v>1391125.7824107548</v>
      </c>
      <c r="M10" s="48">
        <v>2473392.0616938602</v>
      </c>
      <c r="N10" s="165">
        <f t="shared" si="0"/>
        <v>0</v>
      </c>
    </row>
    <row r="11" spans="2:15" x14ac:dyDescent="0.2">
      <c r="B11" s="97" t="s">
        <v>67</v>
      </c>
      <c r="C11" s="43" t="s">
        <v>69</v>
      </c>
      <c r="D11" s="44">
        <v>1052</v>
      </c>
      <c r="E11" s="51">
        <v>791996</v>
      </c>
      <c r="F11" s="51"/>
      <c r="G11" s="53">
        <v>0</v>
      </c>
      <c r="H11" s="53">
        <v>1</v>
      </c>
      <c r="I11" s="54">
        <v>0</v>
      </c>
      <c r="J11" s="52">
        <v>0.17356347172735587</v>
      </c>
      <c r="K11" s="51">
        <v>0</v>
      </c>
      <c r="L11" s="51">
        <v>137461.57535417893</v>
      </c>
      <c r="M11" s="48">
        <v>137461.57535417893</v>
      </c>
      <c r="N11" s="165">
        <f t="shared" si="0"/>
        <v>0</v>
      </c>
    </row>
    <row r="12" spans="2:15" ht="13.5" thickBot="1" x14ac:dyDescent="0.25">
      <c r="B12" s="90"/>
      <c r="C12" s="159"/>
      <c r="D12" s="159"/>
      <c r="E12" s="159"/>
      <c r="F12" s="159"/>
      <c r="G12" s="159"/>
      <c r="H12" s="159"/>
      <c r="I12" s="159"/>
      <c r="J12" s="159"/>
      <c r="K12" s="164">
        <v>3456431.3522124374</v>
      </c>
      <c r="L12" s="164">
        <v>16903914.036319301</v>
      </c>
      <c r="M12" s="164">
        <v>20360345.388531741</v>
      </c>
      <c r="N12" s="93"/>
    </row>
    <row r="13" spans="2:15" x14ac:dyDescent="0.2"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</row>
    <row r="14" spans="2:15" ht="13.5" thickBot="1" x14ac:dyDescent="0.25"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2:15" ht="31.5" customHeight="1" x14ac:dyDescent="0.25">
      <c r="B15" s="283" t="s">
        <v>185</v>
      </c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5"/>
      <c r="O15" s="160"/>
    </row>
    <row r="16" spans="2:15" ht="15.75" x14ac:dyDescent="0.25">
      <c r="B16" s="286" t="s">
        <v>182</v>
      </c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8"/>
      <c r="O16" s="56"/>
    </row>
    <row r="17" spans="2:15" x14ac:dyDescent="0.2">
      <c r="B17" s="264" t="s">
        <v>180</v>
      </c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6"/>
      <c r="O17" s="57"/>
    </row>
    <row r="18" spans="2:15" x14ac:dyDescent="0.2">
      <c r="B18" s="280" t="s">
        <v>74</v>
      </c>
      <c r="C18" s="281" t="s">
        <v>75</v>
      </c>
      <c r="D18" s="282" t="s">
        <v>76</v>
      </c>
      <c r="E18" s="265" t="s">
        <v>77</v>
      </c>
      <c r="F18" s="265"/>
      <c r="G18" s="265" t="s">
        <v>87</v>
      </c>
      <c r="H18" s="265"/>
      <c r="I18" s="265" t="s">
        <v>85</v>
      </c>
      <c r="J18" s="265"/>
      <c r="K18" s="265" t="s">
        <v>78</v>
      </c>
      <c r="L18" s="265"/>
      <c r="M18" s="265"/>
      <c r="N18" s="266"/>
      <c r="O18" s="56"/>
    </row>
    <row r="19" spans="2:15" ht="38.25" x14ac:dyDescent="0.2">
      <c r="B19" s="280"/>
      <c r="C19" s="281"/>
      <c r="D19" s="282"/>
      <c r="E19" s="111" t="s">
        <v>69</v>
      </c>
      <c r="F19" s="111" t="s">
        <v>68</v>
      </c>
      <c r="G19" s="42" t="s">
        <v>83</v>
      </c>
      <c r="H19" s="42" t="s">
        <v>84</v>
      </c>
      <c r="I19" s="42" t="s">
        <v>79</v>
      </c>
      <c r="J19" s="42" t="s">
        <v>80</v>
      </c>
      <c r="K19" s="42" t="s">
        <v>81</v>
      </c>
      <c r="L19" s="42" t="s">
        <v>82</v>
      </c>
      <c r="M19" s="42" t="s">
        <v>18</v>
      </c>
      <c r="N19" s="163" t="s">
        <v>181</v>
      </c>
      <c r="O19" s="56"/>
    </row>
    <row r="20" spans="2:15" x14ac:dyDescent="0.2">
      <c r="B20" s="97" t="s">
        <v>65</v>
      </c>
      <c r="C20" s="43" t="s">
        <v>69</v>
      </c>
      <c r="D20" s="44">
        <f>ROUND((Forecast!H6+Forecast!I6)/2,0)</f>
        <v>8496</v>
      </c>
      <c r="E20" s="51">
        <f>Forecast!I14</f>
        <v>105791701</v>
      </c>
      <c r="F20" s="51"/>
      <c r="G20" s="53">
        <v>0.13646721756898086</v>
      </c>
      <c r="H20" s="53">
        <f>1-G20</f>
        <v>0.86353278243101916</v>
      </c>
      <c r="I20" s="54">
        <f>K20/(D20*12)</f>
        <v>22.020497841541097</v>
      </c>
      <c r="J20" s="52">
        <f>L20/E20</f>
        <v>0.13428322892794023</v>
      </c>
      <c r="K20" s="51">
        <f>G20*M20</f>
        <v>2245033.7959407978</v>
      </c>
      <c r="L20" s="51">
        <f>H20*M20</f>
        <v>14206051.204059202</v>
      </c>
      <c r="M20" s="48">
        <f>'2015 Cost Allocation Design'!H5</f>
        <v>16451085</v>
      </c>
      <c r="N20" s="165">
        <f>(D20*I20*12+E20*J20+F20*J20)-M20</f>
        <v>0</v>
      </c>
      <c r="O20" s="56"/>
    </row>
    <row r="21" spans="2:15" x14ac:dyDescent="0.2">
      <c r="B21" s="97" t="s">
        <v>66</v>
      </c>
      <c r="C21" s="43" t="s">
        <v>68</v>
      </c>
      <c r="D21" s="44">
        <f>ROUND((Forecast!H8+Forecast!I8)/2,0)</f>
        <v>50</v>
      </c>
      <c r="E21" s="51"/>
      <c r="F21" s="51">
        <f>Forecast!I24</f>
        <v>198901</v>
      </c>
      <c r="G21" s="53">
        <v>0.1200968956263495</v>
      </c>
      <c r="H21" s="53">
        <f t="shared" ref="H21:H23" si="1">1-G21</f>
        <v>0.87990310437365049</v>
      </c>
      <c r="I21" s="54">
        <f t="shared" ref="I21:I23" si="2">K21/(D21*12)</f>
        <v>812.04999078974731</v>
      </c>
      <c r="J21" s="52">
        <f>L21/F21</f>
        <v>17.947341143372221</v>
      </c>
      <c r="K21" s="51">
        <f t="shared" ref="K21:K23" si="3">G21*M21</f>
        <v>487229.99447384838</v>
      </c>
      <c r="L21" s="51">
        <f t="shared" ref="L21:L23" si="4">H21*M21</f>
        <v>3569744.1007578783</v>
      </c>
      <c r="M21" s="48">
        <f>'2015 Cost Allocation Design'!H6</f>
        <v>4056974.0952317268</v>
      </c>
      <c r="N21" s="165">
        <f t="shared" ref="N21:N23" si="5">(D21*I21*12+E21*J21+F21*J21)-M21</f>
        <v>0</v>
      </c>
      <c r="O21" s="56"/>
    </row>
    <row r="22" spans="2:15" x14ac:dyDescent="0.2">
      <c r="B22" s="97" t="s">
        <v>14</v>
      </c>
      <c r="C22" s="43" t="s">
        <v>69</v>
      </c>
      <c r="D22" s="44">
        <f>ROUND((Forecast!H7+Forecast!I7)/2,0)</f>
        <v>3138</v>
      </c>
      <c r="E22" s="51">
        <f>Forecast!I15</f>
        <v>7731414</v>
      </c>
      <c r="F22" s="51"/>
      <c r="G22" s="53">
        <v>0.43756357758419168</v>
      </c>
      <c r="H22" s="53">
        <f t="shared" si="1"/>
        <v>0.56243642241580827</v>
      </c>
      <c r="I22" s="54">
        <f t="shared" si="2"/>
        <v>25.012592283147875</v>
      </c>
      <c r="J22" s="52">
        <f t="shared" ref="J22:J23" si="6">L22/E22</f>
        <v>0.15659079623444982</v>
      </c>
      <c r="K22" s="51">
        <f t="shared" si="3"/>
        <v>941874.17501421634</v>
      </c>
      <c r="L22" s="51">
        <f t="shared" si="4"/>
        <v>1210668.2742781728</v>
      </c>
      <c r="M22" s="48">
        <f>'2015 Cost Allocation Design'!H7</f>
        <v>2152542.4492923892</v>
      </c>
      <c r="N22" s="165">
        <f t="shared" si="5"/>
        <v>0</v>
      </c>
      <c r="O22" s="56"/>
    </row>
    <row r="23" spans="2:15" x14ac:dyDescent="0.2">
      <c r="B23" s="97" t="s">
        <v>67</v>
      </c>
      <c r="C23" s="43" t="s">
        <v>69</v>
      </c>
      <c r="D23" s="44">
        <f>ROUND((Forecast!H9+Forecast!I9)/2,0)</f>
        <v>1018</v>
      </c>
      <c r="E23" s="51">
        <f>Forecast!I17</f>
        <v>804705</v>
      </c>
      <c r="F23" s="51"/>
      <c r="G23" s="53">
        <v>0</v>
      </c>
      <c r="H23" s="53">
        <f t="shared" si="1"/>
        <v>1</v>
      </c>
      <c r="I23" s="54">
        <f t="shared" si="2"/>
        <v>0</v>
      </c>
      <c r="J23" s="52">
        <f t="shared" si="6"/>
        <v>0.19333672835802895</v>
      </c>
      <c r="K23" s="51">
        <f t="shared" si="3"/>
        <v>0</v>
      </c>
      <c r="L23" s="51">
        <f t="shared" si="4"/>
        <v>155579.03199334769</v>
      </c>
      <c r="M23" s="48">
        <f>'2015 Cost Allocation Design'!H8</f>
        <v>155579.03199334769</v>
      </c>
      <c r="N23" s="165">
        <f t="shared" si="5"/>
        <v>0</v>
      </c>
      <c r="O23" s="56"/>
    </row>
    <row r="24" spans="2:15" ht="13.5" thickBot="1" x14ac:dyDescent="0.25">
      <c r="B24" s="90"/>
      <c r="C24" s="159"/>
      <c r="D24" s="159"/>
      <c r="E24" s="159"/>
      <c r="F24" s="159"/>
      <c r="G24" s="159"/>
      <c r="H24" s="159"/>
      <c r="I24" s="159"/>
      <c r="J24" s="159"/>
      <c r="K24" s="164">
        <f>SUM(K20:K23)</f>
        <v>3674137.9654288627</v>
      </c>
      <c r="L24" s="164">
        <f>SUM(L20:L23)</f>
        <v>19142042.6110886</v>
      </c>
      <c r="M24" s="164">
        <f>SUM(M20:M23)</f>
        <v>22816180.576517463</v>
      </c>
      <c r="N24" s="166">
        <f>SUM(N20:N23)</f>
        <v>0</v>
      </c>
      <c r="O24" s="56"/>
    </row>
    <row r="26" spans="2:15" x14ac:dyDescent="0.2">
      <c r="L26" s="69" t="s">
        <v>175</v>
      </c>
      <c r="M26" s="41" t="str">
        <f>IF(ABS(M24-L24-K24)&lt;1,"YES","NO")</f>
        <v>YES</v>
      </c>
    </row>
  </sheetData>
  <mergeCells count="20">
    <mergeCell ref="I18:J18"/>
    <mergeCell ref="B15:N15"/>
    <mergeCell ref="K18:N18"/>
    <mergeCell ref="B17:N17"/>
    <mergeCell ref="B16:N16"/>
    <mergeCell ref="B18:B19"/>
    <mergeCell ref="C18:C19"/>
    <mergeCell ref="D18:D19"/>
    <mergeCell ref="E18:F18"/>
    <mergeCell ref="G18:H18"/>
    <mergeCell ref="I6:J6"/>
    <mergeCell ref="B5:N5"/>
    <mergeCell ref="B2:N2"/>
    <mergeCell ref="B3:N3"/>
    <mergeCell ref="K6:N6"/>
    <mergeCell ref="B6:B7"/>
    <mergeCell ref="C6:C7"/>
    <mergeCell ref="D6:D7"/>
    <mergeCell ref="E6:F6"/>
    <mergeCell ref="G6:H6"/>
  </mergeCells>
  <phoneticPr fontId="2" type="noConversion"/>
  <pageMargins left="0.75" right="0.75" top="1" bottom="1" header="0.5" footer="0.5"/>
  <pageSetup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3"/>
  <sheetViews>
    <sheetView showGridLines="0" workbookViewId="0">
      <selection activeCell="E27" sqref="E27"/>
    </sheetView>
  </sheetViews>
  <sheetFormatPr defaultRowHeight="12.75" x14ac:dyDescent="0.2"/>
  <cols>
    <col min="1" max="1" width="3.42578125" customWidth="1"/>
    <col min="2" max="2" width="15.28515625" bestFit="1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7" width="10.140625" bestFit="1" customWidth="1"/>
    <col min="8" max="8" width="12.28515625" bestFit="1" customWidth="1"/>
    <col min="9" max="9" width="9.28515625" bestFit="1" customWidth="1"/>
    <col min="10" max="10" width="11.28515625" bestFit="1" customWidth="1"/>
    <col min="11" max="11" width="10.28515625" bestFit="1" customWidth="1"/>
    <col min="12" max="13" width="12.28515625" bestFit="1" customWidth="1"/>
  </cols>
  <sheetData>
    <row r="2" spans="2:13" ht="15.75" x14ac:dyDescent="0.25">
      <c r="B2" s="228" t="s">
        <v>187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2:13" ht="13.5" thickBot="1" x14ac:dyDescent="0.25"/>
    <row r="4" spans="2:13" x14ac:dyDescent="0.2">
      <c r="B4" s="261" t="s">
        <v>186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3"/>
    </row>
    <row r="5" spans="2:13" x14ac:dyDescent="0.2">
      <c r="B5" s="280" t="s">
        <v>74</v>
      </c>
      <c r="C5" s="281" t="s">
        <v>75</v>
      </c>
      <c r="D5" s="294" t="s">
        <v>76</v>
      </c>
      <c r="E5" s="265" t="s">
        <v>77</v>
      </c>
      <c r="F5" s="265"/>
      <c r="G5" s="265" t="s">
        <v>87</v>
      </c>
      <c r="H5" s="265"/>
      <c r="I5" s="265" t="s">
        <v>85</v>
      </c>
      <c r="J5" s="265"/>
      <c r="K5" s="265" t="s">
        <v>78</v>
      </c>
      <c r="L5" s="265"/>
      <c r="M5" s="266"/>
    </row>
    <row r="6" spans="2:13" ht="38.25" x14ac:dyDescent="0.2">
      <c r="B6" s="280"/>
      <c r="C6" s="281"/>
      <c r="D6" s="295"/>
      <c r="E6" s="171" t="s">
        <v>69</v>
      </c>
      <c r="F6" s="171" t="s">
        <v>68</v>
      </c>
      <c r="G6" s="42" t="s">
        <v>83</v>
      </c>
      <c r="H6" s="42" t="s">
        <v>84</v>
      </c>
      <c r="I6" s="42" t="s">
        <v>79</v>
      </c>
      <c r="J6" s="42" t="s">
        <v>80</v>
      </c>
      <c r="K6" s="42" t="s">
        <v>81</v>
      </c>
      <c r="L6" s="42" t="s">
        <v>82</v>
      </c>
      <c r="M6" s="150" t="s">
        <v>18</v>
      </c>
    </row>
    <row r="7" spans="2:13" x14ac:dyDescent="0.2">
      <c r="B7" s="97" t="s">
        <v>65</v>
      </c>
      <c r="C7" s="43" t="s">
        <v>69</v>
      </c>
      <c r="D7" s="44">
        <f>'Allocated Revenues'!D20</f>
        <v>8496</v>
      </c>
      <c r="E7" s="51">
        <f>'Allocated Revenues'!E20</f>
        <v>105791701</v>
      </c>
      <c r="F7" s="51"/>
      <c r="G7" s="53">
        <f>'Allocated Revenues'!G20</f>
        <v>0.13646721756898086</v>
      </c>
      <c r="H7" s="53">
        <f>'Allocated Revenues'!H20</f>
        <v>0.86353278243101916</v>
      </c>
      <c r="I7" s="54">
        <f>'Allocated Revenues'!I20</f>
        <v>22.020497841541097</v>
      </c>
      <c r="J7" s="52">
        <f>'Allocated Revenues'!J20</f>
        <v>0.13428322892794023</v>
      </c>
      <c r="K7" s="51">
        <f>'Allocated Revenues'!K20</f>
        <v>2245033.7959407978</v>
      </c>
      <c r="L7" s="51">
        <f>'Allocated Revenues'!L20</f>
        <v>14206051.204059202</v>
      </c>
      <c r="M7" s="165">
        <f>'Allocated Revenues'!M20</f>
        <v>16451085</v>
      </c>
    </row>
    <row r="8" spans="2:13" x14ac:dyDescent="0.2">
      <c r="B8" s="97" t="s">
        <v>66</v>
      </c>
      <c r="C8" s="43" t="s">
        <v>68</v>
      </c>
      <c r="D8" s="44">
        <f>'Allocated Revenues'!D21</f>
        <v>50</v>
      </c>
      <c r="E8" s="51"/>
      <c r="F8" s="51">
        <f>'Allocated Revenues'!F21</f>
        <v>198901</v>
      </c>
      <c r="G8" s="53">
        <f>'Allocated Revenues'!G21</f>
        <v>0.1200968956263495</v>
      </c>
      <c r="H8" s="53">
        <f>'Allocated Revenues'!H21</f>
        <v>0.87990310437365049</v>
      </c>
      <c r="I8" s="54">
        <f>'Allocated Revenues'!I21</f>
        <v>812.04999078974731</v>
      </c>
      <c r="J8" s="52">
        <f>'Allocated Revenues'!J21</f>
        <v>17.947341143372221</v>
      </c>
      <c r="K8" s="51">
        <f>'Allocated Revenues'!K21</f>
        <v>487229.99447384838</v>
      </c>
      <c r="L8" s="51">
        <f>'Allocated Revenues'!L21</f>
        <v>3569744.1007578783</v>
      </c>
      <c r="M8" s="165">
        <f>'Allocated Revenues'!M21</f>
        <v>4056974.0952317268</v>
      </c>
    </row>
    <row r="9" spans="2:13" ht="6.75" customHeight="1" x14ac:dyDescent="0.2">
      <c r="B9" s="97"/>
      <c r="C9" s="43"/>
      <c r="D9" s="44"/>
      <c r="E9" s="51"/>
      <c r="F9" s="51"/>
      <c r="G9" s="53"/>
      <c r="H9" s="53"/>
      <c r="I9" s="54"/>
      <c r="J9" s="52"/>
      <c r="K9" s="51"/>
      <c r="L9" s="51"/>
      <c r="M9" s="165"/>
    </row>
    <row r="10" spans="2:13" x14ac:dyDescent="0.2">
      <c r="B10" s="89"/>
      <c r="C10" s="49"/>
      <c r="D10" s="49"/>
      <c r="E10" s="49"/>
      <c r="F10" s="49"/>
      <c r="G10" s="49"/>
      <c r="H10" s="49"/>
      <c r="I10" s="49"/>
      <c r="J10" s="49"/>
      <c r="K10" s="50">
        <f>SUM(K7:K8)</f>
        <v>2732263.7904146463</v>
      </c>
      <c r="L10" s="50">
        <f>SUM(L7:L8)</f>
        <v>17775795.30481708</v>
      </c>
      <c r="M10" s="178">
        <f>SUM(M7:M8)</f>
        <v>20508059.095231727</v>
      </c>
    </row>
    <row r="11" spans="2:13" x14ac:dyDescent="0.2">
      <c r="B11" s="267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9"/>
    </row>
    <row r="12" spans="2:13" x14ac:dyDescent="0.2">
      <c r="B12" s="264" t="s">
        <v>188</v>
      </c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6"/>
    </row>
    <row r="13" spans="2:13" ht="12.75" customHeight="1" x14ac:dyDescent="0.2">
      <c r="B13" s="264" t="s">
        <v>95</v>
      </c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6"/>
    </row>
    <row r="14" spans="2:13" x14ac:dyDescent="0.2">
      <c r="B14" s="291" t="s">
        <v>192</v>
      </c>
      <c r="C14" s="292"/>
      <c r="D14" s="292"/>
      <c r="E14" s="292"/>
      <c r="F14" s="292"/>
      <c r="G14" s="292"/>
      <c r="H14" s="292"/>
      <c r="I14" s="292"/>
      <c r="J14" s="292"/>
      <c r="K14" s="292"/>
      <c r="L14" s="293"/>
      <c r="M14" s="179">
        <f>Forecast!I29</f>
        <v>7.9000000000000008E-3</v>
      </c>
    </row>
    <row r="15" spans="2:13" x14ac:dyDescent="0.2">
      <c r="B15" s="280" t="s">
        <v>74</v>
      </c>
      <c r="C15" s="281" t="s">
        <v>75</v>
      </c>
      <c r="D15" s="294" t="s">
        <v>76</v>
      </c>
      <c r="E15" s="265" t="s">
        <v>77</v>
      </c>
      <c r="F15" s="265"/>
      <c r="G15" s="265" t="s">
        <v>87</v>
      </c>
      <c r="H15" s="265"/>
      <c r="I15" s="265" t="s">
        <v>85</v>
      </c>
      <c r="J15" s="265"/>
      <c r="K15" s="265" t="s">
        <v>78</v>
      </c>
      <c r="L15" s="265"/>
      <c r="M15" s="266"/>
    </row>
    <row r="16" spans="2:13" ht="38.25" x14ac:dyDescent="0.2">
      <c r="B16" s="280"/>
      <c r="C16" s="281"/>
      <c r="D16" s="295"/>
      <c r="E16" s="171" t="s">
        <v>69</v>
      </c>
      <c r="F16" s="171" t="s">
        <v>68</v>
      </c>
      <c r="G16" s="42" t="s">
        <v>83</v>
      </c>
      <c r="H16" s="42" t="s">
        <v>84</v>
      </c>
      <c r="I16" s="42" t="s">
        <v>79</v>
      </c>
      <c r="J16" s="42" t="s">
        <v>80</v>
      </c>
      <c r="K16" s="42" t="s">
        <v>81</v>
      </c>
      <c r="L16" s="42" t="s">
        <v>82</v>
      </c>
      <c r="M16" s="150" t="s">
        <v>18</v>
      </c>
    </row>
    <row r="17" spans="2:13" x14ac:dyDescent="0.2">
      <c r="B17" s="97" t="s">
        <v>65</v>
      </c>
      <c r="C17" s="43" t="s">
        <v>69</v>
      </c>
      <c r="D17" s="44">
        <f>D7</f>
        <v>8496</v>
      </c>
      <c r="E17" s="51">
        <f>E7</f>
        <v>105791701</v>
      </c>
      <c r="F17" s="51"/>
      <c r="G17" s="53">
        <f>K17/M17</f>
        <v>0.40714429134263774</v>
      </c>
      <c r="H17" s="53">
        <f>L17/M17</f>
        <v>0.59285570865736215</v>
      </c>
      <c r="I17" s="54">
        <f>'Tariff Sheet'!F9*(1+M14)</f>
        <v>23.342964000000002</v>
      </c>
      <c r="J17" s="52">
        <f>'Tariff Sheet'!F10*(1+M14)</f>
        <v>3.2756750000000001E-2</v>
      </c>
      <c r="K17" s="51">
        <f>D17*I17*12</f>
        <v>2379861.8657280002</v>
      </c>
      <c r="L17" s="51">
        <f>J17*E17</f>
        <v>3465392.3017317499</v>
      </c>
      <c r="M17" s="165">
        <f>K17+L17</f>
        <v>5845254.1674597505</v>
      </c>
    </row>
    <row r="18" spans="2:13" x14ac:dyDescent="0.2">
      <c r="B18" s="185" t="s">
        <v>66</v>
      </c>
      <c r="C18" s="186" t="s">
        <v>68</v>
      </c>
      <c r="D18" s="187">
        <f>D8</f>
        <v>50</v>
      </c>
      <c r="E18" s="188"/>
      <c r="F18" s="188">
        <f>F8</f>
        <v>198901</v>
      </c>
      <c r="G18" s="189">
        <f>K18/M18</f>
        <v>0.36796867661228916</v>
      </c>
      <c r="H18" s="189">
        <f>L18/M18</f>
        <v>0.63203132338771095</v>
      </c>
      <c r="I18" s="190">
        <f>'Tariff Sheet'!F13*(1+M14)</f>
        <v>600.82934799999998</v>
      </c>
      <c r="J18" s="191">
        <f>'Tariff Sheet'!F14*(1+M14)</f>
        <v>3.1131007299999998</v>
      </c>
      <c r="K18" s="188">
        <f>D18*I18*12</f>
        <v>360497.60879999999</v>
      </c>
      <c r="L18" s="188">
        <f>J18*F18</f>
        <v>619198.84829772997</v>
      </c>
      <c r="M18" s="192">
        <f>K18+L18</f>
        <v>979696.4570977299</v>
      </c>
    </row>
    <row r="19" spans="2:13" x14ac:dyDescent="0.2">
      <c r="B19" s="97" t="s">
        <v>191</v>
      </c>
      <c r="C19" s="43"/>
      <c r="D19" s="44"/>
      <c r="E19" s="51"/>
      <c r="F19" s="51"/>
      <c r="G19" s="53"/>
      <c r="H19" s="53"/>
      <c r="I19" s="54"/>
      <c r="J19" s="52"/>
      <c r="K19" s="51"/>
      <c r="L19" s="51">
        <f>Forecast!I33</f>
        <v>74096.399999999994</v>
      </c>
      <c r="M19" s="165">
        <f>K19+L19</f>
        <v>74096.399999999994</v>
      </c>
    </row>
    <row r="20" spans="2:13" x14ac:dyDescent="0.2">
      <c r="B20" s="8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170"/>
    </row>
    <row r="21" spans="2:13" ht="13.5" thickBot="1" x14ac:dyDescent="0.25">
      <c r="B21" s="289" t="s">
        <v>201</v>
      </c>
      <c r="C21" s="290"/>
      <c r="D21" s="290"/>
      <c r="E21" s="290"/>
      <c r="F21" s="290"/>
      <c r="G21" s="290"/>
      <c r="H21" s="290"/>
      <c r="I21" s="290"/>
      <c r="J21" s="290"/>
      <c r="K21" s="290"/>
      <c r="L21" s="290"/>
      <c r="M21" s="180">
        <f>M10-M17-M18+M19</f>
        <v>13757204.870674247</v>
      </c>
    </row>
    <row r="23" spans="2:13" x14ac:dyDescent="0.2">
      <c r="L23" s="69" t="s">
        <v>175</v>
      </c>
      <c r="M23" s="41" t="str">
        <f>IF((M10+M19-M17-M18-M21&lt;1),"YES","NO")</f>
        <v>YES</v>
      </c>
    </row>
  </sheetData>
  <mergeCells count="21">
    <mergeCell ref="B2:M2"/>
    <mergeCell ref="B4:M4"/>
    <mergeCell ref="B5:B6"/>
    <mergeCell ref="C5:C6"/>
    <mergeCell ref="D5:D6"/>
    <mergeCell ref="E5:F5"/>
    <mergeCell ref="I5:J5"/>
    <mergeCell ref="G5:H5"/>
    <mergeCell ref="K5:M5"/>
    <mergeCell ref="B21:L21"/>
    <mergeCell ref="B11:M11"/>
    <mergeCell ref="B12:M12"/>
    <mergeCell ref="B13:M13"/>
    <mergeCell ref="B14:L14"/>
    <mergeCell ref="B15:B16"/>
    <mergeCell ref="C15:C16"/>
    <mergeCell ref="D15:D16"/>
    <mergeCell ref="G15:H15"/>
    <mergeCell ref="I15:J15"/>
    <mergeCell ref="E15:F15"/>
    <mergeCell ref="K15:M15"/>
  </mergeCells>
  <pageMargins left="0.75" right="0.75" top="1" bottom="1" header="0.5" footer="0.5"/>
  <pageSetup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Cover Sheet</vt:lpstr>
      <vt:lpstr>Tariff Sheet</vt:lpstr>
      <vt:lpstr>Forecast</vt:lpstr>
      <vt:lpstr>Cost Allocation DRO</vt:lpstr>
      <vt:lpstr>2011 EDR Cost Allocation</vt:lpstr>
      <vt:lpstr>2015 Cost Allocation Results</vt:lpstr>
      <vt:lpstr>2015 Cost Allocation Design</vt:lpstr>
      <vt:lpstr>Allocated Revenues</vt:lpstr>
      <vt:lpstr>2015 RRRP Rate Design</vt:lpstr>
      <vt:lpstr>2015 Non-RRRP Rate Design</vt:lpstr>
      <vt:lpstr>Reconciliation</vt:lpstr>
      <vt:lpstr>Foregone Revenue</vt:lpstr>
    </vt:vector>
  </TitlesOfParts>
  <Company>FortisOntario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BarberR</cp:lastModifiedBy>
  <cp:lastPrinted>2015-01-09T18:49:31Z</cp:lastPrinted>
  <dcterms:created xsi:type="dcterms:W3CDTF">2010-05-25T18:02:24Z</dcterms:created>
  <dcterms:modified xsi:type="dcterms:W3CDTF">2015-01-22T16:46:50Z</dcterms:modified>
</cp:coreProperties>
</file>