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-600" yWindow="576" windowWidth="12120" windowHeight="5196" tabRatio="904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Purchased Power Model " sheetId="19" r:id="rId10"/>
    <sheet name="Economic Indices" sheetId="36" r:id="rId11"/>
    <sheet name="Trends" sheetId="30" r:id="rId12"/>
    <sheet name="10 Year Average" sheetId="32" r:id="rId13"/>
    <sheet name="20 Year Trend" sheetId="33" r:id="rId14"/>
    <sheet name="Residential" sheetId="20" r:id="rId15"/>
    <sheet name="GS &lt; 50 kW" sheetId="21" r:id="rId16"/>
    <sheet name="GS &gt; 50 kW" sheetId="22" r:id="rId17"/>
    <sheet name="I2" sheetId="26" r:id="rId18"/>
    <sheet name="Large User" sheetId="23" r:id="rId19"/>
    <sheet name="Streetlights" sheetId="27" r:id="rId20"/>
    <sheet name="USL" sheetId="28" r:id="rId21"/>
    <sheet name="Rate Class Energy Model" sheetId="9" r:id="rId22"/>
    <sheet name="Rate Class Customer Model" sheetId="17" r:id="rId23"/>
    <sheet name="Rate Class Load Model" sheetId="18" r:id="rId24"/>
  </sheets>
  <externalReferences>
    <externalReference r:id="rId25"/>
    <externalReference r:id="rId26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7">#REF!</definedName>
    <definedName name="fdafsa" localSheetId="19">#REF!</definedName>
    <definedName name="fdafsa" localSheetId="20">#REF!</definedName>
    <definedName name="fdafsa">#REF!</definedName>
    <definedName name="FolderPath">[2]Menu!$C$8</definedName>
    <definedName name="gdagfda" localSheetId="17">#REF!</definedName>
    <definedName name="gdagfda" localSheetId="19">#REF!</definedName>
    <definedName name="gdagfda" localSheetId="20">#REF!</definedName>
    <definedName name="gdagfda">#REF!</definedName>
    <definedName name="NewRevReq">[2]Refs!$B$8</definedName>
    <definedName name="PAGE11" localSheetId="17">#REF!</definedName>
    <definedName name="PAGE11" localSheetId="18">#REF!</definedName>
    <definedName name="PAGE11" localSheetId="19">#REF!</definedName>
    <definedName name="PAGE11" localSheetId="20">#REF!</definedName>
    <definedName name="PAGE11">#REF!</definedName>
    <definedName name="PAGE2">[1]Sheet1!$A$1:$I$40</definedName>
    <definedName name="PAGE3" localSheetId="17">#REF!</definedName>
    <definedName name="PAGE3" localSheetId="18">#REF!</definedName>
    <definedName name="PAGE3" localSheetId="19">#REF!</definedName>
    <definedName name="PAGE3" localSheetId="20">#REF!</definedName>
    <definedName name="PAGE3">#REF!</definedName>
    <definedName name="PAGE4" localSheetId="17">#REF!</definedName>
    <definedName name="PAGE4" localSheetId="18">#REF!</definedName>
    <definedName name="PAGE4" localSheetId="19">#REF!</definedName>
    <definedName name="PAGE4" localSheetId="20">#REF!</definedName>
    <definedName name="PAGE4">#REF!</definedName>
    <definedName name="PAGE7" localSheetId="17">#REF!</definedName>
    <definedName name="PAGE7" localSheetId="18">#REF!</definedName>
    <definedName name="PAGE7" localSheetId="19">#REF!</definedName>
    <definedName name="PAGE7" localSheetId="20">#REF!</definedName>
    <definedName name="PAGE7">#REF!</definedName>
    <definedName name="PAGE9" localSheetId="17">#REF!</definedName>
    <definedName name="PAGE9" localSheetId="18">#REF!</definedName>
    <definedName name="PAGE9" localSheetId="19">#REF!</definedName>
    <definedName name="PAGE9" localSheetId="20">#REF!</definedName>
    <definedName name="PAGE9">#REF!</definedName>
    <definedName name="_xlnm.Print_Area" localSheetId="15">'GS &lt; 50 kW'!#REF!</definedName>
    <definedName name="_xlnm.Print_Area" localSheetId="16">'GS &gt; 50 kW'!#REF!</definedName>
    <definedName name="_xlnm.Print_Area" localSheetId="17">'I2'!#REF!</definedName>
    <definedName name="_xlnm.Print_Area" localSheetId="18">'Large User'!#REF!</definedName>
    <definedName name="_xlnm.Print_Area" localSheetId="9">'Purchased Power Model '!$K$63:$O$86</definedName>
    <definedName name="_xlnm.Print_Area" localSheetId="22">'Rate Class Customer Model'!$A$1:$C$2</definedName>
    <definedName name="_xlnm.Print_Area" localSheetId="21">'Rate Class Energy Model'!$A$1:$I$2</definedName>
    <definedName name="_xlnm.Print_Area" localSheetId="23">'Rate Class Load Model'!$A$1:$A$1</definedName>
    <definedName name="_xlnm.Print_Area" localSheetId="14">Residential!#REF!</definedName>
    <definedName name="_xlnm.Print_Area" localSheetId="19">Streetlights!#REF!</definedName>
    <definedName name="_xlnm.Print_Area" localSheetId="8">Summary!$A$1:$R$63</definedName>
    <definedName name="_xlnm.Print_Area" localSheetId="20">USL!#REF!</definedName>
    <definedName name="RevReqLookupKey">[2]Refs!$B$5</definedName>
    <definedName name="RevReqRange">[2]Refs!$B$7</definedName>
  </definedNames>
  <calcPr calcId="125725" iterate="1"/>
</workbook>
</file>

<file path=xl/calcChain.xml><?xml version="1.0" encoding="utf-8"?>
<calcChain xmlns="http://schemas.openxmlformats.org/spreadsheetml/2006/main">
  <c r="M97" i="9"/>
  <c r="B68" i="38" l="1"/>
  <c r="U68" i="37" l="1"/>
  <c r="U67"/>
  <c r="U66"/>
  <c r="U65"/>
  <c r="U64"/>
  <c r="U63"/>
  <c r="U62"/>
  <c r="U61"/>
  <c r="U60"/>
  <c r="U59"/>
  <c r="U58"/>
  <c r="U56"/>
  <c r="U55"/>
  <c r="U43"/>
  <c r="U42"/>
  <c r="U41"/>
  <c r="U40"/>
  <c r="U39"/>
  <c r="U38"/>
  <c r="U37"/>
  <c r="U36"/>
  <c r="U35"/>
  <c r="U34"/>
  <c r="U33"/>
  <c r="U31"/>
  <c r="U30"/>
  <c r="N221" i="33"/>
  <c r="N221" i="32"/>
  <c r="N221" i="19" l="1"/>
  <c r="O16" i="42" l="1"/>
  <c r="N15"/>
  <c r="M14"/>
  <c r="L13"/>
  <c r="J11"/>
  <c r="I10"/>
  <c r="H9"/>
  <c r="G8"/>
  <c r="O49"/>
  <c r="P49" s="1"/>
  <c r="Q49" l="1"/>
  <c r="R49" s="1"/>
  <c r="S49"/>
  <c r="S60" l="1"/>
  <c r="R59"/>
  <c r="Q58"/>
  <c r="P57"/>
  <c r="N56"/>
  <c r="K12" s="1"/>
  <c r="A56"/>
  <c r="A57" s="1"/>
  <c r="A58" s="1"/>
  <c r="A59" s="1"/>
  <c r="A60" s="1"/>
  <c r="M55"/>
  <c r="N55" s="1"/>
  <c r="T54"/>
  <c r="F54"/>
  <c r="G54" s="1"/>
  <c r="H54" s="1"/>
  <c r="I54" s="1"/>
  <c r="J54" s="1"/>
  <c r="K54" s="1"/>
  <c r="L54" s="1"/>
  <c r="M54" s="1"/>
  <c r="N54" s="1"/>
  <c r="O54" s="1"/>
  <c r="P54" s="1"/>
  <c r="Q54" s="1"/>
  <c r="R54" s="1"/>
  <c r="J50"/>
  <c r="I50"/>
  <c r="H50"/>
  <c r="G50"/>
  <c r="F50"/>
  <c r="E50"/>
  <c r="N48"/>
  <c r="M47"/>
  <c r="L46"/>
  <c r="A46"/>
  <c r="A47" s="1"/>
  <c r="A48" s="1"/>
  <c r="A49" s="1"/>
  <c r="K45"/>
  <c r="F44"/>
  <c r="G44" s="1"/>
  <c r="H44" s="1"/>
  <c r="I44" s="1"/>
  <c r="S39"/>
  <c r="T39" s="1"/>
  <c r="T38"/>
  <c r="S38"/>
  <c r="R38"/>
  <c r="Q38"/>
  <c r="P38"/>
  <c r="O38"/>
  <c r="N38"/>
  <c r="M38"/>
  <c r="L38"/>
  <c r="K38"/>
  <c r="J38"/>
  <c r="I38"/>
  <c r="H38"/>
  <c r="G38"/>
  <c r="F38"/>
  <c r="E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R36"/>
  <c r="Q36"/>
  <c r="P36"/>
  <c r="O36"/>
  <c r="N36"/>
  <c r="M36"/>
  <c r="L36"/>
  <c r="K36"/>
  <c r="J36"/>
  <c r="I36"/>
  <c r="H36"/>
  <c r="G36"/>
  <c r="F36"/>
  <c r="E36"/>
  <c r="A36"/>
  <c r="A37" s="1"/>
  <c r="A38" s="1"/>
  <c r="A39" s="1"/>
  <c r="T35"/>
  <c r="S35"/>
  <c r="R35"/>
  <c r="Q35"/>
  <c r="P35"/>
  <c r="O35"/>
  <c r="N35"/>
  <c r="M35"/>
  <c r="L35"/>
  <c r="K35"/>
  <c r="J35"/>
  <c r="I35"/>
  <c r="H35"/>
  <c r="H40" s="1"/>
  <c r="G35"/>
  <c r="F35"/>
  <c r="E35"/>
  <c r="F34"/>
  <c r="G34" s="1"/>
  <c r="H34" s="1"/>
  <c r="I34" s="1"/>
  <c r="J34" s="1"/>
  <c r="K34" s="1"/>
  <c r="L34" s="1"/>
  <c r="M34" s="1"/>
  <c r="N34" s="1"/>
  <c r="O34" s="1"/>
  <c r="P34" s="1"/>
  <c r="Q34" s="1"/>
  <c r="R34" s="1"/>
  <c r="S34" s="1"/>
  <c r="T34" s="1"/>
  <c r="T30"/>
  <c r="S30"/>
  <c r="R30"/>
  <c r="Q30"/>
  <c r="P30"/>
  <c r="O30"/>
  <c r="N30"/>
  <c r="M30"/>
  <c r="L30"/>
  <c r="K30"/>
  <c r="J30"/>
  <c r="I30"/>
  <c r="H30"/>
  <c r="G30"/>
  <c r="F30"/>
  <c r="E30"/>
  <c r="A27"/>
  <c r="A28" s="1"/>
  <c r="A29" s="1"/>
  <c r="F24"/>
  <c r="G24" s="1"/>
  <c r="H24" s="1"/>
  <c r="I24" s="1"/>
  <c r="J24" s="1"/>
  <c r="K24" s="1"/>
  <c r="L24" s="1"/>
  <c r="M24" s="1"/>
  <c r="N24" s="1"/>
  <c r="O24" s="1"/>
  <c r="P24" s="1"/>
  <c r="Q24" s="1"/>
  <c r="R24" s="1"/>
  <c r="S24" s="1"/>
  <c r="T24" s="1"/>
  <c r="I9" l="1"/>
  <c r="R58"/>
  <c r="N14"/>
  <c r="J10"/>
  <c r="J21" s="1"/>
  <c r="S59"/>
  <c r="O15"/>
  <c r="H8"/>
  <c r="K11"/>
  <c r="O48"/>
  <c r="Q57"/>
  <c r="N13" s="1"/>
  <c r="M13"/>
  <c r="K50"/>
  <c r="J44"/>
  <c r="G40"/>
  <c r="M46"/>
  <c r="J9" s="1"/>
  <c r="E40"/>
  <c r="I40"/>
  <c r="F7" s="1"/>
  <c r="F17" s="1"/>
  <c r="F19" s="1"/>
  <c r="F40"/>
  <c r="M40"/>
  <c r="J7" s="1"/>
  <c r="J40"/>
  <c r="G7" s="1"/>
  <c r="G17" s="1"/>
  <c r="G19" s="1"/>
  <c r="Q40"/>
  <c r="N7" s="1"/>
  <c r="N40"/>
  <c r="K7" s="1"/>
  <c r="R40"/>
  <c r="O7" s="1"/>
  <c r="L40"/>
  <c r="I7" s="1"/>
  <c r="I17" s="1"/>
  <c r="I19" s="1"/>
  <c r="P40"/>
  <c r="M7" s="1"/>
  <c r="T40"/>
  <c r="K40"/>
  <c r="H7" s="1"/>
  <c r="O40"/>
  <c r="L7" s="1"/>
  <c r="S40"/>
  <c r="O55"/>
  <c r="P55" s="1"/>
  <c r="Q55" s="1"/>
  <c r="R55" s="1"/>
  <c r="N46"/>
  <c r="N47"/>
  <c r="L45"/>
  <c r="I8" s="1"/>
  <c r="O56"/>
  <c r="O47" l="1"/>
  <c r="K10"/>
  <c r="K21" s="1"/>
  <c r="G98" i="9" s="1"/>
  <c r="S58" i="42"/>
  <c r="O14"/>
  <c r="O46"/>
  <c r="K9"/>
  <c r="L221" i="19"/>
  <c r="G97" i="9"/>
  <c r="P56" i="42"/>
  <c r="L12"/>
  <c r="S57"/>
  <c r="R57"/>
  <c r="O13" s="1"/>
  <c r="H17"/>
  <c r="H19" s="1"/>
  <c r="P48"/>
  <c r="L11"/>
  <c r="K44"/>
  <c r="S55"/>
  <c r="L50"/>
  <c r="M45"/>
  <c r="J8" l="1"/>
  <c r="J17" s="1"/>
  <c r="J19" s="1"/>
  <c r="P46"/>
  <c r="L9"/>
  <c r="P47"/>
  <c r="L10"/>
  <c r="L21" s="1"/>
  <c r="G99" i="9" s="1"/>
  <c r="Q48" i="42"/>
  <c r="M11"/>
  <c r="Q56"/>
  <c r="M12"/>
  <c r="L44"/>
  <c r="M44" s="1"/>
  <c r="M50"/>
  <c r="N45"/>
  <c r="R48" l="1"/>
  <c r="O11" s="1"/>
  <c r="N11"/>
  <c r="M9"/>
  <c r="Q46"/>
  <c r="O45"/>
  <c r="K8"/>
  <c r="K17" s="1"/>
  <c r="R56"/>
  <c r="O12" s="1"/>
  <c r="N12"/>
  <c r="S56"/>
  <c r="L221" i="32"/>
  <c r="L221" i="33"/>
  <c r="S48" i="42"/>
  <c r="M10"/>
  <c r="M21" s="1"/>
  <c r="G100" i="9" s="1"/>
  <c r="Q47" i="42"/>
  <c r="N44"/>
  <c r="O44" s="1"/>
  <c r="P44" s="1"/>
  <c r="Q44" s="1"/>
  <c r="R44" s="1"/>
  <c r="N50"/>
  <c r="N10" l="1"/>
  <c r="N21" s="1"/>
  <c r="G101" i="9" s="1"/>
  <c r="R47" i="42"/>
  <c r="O10" s="1"/>
  <c r="O21" s="1"/>
  <c r="G102" i="9" s="1"/>
  <c r="P45" i="42"/>
  <c r="L8"/>
  <c r="L17" s="1"/>
  <c r="O50"/>
  <c r="S47"/>
  <c r="N9"/>
  <c r="R46"/>
  <c r="J85" i="44"/>
  <c r="M8" i="42" l="1"/>
  <c r="M17" s="1"/>
  <c r="Q45"/>
  <c r="P50"/>
  <c r="O9"/>
  <c r="S46"/>
  <c r="I43" i="44"/>
  <c r="H43"/>
  <c r="G43"/>
  <c r="F43"/>
  <c r="E43"/>
  <c r="D43"/>
  <c r="C43"/>
  <c r="I42"/>
  <c r="H42"/>
  <c r="G42"/>
  <c r="F42"/>
  <c r="E42"/>
  <c r="D42"/>
  <c r="C42"/>
  <c r="B43"/>
  <c r="B42"/>
  <c r="D37"/>
  <c r="I34"/>
  <c r="I54" s="1"/>
  <c r="I64" s="1"/>
  <c r="H34"/>
  <c r="H54" s="1"/>
  <c r="H64" s="1"/>
  <c r="G34"/>
  <c r="G54" s="1"/>
  <c r="G64" s="1"/>
  <c r="F34"/>
  <c r="E34"/>
  <c r="D34"/>
  <c r="D54" s="1"/>
  <c r="D64" s="1"/>
  <c r="C34"/>
  <c r="C54" s="1"/>
  <c r="B34"/>
  <c r="B54" s="1"/>
  <c r="B64" s="1"/>
  <c r="I33"/>
  <c r="H33"/>
  <c r="G33"/>
  <c r="F33"/>
  <c r="E33"/>
  <c r="D33"/>
  <c r="C33"/>
  <c r="B33"/>
  <c r="I32"/>
  <c r="H32"/>
  <c r="G32"/>
  <c r="F32"/>
  <c r="E32"/>
  <c r="D32"/>
  <c r="C32"/>
  <c r="B32"/>
  <c r="I31"/>
  <c r="H31"/>
  <c r="G31"/>
  <c r="F31"/>
  <c r="E31"/>
  <c r="D31"/>
  <c r="C31"/>
  <c r="B31"/>
  <c r="I30"/>
  <c r="H30"/>
  <c r="G30"/>
  <c r="F30"/>
  <c r="E30"/>
  <c r="D30"/>
  <c r="C30"/>
  <c r="B30"/>
  <c r="I29"/>
  <c r="H29"/>
  <c r="G29"/>
  <c r="F29"/>
  <c r="E29"/>
  <c r="D29"/>
  <c r="C29"/>
  <c r="B29"/>
  <c r="I28"/>
  <c r="H28"/>
  <c r="G28"/>
  <c r="F28"/>
  <c r="E28"/>
  <c r="D28"/>
  <c r="C28"/>
  <c r="B28"/>
  <c r="I27"/>
  <c r="H27"/>
  <c r="G27"/>
  <c r="F27"/>
  <c r="E27"/>
  <c r="D27"/>
  <c r="B27"/>
  <c r="I26"/>
  <c r="H26"/>
  <c r="G26"/>
  <c r="F26"/>
  <c r="E26"/>
  <c r="D26"/>
  <c r="B26"/>
  <c r="I25"/>
  <c r="H25"/>
  <c r="G25"/>
  <c r="F25"/>
  <c r="E25"/>
  <c r="D25"/>
  <c r="B25"/>
  <c r="I24"/>
  <c r="H24"/>
  <c r="G24"/>
  <c r="F24"/>
  <c r="E24"/>
  <c r="D24"/>
  <c r="B24"/>
  <c r="J22"/>
  <c r="J21"/>
  <c r="J17"/>
  <c r="J16"/>
  <c r="J15"/>
  <c r="J14"/>
  <c r="J13"/>
  <c r="J12"/>
  <c r="J11"/>
  <c r="J10"/>
  <c r="C9"/>
  <c r="J9" s="1"/>
  <c r="C8"/>
  <c r="J8" s="1"/>
  <c r="C7"/>
  <c r="J7" s="1"/>
  <c r="J6"/>
  <c r="J4"/>
  <c r="J3"/>
  <c r="E40" i="17"/>
  <c r="E37" i="44" s="1"/>
  <c r="J58" i="36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R45" i="42" l="1"/>
  <c r="N8"/>
  <c r="N17" s="1"/>
  <c r="Q50"/>
  <c r="J42" i="44"/>
  <c r="D45"/>
  <c r="D55" s="1"/>
  <c r="E45"/>
  <c r="E55" s="1"/>
  <c r="E65" s="1"/>
  <c r="P44" i="37" s="1"/>
  <c r="C64" i="44"/>
  <c r="E54"/>
  <c r="E64" s="1"/>
  <c r="J28"/>
  <c r="F54"/>
  <c r="F64" s="1"/>
  <c r="J32"/>
  <c r="J43"/>
  <c r="C24"/>
  <c r="J24" s="1"/>
  <c r="C25"/>
  <c r="J25" s="1"/>
  <c r="C26"/>
  <c r="J26" s="1"/>
  <c r="C27"/>
  <c r="J27" s="1"/>
  <c r="J29"/>
  <c r="J30"/>
  <c r="J31"/>
  <c r="J33"/>
  <c r="J34"/>
  <c r="O8" i="42" l="1"/>
  <c r="O17" s="1"/>
  <c r="R50"/>
  <c r="S45"/>
  <c r="S50" s="1"/>
  <c r="D46" i="44"/>
  <c r="D47" s="1"/>
  <c r="D48" s="1"/>
  <c r="D49" s="1"/>
  <c r="D50" s="1"/>
  <c r="E46"/>
  <c r="E47" s="1"/>
  <c r="J54"/>
  <c r="D65"/>
  <c r="O44" i="37" s="1"/>
  <c r="D56" i="44"/>
  <c r="J64"/>
  <c r="S206" i="39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134"/>
  <c r="F134"/>
  <c r="C134"/>
  <c r="B134"/>
  <c r="E56" i="44" l="1"/>
  <c r="E57"/>
  <c r="E48"/>
  <c r="D57"/>
  <c r="D66"/>
  <c r="O45" i="37" s="1"/>
  <c r="B220" i="28"/>
  <c r="B220" i="27"/>
  <c r="B220" i="23"/>
  <c r="B220" i="26"/>
  <c r="B220" i="22"/>
  <c r="B220" i="21"/>
  <c r="B220" i="20"/>
  <c r="G134" i="28"/>
  <c r="F134"/>
  <c r="C134"/>
  <c r="G134" i="27"/>
  <c r="F134"/>
  <c r="C134"/>
  <c r="G134" i="23"/>
  <c r="F134"/>
  <c r="C134"/>
  <c r="G134" i="26"/>
  <c r="F134"/>
  <c r="C134"/>
  <c r="G134" i="22"/>
  <c r="F134"/>
  <c r="C134"/>
  <c r="G134" i="21"/>
  <c r="F134"/>
  <c r="C134"/>
  <c r="E67" i="44" l="1"/>
  <c r="P46" i="37" s="1"/>
  <c r="E66" i="44"/>
  <c r="P45" i="37" s="1"/>
  <c r="D58" i="44"/>
  <c r="D67"/>
  <c r="O46" i="37" s="1"/>
  <c r="E49" i="44"/>
  <c r="E58"/>
  <c r="C134" i="33"/>
  <c r="U134" i="39" s="1"/>
  <c r="B134" i="33"/>
  <c r="T134" i="39" s="1"/>
  <c r="C134" i="32"/>
  <c r="L134" i="39" s="1"/>
  <c r="B134" i="32"/>
  <c r="K134" i="39" s="1"/>
  <c r="C11" i="30"/>
  <c r="C10"/>
  <c r="C9"/>
  <c r="C8"/>
  <c r="C7"/>
  <c r="C6"/>
  <c r="C5"/>
  <c r="C4"/>
  <c r="C3"/>
  <c r="C2"/>
  <c r="B12"/>
  <c r="B11"/>
  <c r="B10"/>
  <c r="B9"/>
  <c r="B8"/>
  <c r="B7"/>
  <c r="B6"/>
  <c r="B5"/>
  <c r="B4"/>
  <c r="B3"/>
  <c r="B2"/>
  <c r="E68" i="44" l="1"/>
  <c r="P47" i="37" s="1"/>
  <c r="E50" i="44"/>
  <c r="E60" s="1"/>
  <c r="E59"/>
  <c r="D59"/>
  <c r="D68"/>
  <c r="O47" i="37" s="1"/>
  <c r="B18" i="30"/>
  <c r="B15"/>
  <c r="B16"/>
  <c r="B13"/>
  <c r="B17"/>
  <c r="B14"/>
  <c r="E69" i="44" l="1"/>
  <c r="P48" i="37" s="1"/>
  <c r="E70" i="44"/>
  <c r="P49" i="37" s="1"/>
  <c r="D60" i="44"/>
  <c r="D69"/>
  <c r="O48" i="37" s="1"/>
  <c r="D70" i="44" l="1"/>
  <c r="O49" i="37" s="1"/>
  <c r="B220" i="19"/>
  <c r="E123"/>
  <c r="H123" s="1"/>
  <c r="I123" s="1"/>
  <c r="J123" s="1"/>
  <c r="C59" i="34" l="1"/>
  <c r="C78" s="1"/>
  <c r="A173" i="37"/>
  <c r="A172"/>
  <c r="A171"/>
  <c r="A170"/>
  <c r="A169"/>
  <c r="A168"/>
  <c r="I129"/>
  <c r="H129"/>
  <c r="G129"/>
  <c r="F129"/>
  <c r="E129"/>
  <c r="D129"/>
  <c r="C129"/>
  <c r="B129"/>
  <c r="I128"/>
  <c r="H128"/>
  <c r="G128"/>
  <c r="F128"/>
  <c r="E128"/>
  <c r="D128"/>
  <c r="C128"/>
  <c r="B128"/>
  <c r="I81"/>
  <c r="I84" i="44" s="1"/>
  <c r="H81" i="37"/>
  <c r="H84" i="44" s="1"/>
  <c r="G81" i="37"/>
  <c r="G84" i="44" s="1"/>
  <c r="F81" i="37"/>
  <c r="F84" i="44" s="1"/>
  <c r="E81" i="37"/>
  <c r="E84" i="44" s="1"/>
  <c r="D81" i="37"/>
  <c r="D84" i="44" s="1"/>
  <c r="C81" i="37"/>
  <c r="C84" i="44" s="1"/>
  <c r="B81" i="37"/>
  <c r="B84" i="44" s="1"/>
  <c r="I80" i="37"/>
  <c r="I83" i="44" s="1"/>
  <c r="H80" i="37"/>
  <c r="H83" i="44" s="1"/>
  <c r="G80" i="37"/>
  <c r="G83" i="44" s="1"/>
  <c r="F80" i="37"/>
  <c r="F83" i="44" s="1"/>
  <c r="E80" i="37"/>
  <c r="E83" i="44" s="1"/>
  <c r="D80" i="37"/>
  <c r="D83" i="44" s="1"/>
  <c r="C80" i="37"/>
  <c r="C83" i="44" s="1"/>
  <c r="B80" i="37"/>
  <c r="B83" i="44" s="1"/>
  <c r="J128" i="37" l="1"/>
  <c r="J129"/>
  <c r="I13" i="17"/>
  <c r="H13"/>
  <c r="G13"/>
  <c r="F13"/>
  <c r="E13"/>
  <c r="E14" s="1"/>
  <c r="D13"/>
  <c r="D14" s="1"/>
  <c r="D44" i="37" s="1"/>
  <c r="C13" i="17"/>
  <c r="I12"/>
  <c r="H12"/>
  <c r="G12"/>
  <c r="F12"/>
  <c r="E12"/>
  <c r="D12"/>
  <c r="C12"/>
  <c r="I11"/>
  <c r="H11"/>
  <c r="G11"/>
  <c r="F11"/>
  <c r="E11"/>
  <c r="D11"/>
  <c r="C11"/>
  <c r="I10"/>
  <c r="H10"/>
  <c r="G10"/>
  <c r="F10"/>
  <c r="E10"/>
  <c r="D10"/>
  <c r="C10"/>
  <c r="I9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I26" s="1"/>
  <c r="H6"/>
  <c r="G6"/>
  <c r="F6"/>
  <c r="E6"/>
  <c r="D6"/>
  <c r="I5"/>
  <c r="O32" i="9" s="1"/>
  <c r="H5" i="17"/>
  <c r="G5"/>
  <c r="F5"/>
  <c r="E5"/>
  <c r="D5"/>
  <c r="I4"/>
  <c r="O31" i="9" s="1"/>
  <c r="H4" i="17"/>
  <c r="G4"/>
  <c r="F4"/>
  <c r="E4"/>
  <c r="D4"/>
  <c r="I3"/>
  <c r="O30" i="9" s="1"/>
  <c r="H3" i="17"/>
  <c r="G3"/>
  <c r="F3"/>
  <c r="E3"/>
  <c r="D3"/>
  <c r="B13"/>
  <c r="B12"/>
  <c r="B11"/>
  <c r="B10"/>
  <c r="B9"/>
  <c r="B8"/>
  <c r="B7"/>
  <c r="B6"/>
  <c r="B5"/>
  <c r="B4"/>
  <c r="B3"/>
  <c r="I27" l="1"/>
  <c r="M22" i="38"/>
  <c r="D168" i="37"/>
  <c r="E15" i="17"/>
  <c r="E44" i="37"/>
  <c r="O50" i="9"/>
  <c r="I28" i="17"/>
  <c r="O49" i="9"/>
  <c r="I25" i="17"/>
  <c r="I23"/>
  <c r="I24"/>
  <c r="J17" i="40"/>
  <c r="J16"/>
  <c r="J15"/>
  <c r="J14"/>
  <c r="J13"/>
  <c r="J12"/>
  <c r="J11"/>
  <c r="J10"/>
  <c r="C9"/>
  <c r="C8"/>
  <c r="C7"/>
  <c r="J6"/>
  <c r="J4"/>
  <c r="J3"/>
  <c r="E16" i="17" l="1"/>
  <c r="E45" i="37"/>
  <c r="M27" i="38"/>
  <c r="E168" i="37"/>
  <c r="J7" i="40"/>
  <c r="C3" i="17"/>
  <c r="C4"/>
  <c r="J8" i="40"/>
  <c r="C5" i="17"/>
  <c r="J9" i="40"/>
  <c r="C6" i="17"/>
  <c r="E158" i="37"/>
  <c r="N27" i="38" l="1"/>
  <c r="E169" i="37"/>
  <c r="E17" i="17"/>
  <c r="E46" i="37"/>
  <c r="D15" i="17"/>
  <c r="E18" l="1"/>
  <c r="E47" i="37"/>
  <c r="D16" i="17"/>
  <c r="D45" i="37"/>
  <c r="O27" i="38"/>
  <c r="E170" i="37"/>
  <c r="D158"/>
  <c r="F40" i="17"/>
  <c r="P27" i="38" l="1"/>
  <c r="E171" i="37"/>
  <c r="E19" i="17"/>
  <c r="E49" i="37" s="1"/>
  <c r="E48"/>
  <c r="N22" i="38"/>
  <c r="D169" i="37"/>
  <c r="D17" i="17"/>
  <c r="D46" i="37"/>
  <c r="F37" i="44"/>
  <c r="F45" s="1"/>
  <c r="F14" i="17"/>
  <c r="F158" i="37"/>
  <c r="D18" i="17" l="1"/>
  <c r="D47" i="37"/>
  <c r="R27" i="38"/>
  <c r="E173" i="37"/>
  <c r="F15" i="17"/>
  <c r="O22" i="38"/>
  <c r="D170" i="37"/>
  <c r="Q27" i="38"/>
  <c r="E172" i="37"/>
  <c r="F46" i="44"/>
  <c r="F47" s="1"/>
  <c r="F48" s="1"/>
  <c r="F49" s="1"/>
  <c r="F50" s="1"/>
  <c r="F55"/>
  <c r="B32" i="17"/>
  <c r="C32"/>
  <c r="C31"/>
  <c r="C30"/>
  <c r="C29"/>
  <c r="C28"/>
  <c r="C27"/>
  <c r="C26"/>
  <c r="C25"/>
  <c r="C24"/>
  <c r="C23"/>
  <c r="P22" i="38" l="1"/>
  <c r="D171" i="37"/>
  <c r="F16" i="17"/>
  <c r="D19"/>
  <c r="D49" i="37" s="1"/>
  <c r="D48"/>
  <c r="F65" i="44"/>
  <c r="Q44" i="37" s="1"/>
  <c r="F44" s="1"/>
  <c r="F56" i="44"/>
  <c r="C42" i="17"/>
  <c r="F33"/>
  <c r="D33"/>
  <c r="R22" i="38" l="1"/>
  <c r="D173" i="37"/>
  <c r="M32" i="38"/>
  <c r="F168" i="37"/>
  <c r="F17" i="17"/>
  <c r="Q22" i="38"/>
  <c r="D172" i="37"/>
  <c r="F66" i="44"/>
  <c r="Q45" i="37" s="1"/>
  <c r="F45" s="1"/>
  <c r="F57" i="44"/>
  <c r="C38"/>
  <c r="C40" i="17"/>
  <c r="G206" i="39"/>
  <c r="F206"/>
  <c r="A206"/>
  <c r="G205"/>
  <c r="F205"/>
  <c r="A205"/>
  <c r="G204"/>
  <c r="F204"/>
  <c r="A204"/>
  <c r="G203"/>
  <c r="F203"/>
  <c r="A203"/>
  <c r="G202"/>
  <c r="F202"/>
  <c r="A202"/>
  <c r="G201"/>
  <c r="F201"/>
  <c r="A201"/>
  <c r="G200"/>
  <c r="F200"/>
  <c r="A200"/>
  <c r="G199"/>
  <c r="F199"/>
  <c r="A199"/>
  <c r="G198"/>
  <c r="F198"/>
  <c r="A198"/>
  <c r="G197"/>
  <c r="F197"/>
  <c r="A197"/>
  <c r="G196"/>
  <c r="F196"/>
  <c r="A196"/>
  <c r="G195"/>
  <c r="F195"/>
  <c r="A195"/>
  <c r="G194"/>
  <c r="F194"/>
  <c r="A194"/>
  <c r="G193"/>
  <c r="F193"/>
  <c r="A193"/>
  <c r="G192"/>
  <c r="F192"/>
  <c r="A192"/>
  <c r="G191"/>
  <c r="F191"/>
  <c r="A191"/>
  <c r="G190"/>
  <c r="F190"/>
  <c r="A190"/>
  <c r="G189"/>
  <c r="F189"/>
  <c r="A189"/>
  <c r="G188"/>
  <c r="F188"/>
  <c r="A188"/>
  <c r="G187"/>
  <c r="F187"/>
  <c r="A187"/>
  <c r="G186"/>
  <c r="F186"/>
  <c r="A186"/>
  <c r="G185"/>
  <c r="F185"/>
  <c r="A185"/>
  <c r="G184"/>
  <c r="F184"/>
  <c r="A184"/>
  <c r="G183"/>
  <c r="F183"/>
  <c r="A183"/>
  <c r="G182"/>
  <c r="F182"/>
  <c r="A182"/>
  <c r="G181"/>
  <c r="F181"/>
  <c r="A181"/>
  <c r="G180"/>
  <c r="F180"/>
  <c r="A180"/>
  <c r="G179"/>
  <c r="F179"/>
  <c r="A179"/>
  <c r="G178"/>
  <c r="F178"/>
  <c r="A178"/>
  <c r="G177"/>
  <c r="F177"/>
  <c r="A177"/>
  <c r="G176"/>
  <c r="F176"/>
  <c r="A176"/>
  <c r="G175"/>
  <c r="F175"/>
  <c r="A175"/>
  <c r="G174"/>
  <c r="F174"/>
  <c r="A174"/>
  <c r="G173"/>
  <c r="F173"/>
  <c r="A173"/>
  <c r="G172"/>
  <c r="F172"/>
  <c r="A172"/>
  <c r="G171"/>
  <c r="F171"/>
  <c r="A171"/>
  <c r="G170"/>
  <c r="F170"/>
  <c r="A170"/>
  <c r="G169"/>
  <c r="F169"/>
  <c r="A169"/>
  <c r="G168"/>
  <c r="F168"/>
  <c r="A168"/>
  <c r="G167"/>
  <c r="F167"/>
  <c r="A167"/>
  <c r="G166"/>
  <c r="F166"/>
  <c r="A166"/>
  <c r="G165"/>
  <c r="F165"/>
  <c r="A165"/>
  <c r="G164"/>
  <c r="F164"/>
  <c r="A164"/>
  <c r="G163"/>
  <c r="F163"/>
  <c r="A163"/>
  <c r="G162"/>
  <c r="F162"/>
  <c r="A162"/>
  <c r="G161"/>
  <c r="F161"/>
  <c r="A161"/>
  <c r="G160"/>
  <c r="F160"/>
  <c r="A160"/>
  <c r="G159"/>
  <c r="F159"/>
  <c r="A159"/>
  <c r="G158"/>
  <c r="F158"/>
  <c r="A158"/>
  <c r="G157"/>
  <c r="F157"/>
  <c r="A157"/>
  <c r="G156"/>
  <c r="F156"/>
  <c r="A156"/>
  <c r="G155"/>
  <c r="F155"/>
  <c r="A155"/>
  <c r="G154"/>
  <c r="F154"/>
  <c r="A154"/>
  <c r="G153"/>
  <c r="F153"/>
  <c r="A153"/>
  <c r="G152"/>
  <c r="F152"/>
  <c r="A152"/>
  <c r="G151"/>
  <c r="F151"/>
  <c r="A151"/>
  <c r="G150"/>
  <c r="F150"/>
  <c r="A150"/>
  <c r="G149"/>
  <c r="F149"/>
  <c r="A149"/>
  <c r="G148"/>
  <c r="F148"/>
  <c r="A148"/>
  <c r="G147"/>
  <c r="F147"/>
  <c r="A147"/>
  <c r="G146"/>
  <c r="F146"/>
  <c r="A146"/>
  <c r="G145"/>
  <c r="F145"/>
  <c r="A145"/>
  <c r="G144"/>
  <c r="F144"/>
  <c r="A144"/>
  <c r="G143"/>
  <c r="F143"/>
  <c r="A143"/>
  <c r="G142"/>
  <c r="F142"/>
  <c r="A142"/>
  <c r="G141"/>
  <c r="F141"/>
  <c r="A141"/>
  <c r="G140"/>
  <c r="F140"/>
  <c r="A140"/>
  <c r="G139"/>
  <c r="F139"/>
  <c r="A139"/>
  <c r="G138"/>
  <c r="F138"/>
  <c r="A138"/>
  <c r="G137"/>
  <c r="F137"/>
  <c r="A137"/>
  <c r="G136"/>
  <c r="F136"/>
  <c r="A136"/>
  <c r="G135"/>
  <c r="F135"/>
  <c r="A135"/>
  <c r="A134"/>
  <c r="G133"/>
  <c r="F133"/>
  <c r="B133"/>
  <c r="A133"/>
  <c r="G132"/>
  <c r="F132"/>
  <c r="B132"/>
  <c r="A132"/>
  <c r="G131"/>
  <c r="F131"/>
  <c r="B131"/>
  <c r="A131"/>
  <c r="G130"/>
  <c r="F130"/>
  <c r="B130"/>
  <c r="A130"/>
  <c r="G129"/>
  <c r="F129"/>
  <c r="B129"/>
  <c r="A129"/>
  <c r="G128"/>
  <c r="F128"/>
  <c r="B128"/>
  <c r="A128"/>
  <c r="G127"/>
  <c r="F127"/>
  <c r="B127"/>
  <c r="A127"/>
  <c r="G126"/>
  <c r="F126"/>
  <c r="B126"/>
  <c r="A126"/>
  <c r="G125"/>
  <c r="F125"/>
  <c r="B125"/>
  <c r="A125"/>
  <c r="G124"/>
  <c r="F124"/>
  <c r="B124"/>
  <c r="A124"/>
  <c r="G123"/>
  <c r="F123"/>
  <c r="E123"/>
  <c r="B123"/>
  <c r="A123"/>
  <c r="G122"/>
  <c r="F122"/>
  <c r="B122"/>
  <c r="A122"/>
  <c r="G121"/>
  <c r="F121"/>
  <c r="B121"/>
  <c r="A121"/>
  <c r="G120"/>
  <c r="F120"/>
  <c r="B120"/>
  <c r="A120"/>
  <c r="G119"/>
  <c r="F119"/>
  <c r="B119"/>
  <c r="A119"/>
  <c r="G118"/>
  <c r="F118"/>
  <c r="B118"/>
  <c r="A118"/>
  <c r="G117"/>
  <c r="F117"/>
  <c r="B117"/>
  <c r="A117"/>
  <c r="G116"/>
  <c r="F116"/>
  <c r="B116"/>
  <c r="A116"/>
  <c r="G115"/>
  <c r="F115"/>
  <c r="B115"/>
  <c r="A115"/>
  <c r="G114"/>
  <c r="F114"/>
  <c r="B114"/>
  <c r="A114"/>
  <c r="G113"/>
  <c r="F113"/>
  <c r="B113"/>
  <c r="A113"/>
  <c r="G112"/>
  <c r="F112"/>
  <c r="B112"/>
  <c r="A112"/>
  <c r="G111"/>
  <c r="F111"/>
  <c r="B111"/>
  <c r="A111"/>
  <c r="G110"/>
  <c r="F110"/>
  <c r="B110"/>
  <c r="A110"/>
  <c r="G109"/>
  <c r="F109"/>
  <c r="B109"/>
  <c r="A109"/>
  <c r="G108"/>
  <c r="F108"/>
  <c r="B108"/>
  <c r="A108"/>
  <c r="G107"/>
  <c r="F107"/>
  <c r="B107"/>
  <c r="A107"/>
  <c r="G106"/>
  <c r="F106"/>
  <c r="B106"/>
  <c r="A106"/>
  <c r="G105"/>
  <c r="F105"/>
  <c r="B105"/>
  <c r="A105"/>
  <c r="G104"/>
  <c r="F104"/>
  <c r="B104"/>
  <c r="A104"/>
  <c r="G103"/>
  <c r="F103"/>
  <c r="B103"/>
  <c r="A103"/>
  <c r="G102"/>
  <c r="F102"/>
  <c r="B102"/>
  <c r="A102"/>
  <c r="G101"/>
  <c r="F101"/>
  <c r="B101"/>
  <c r="A101"/>
  <c r="G100"/>
  <c r="F100"/>
  <c r="B100"/>
  <c r="A100"/>
  <c r="G99"/>
  <c r="F99"/>
  <c r="B99"/>
  <c r="A99"/>
  <c r="G98"/>
  <c r="F98"/>
  <c r="D98"/>
  <c r="C98"/>
  <c r="B98"/>
  <c r="A98"/>
  <c r="G97"/>
  <c r="F97"/>
  <c r="D97"/>
  <c r="C97"/>
  <c r="B97"/>
  <c r="A97"/>
  <c r="G96"/>
  <c r="F96"/>
  <c r="D96"/>
  <c r="C96"/>
  <c r="B96"/>
  <c r="A96"/>
  <c r="G95"/>
  <c r="F95"/>
  <c r="D95"/>
  <c r="C95"/>
  <c r="B95"/>
  <c r="A95"/>
  <c r="G94"/>
  <c r="F94"/>
  <c r="D94"/>
  <c r="C94"/>
  <c r="B94"/>
  <c r="A94"/>
  <c r="G93"/>
  <c r="F93"/>
  <c r="D93"/>
  <c r="C93"/>
  <c r="B93"/>
  <c r="A93"/>
  <c r="G92"/>
  <c r="F92"/>
  <c r="D92"/>
  <c r="C92"/>
  <c r="B92"/>
  <c r="A92"/>
  <c r="G91"/>
  <c r="F91"/>
  <c r="D91"/>
  <c r="C91"/>
  <c r="B91"/>
  <c r="A91"/>
  <c r="G90"/>
  <c r="F90"/>
  <c r="D90"/>
  <c r="C90"/>
  <c r="B90"/>
  <c r="A90"/>
  <c r="G89"/>
  <c r="F89"/>
  <c r="D89"/>
  <c r="C89"/>
  <c r="B89"/>
  <c r="A89"/>
  <c r="G88"/>
  <c r="F88"/>
  <c r="D88"/>
  <c r="C88"/>
  <c r="B88"/>
  <c r="A88"/>
  <c r="G87"/>
  <c r="F87"/>
  <c r="D87"/>
  <c r="C87"/>
  <c r="B87"/>
  <c r="A87"/>
  <c r="G86"/>
  <c r="F86"/>
  <c r="D86"/>
  <c r="C86"/>
  <c r="B86"/>
  <c r="A86"/>
  <c r="G85"/>
  <c r="F85"/>
  <c r="D85"/>
  <c r="C85"/>
  <c r="B85"/>
  <c r="A85"/>
  <c r="G84"/>
  <c r="F84"/>
  <c r="D84"/>
  <c r="C84"/>
  <c r="B84"/>
  <c r="A84"/>
  <c r="G83"/>
  <c r="F83"/>
  <c r="D83"/>
  <c r="C83"/>
  <c r="B83"/>
  <c r="A83"/>
  <c r="G82"/>
  <c r="F82"/>
  <c r="D82"/>
  <c r="C82"/>
  <c r="B82"/>
  <c r="A82"/>
  <c r="G81"/>
  <c r="F81"/>
  <c r="D81"/>
  <c r="C81"/>
  <c r="B81"/>
  <c r="A81"/>
  <c r="G80"/>
  <c r="F80"/>
  <c r="D80"/>
  <c r="C80"/>
  <c r="B80"/>
  <c r="A80"/>
  <c r="G79"/>
  <c r="F79"/>
  <c r="D79"/>
  <c r="C79"/>
  <c r="B79"/>
  <c r="A79"/>
  <c r="G78"/>
  <c r="F78"/>
  <c r="D78"/>
  <c r="C78"/>
  <c r="B78"/>
  <c r="A78"/>
  <c r="G77"/>
  <c r="F77"/>
  <c r="D77"/>
  <c r="C77"/>
  <c r="B77"/>
  <c r="A77"/>
  <c r="G76"/>
  <c r="F76"/>
  <c r="D76"/>
  <c r="C76"/>
  <c r="B76"/>
  <c r="A76"/>
  <c r="G75"/>
  <c r="F75"/>
  <c r="D75"/>
  <c r="C75"/>
  <c r="B75"/>
  <c r="A75"/>
  <c r="G74"/>
  <c r="F74"/>
  <c r="D74"/>
  <c r="C74"/>
  <c r="B74"/>
  <c r="A74"/>
  <c r="G73"/>
  <c r="F73"/>
  <c r="D73"/>
  <c r="C73"/>
  <c r="B73"/>
  <c r="A73"/>
  <c r="G72"/>
  <c r="F72"/>
  <c r="D72"/>
  <c r="C72"/>
  <c r="B72"/>
  <c r="A72"/>
  <c r="G71"/>
  <c r="F71"/>
  <c r="D71"/>
  <c r="C71"/>
  <c r="B71"/>
  <c r="A71"/>
  <c r="G70"/>
  <c r="F70"/>
  <c r="D70"/>
  <c r="C70"/>
  <c r="B70"/>
  <c r="A70"/>
  <c r="G69"/>
  <c r="F69"/>
  <c r="D69"/>
  <c r="C69"/>
  <c r="B69"/>
  <c r="A69"/>
  <c r="G68"/>
  <c r="F68"/>
  <c r="D68"/>
  <c r="C68"/>
  <c r="B68"/>
  <c r="A68"/>
  <c r="G67"/>
  <c r="F67"/>
  <c r="D67"/>
  <c r="C67"/>
  <c r="B67"/>
  <c r="A67"/>
  <c r="G66"/>
  <c r="F66"/>
  <c r="D66"/>
  <c r="C66"/>
  <c r="B66"/>
  <c r="A66"/>
  <c r="G65"/>
  <c r="F65"/>
  <c r="D65"/>
  <c r="C65"/>
  <c r="B65"/>
  <c r="A65"/>
  <c r="G64"/>
  <c r="F64"/>
  <c r="D64"/>
  <c r="C64"/>
  <c r="B64"/>
  <c r="A64"/>
  <c r="G63"/>
  <c r="F63"/>
  <c r="D63"/>
  <c r="C63"/>
  <c r="B63"/>
  <c r="A63"/>
  <c r="G62"/>
  <c r="F62"/>
  <c r="D62"/>
  <c r="C62"/>
  <c r="B62"/>
  <c r="A62"/>
  <c r="G61"/>
  <c r="F61"/>
  <c r="D61"/>
  <c r="C61"/>
  <c r="B61"/>
  <c r="A61"/>
  <c r="G60"/>
  <c r="F60"/>
  <c r="D60"/>
  <c r="C60"/>
  <c r="B60"/>
  <c r="A60"/>
  <c r="G59"/>
  <c r="F59"/>
  <c r="D59"/>
  <c r="C59"/>
  <c r="B59"/>
  <c r="A59"/>
  <c r="G58"/>
  <c r="F58"/>
  <c r="D58"/>
  <c r="C58"/>
  <c r="B58"/>
  <c r="A58"/>
  <c r="G57"/>
  <c r="F57"/>
  <c r="D57"/>
  <c r="C57"/>
  <c r="B57"/>
  <c r="A57"/>
  <c r="G56"/>
  <c r="F56"/>
  <c r="D56"/>
  <c r="C56"/>
  <c r="B56"/>
  <c r="A56"/>
  <c r="G55"/>
  <c r="F55"/>
  <c r="D55"/>
  <c r="C55"/>
  <c r="B55"/>
  <c r="A55"/>
  <c r="G54"/>
  <c r="F54"/>
  <c r="D54"/>
  <c r="C54"/>
  <c r="B54"/>
  <c r="A54"/>
  <c r="G53"/>
  <c r="F53"/>
  <c r="D53"/>
  <c r="C53"/>
  <c r="B53"/>
  <c r="A53"/>
  <c r="G52"/>
  <c r="F52"/>
  <c r="D52"/>
  <c r="C52"/>
  <c r="B52"/>
  <c r="A52"/>
  <c r="G51"/>
  <c r="F51"/>
  <c r="D51"/>
  <c r="C51"/>
  <c r="B51"/>
  <c r="A51"/>
  <c r="G50"/>
  <c r="F50"/>
  <c r="D50"/>
  <c r="C50"/>
  <c r="B50"/>
  <c r="A50"/>
  <c r="G49"/>
  <c r="F49"/>
  <c r="D49"/>
  <c r="C49"/>
  <c r="B49"/>
  <c r="A49"/>
  <c r="G48"/>
  <c r="F48"/>
  <c r="D48"/>
  <c r="C48"/>
  <c r="B48"/>
  <c r="A48"/>
  <c r="G47"/>
  <c r="F47"/>
  <c r="D47"/>
  <c r="C47"/>
  <c r="B47"/>
  <c r="A47"/>
  <c r="G46"/>
  <c r="F46"/>
  <c r="D46"/>
  <c r="C46"/>
  <c r="B46"/>
  <c r="A46"/>
  <c r="G45"/>
  <c r="F45"/>
  <c r="D45"/>
  <c r="C45"/>
  <c r="B45"/>
  <c r="A45"/>
  <c r="G44"/>
  <c r="F44"/>
  <c r="D44"/>
  <c r="C44"/>
  <c r="B44"/>
  <c r="A44"/>
  <c r="G43"/>
  <c r="F43"/>
  <c r="D43"/>
  <c r="C43"/>
  <c r="B43"/>
  <c r="A43"/>
  <c r="G42"/>
  <c r="F42"/>
  <c r="D42"/>
  <c r="C42"/>
  <c r="B42"/>
  <c r="A42"/>
  <c r="G41"/>
  <c r="F41"/>
  <c r="D41"/>
  <c r="C41"/>
  <c r="B41"/>
  <c r="A41"/>
  <c r="G40"/>
  <c r="F40"/>
  <c r="D40"/>
  <c r="C40"/>
  <c r="B40"/>
  <c r="A40"/>
  <c r="G39"/>
  <c r="F39"/>
  <c r="D39"/>
  <c r="C39"/>
  <c r="B39"/>
  <c r="A39"/>
  <c r="G38"/>
  <c r="F38"/>
  <c r="D38"/>
  <c r="C38"/>
  <c r="B38"/>
  <c r="A38"/>
  <c r="G37"/>
  <c r="F37"/>
  <c r="D37"/>
  <c r="C37"/>
  <c r="B37"/>
  <c r="A37"/>
  <c r="G36"/>
  <c r="F36"/>
  <c r="D36"/>
  <c r="C36"/>
  <c r="B36"/>
  <c r="A36"/>
  <c r="G35"/>
  <c r="F35"/>
  <c r="D35"/>
  <c r="C35"/>
  <c r="B35"/>
  <c r="A35"/>
  <c r="G34"/>
  <c r="F34"/>
  <c r="D34"/>
  <c r="C34"/>
  <c r="B34"/>
  <c r="A34"/>
  <c r="G33"/>
  <c r="F33"/>
  <c r="D33"/>
  <c r="C33"/>
  <c r="B33"/>
  <c r="A33"/>
  <c r="G32"/>
  <c r="F32"/>
  <c r="D32"/>
  <c r="C32"/>
  <c r="B32"/>
  <c r="A32"/>
  <c r="G31"/>
  <c r="F31"/>
  <c r="D31"/>
  <c r="C31"/>
  <c r="B31"/>
  <c r="A31"/>
  <c r="G30"/>
  <c r="F30"/>
  <c r="D30"/>
  <c r="C30"/>
  <c r="B30"/>
  <c r="A30"/>
  <c r="G29"/>
  <c r="F29"/>
  <c r="D29"/>
  <c r="C29"/>
  <c r="B29"/>
  <c r="A29"/>
  <c r="G28"/>
  <c r="F28"/>
  <c r="D28"/>
  <c r="C28"/>
  <c r="B28"/>
  <c r="A28"/>
  <c r="G27"/>
  <c r="F27"/>
  <c r="D27"/>
  <c r="C27"/>
  <c r="B27"/>
  <c r="A27"/>
  <c r="G26"/>
  <c r="F26"/>
  <c r="D26"/>
  <c r="C26"/>
  <c r="B26"/>
  <c r="A26"/>
  <c r="G25"/>
  <c r="F25"/>
  <c r="D25"/>
  <c r="C25"/>
  <c r="B25"/>
  <c r="A25"/>
  <c r="G24"/>
  <c r="F24"/>
  <c r="D24"/>
  <c r="C24"/>
  <c r="B24"/>
  <c r="A24"/>
  <c r="G23"/>
  <c r="F23"/>
  <c r="D23"/>
  <c r="C23"/>
  <c r="B23"/>
  <c r="A23"/>
  <c r="G22"/>
  <c r="F22"/>
  <c r="D22"/>
  <c r="C22"/>
  <c r="B22"/>
  <c r="A22"/>
  <c r="G21"/>
  <c r="F21"/>
  <c r="D21"/>
  <c r="C21"/>
  <c r="B21"/>
  <c r="A21"/>
  <c r="G20"/>
  <c r="F20"/>
  <c r="D20"/>
  <c r="C20"/>
  <c r="B20"/>
  <c r="A20"/>
  <c r="G19"/>
  <c r="F19"/>
  <c r="D19"/>
  <c r="C19"/>
  <c r="B19"/>
  <c r="A19"/>
  <c r="G18"/>
  <c r="F18"/>
  <c r="D18"/>
  <c r="C18"/>
  <c r="B18"/>
  <c r="A18"/>
  <c r="G17"/>
  <c r="F17"/>
  <c r="D17"/>
  <c r="C17"/>
  <c r="B17"/>
  <c r="A17"/>
  <c r="G16"/>
  <c r="F16"/>
  <c r="D16"/>
  <c r="C16"/>
  <c r="B16"/>
  <c r="A16"/>
  <c r="G15"/>
  <c r="F15"/>
  <c r="D15"/>
  <c r="C15"/>
  <c r="B15"/>
  <c r="A15"/>
  <c r="G14"/>
  <c r="F14"/>
  <c r="D14"/>
  <c r="C14"/>
  <c r="B14"/>
  <c r="A14"/>
  <c r="G13"/>
  <c r="F13"/>
  <c r="D13"/>
  <c r="C13"/>
  <c r="B13"/>
  <c r="A13"/>
  <c r="G12"/>
  <c r="F12"/>
  <c r="D12"/>
  <c r="C12"/>
  <c r="B12"/>
  <c r="A12"/>
  <c r="G11"/>
  <c r="F11"/>
  <c r="D11"/>
  <c r="C11"/>
  <c r="B11"/>
  <c r="A11"/>
  <c r="G10"/>
  <c r="F10"/>
  <c r="D10"/>
  <c r="C10"/>
  <c r="B10"/>
  <c r="A10"/>
  <c r="G9"/>
  <c r="F9"/>
  <c r="D9"/>
  <c r="C9"/>
  <c r="B9"/>
  <c r="A9"/>
  <c r="G8"/>
  <c r="F8"/>
  <c r="D8"/>
  <c r="C8"/>
  <c r="B8"/>
  <c r="A8"/>
  <c r="G7"/>
  <c r="F7"/>
  <c r="D7"/>
  <c r="C7"/>
  <c r="B7"/>
  <c r="A7"/>
  <c r="G6"/>
  <c r="F6"/>
  <c r="D6"/>
  <c r="C6"/>
  <c r="B6"/>
  <c r="A6"/>
  <c r="G5"/>
  <c r="F5"/>
  <c r="D5"/>
  <c r="C5"/>
  <c r="B5"/>
  <c r="A5"/>
  <c r="G4"/>
  <c r="F4"/>
  <c r="D4"/>
  <c r="C4"/>
  <c r="B4"/>
  <c r="A4"/>
  <c r="G3"/>
  <c r="F3"/>
  <c r="D3"/>
  <c r="C3"/>
  <c r="B3"/>
  <c r="A3"/>
  <c r="C110" i="38"/>
  <c r="B110"/>
  <c r="C105"/>
  <c r="C106" s="1"/>
  <c r="B105"/>
  <c r="B106" s="1"/>
  <c r="C100"/>
  <c r="C101" s="1"/>
  <c r="B100"/>
  <c r="B101" s="1"/>
  <c r="C95"/>
  <c r="C96" s="1"/>
  <c r="B95"/>
  <c r="B96" s="1"/>
  <c r="B90"/>
  <c r="B91" s="1"/>
  <c r="C90"/>
  <c r="C91" s="1"/>
  <c r="B85"/>
  <c r="B86" s="1"/>
  <c r="C85"/>
  <c r="C86" s="1"/>
  <c r="C81"/>
  <c r="B81"/>
  <c r="C77"/>
  <c r="B77"/>
  <c r="C68"/>
  <c r="A46"/>
  <c r="A108" s="1"/>
  <c r="A41"/>
  <c r="A103" s="1"/>
  <c r="A36"/>
  <c r="A98" s="1"/>
  <c r="A31"/>
  <c r="A93" s="1"/>
  <c r="A26"/>
  <c r="A88" s="1"/>
  <c r="A21"/>
  <c r="A83" s="1"/>
  <c r="A17"/>
  <c r="A79" s="1"/>
  <c r="A13"/>
  <c r="A75" s="1"/>
  <c r="F293" i="37"/>
  <c r="F292"/>
  <c r="F291"/>
  <c r="F290"/>
  <c r="F289"/>
  <c r="F288"/>
  <c r="F287"/>
  <c r="F286"/>
  <c r="F285"/>
  <c r="F284"/>
  <c r="F283"/>
  <c r="F279"/>
  <c r="L44" i="38" s="1"/>
  <c r="L44" i="11" s="1"/>
  <c r="E279" i="37"/>
  <c r="L39" i="38" s="1"/>
  <c r="L39" i="11" s="1"/>
  <c r="D279" i="37"/>
  <c r="L34" i="38" s="1"/>
  <c r="L34" i="11" s="1"/>
  <c r="C279" i="37"/>
  <c r="L29" i="38" s="1"/>
  <c r="L29" i="11" s="1"/>
  <c r="B279" i="37"/>
  <c r="L24" i="38" s="1"/>
  <c r="L24" i="11" s="1"/>
  <c r="F278" i="37"/>
  <c r="K44" i="38" s="1"/>
  <c r="K44" i="11" s="1"/>
  <c r="E278" i="37"/>
  <c r="K39" i="38" s="1"/>
  <c r="K39" i="11" s="1"/>
  <c r="D278" i="37"/>
  <c r="K34" i="38" s="1"/>
  <c r="K34" i="11" s="1"/>
  <c r="C278" i="37"/>
  <c r="K29" i="38" s="1"/>
  <c r="K29" i="11" s="1"/>
  <c r="B278" i="37"/>
  <c r="K24" i="38" s="1"/>
  <c r="K24" i="11" s="1"/>
  <c r="F277" i="37"/>
  <c r="J44" i="38" s="1"/>
  <c r="J44" i="11" s="1"/>
  <c r="E277" i="37"/>
  <c r="J39" i="38" s="1"/>
  <c r="J39" i="11" s="1"/>
  <c r="D277" i="37"/>
  <c r="J34" i="38" s="1"/>
  <c r="J34" i="11" s="1"/>
  <c r="C277" i="37"/>
  <c r="J29" i="38" s="1"/>
  <c r="J29" i="11" s="1"/>
  <c r="B277" i="37"/>
  <c r="J24" i="38" s="1"/>
  <c r="J24" i="11" s="1"/>
  <c r="F276" i="37"/>
  <c r="I44" i="38" s="1"/>
  <c r="I44" i="11" s="1"/>
  <c r="E276" i="37"/>
  <c r="I39" i="38" s="1"/>
  <c r="I39" i="11" s="1"/>
  <c r="D276" i="37"/>
  <c r="I34" i="38" s="1"/>
  <c r="I34" i="11" s="1"/>
  <c r="C276" i="37"/>
  <c r="I29" i="38" s="1"/>
  <c r="I29" i="11" s="1"/>
  <c r="B276" i="37"/>
  <c r="I24" i="38" s="1"/>
  <c r="I24" i="11" s="1"/>
  <c r="F275" i="37"/>
  <c r="H44" i="38" s="1"/>
  <c r="H44" i="11" s="1"/>
  <c r="E275" i="37"/>
  <c r="H39" i="38" s="1"/>
  <c r="H39" i="11" s="1"/>
  <c r="D275" i="37"/>
  <c r="H34" i="38" s="1"/>
  <c r="H34" i="11" s="1"/>
  <c r="C275" i="37"/>
  <c r="H29" i="38" s="1"/>
  <c r="H29" i="11" s="1"/>
  <c r="B275" i="37"/>
  <c r="H24" i="38" s="1"/>
  <c r="H24" i="11" s="1"/>
  <c r="F274" i="37"/>
  <c r="G44" i="38" s="1"/>
  <c r="G44" i="11" s="1"/>
  <c r="E274" i="37"/>
  <c r="G39" i="38" s="1"/>
  <c r="G39" i="11" s="1"/>
  <c r="D274" i="37"/>
  <c r="G34" i="38" s="1"/>
  <c r="G34" i="11" s="1"/>
  <c r="C274" i="37"/>
  <c r="G29" i="38" s="1"/>
  <c r="G29" i="11" s="1"/>
  <c r="B274" i="37"/>
  <c r="G24" i="38" s="1"/>
  <c r="G24" i="11" s="1"/>
  <c r="F273" i="37"/>
  <c r="F44" i="38" s="1"/>
  <c r="F44" i="11" s="1"/>
  <c r="E273" i="37"/>
  <c r="F39" i="38" s="1"/>
  <c r="F39" i="11" s="1"/>
  <c r="D273" i="37"/>
  <c r="F34" i="38" s="1"/>
  <c r="F34" i="11" s="1"/>
  <c r="C273" i="37"/>
  <c r="F29" i="38" s="1"/>
  <c r="F29" i="11" s="1"/>
  <c r="B273" i="37"/>
  <c r="F24" i="38" s="1"/>
  <c r="F24" i="11" s="1"/>
  <c r="F272" i="37"/>
  <c r="E44" i="38" s="1"/>
  <c r="E44" i="11" s="1"/>
  <c r="E272" i="37"/>
  <c r="E39" i="38" s="1"/>
  <c r="E39" i="11" s="1"/>
  <c r="D272" i="37"/>
  <c r="E34" i="38" s="1"/>
  <c r="E34" i="11" s="1"/>
  <c r="C272" i="37"/>
  <c r="E29" i="38" s="1"/>
  <c r="E29" i="11" s="1"/>
  <c r="B272" i="37"/>
  <c r="E24" i="38" s="1"/>
  <c r="E24" i="11" s="1"/>
  <c r="F271" i="37"/>
  <c r="D44" i="38" s="1"/>
  <c r="D44" i="11" s="1"/>
  <c r="E271" i="37"/>
  <c r="D39" i="38" s="1"/>
  <c r="D39" i="11" s="1"/>
  <c r="D271" i="37"/>
  <c r="D34" i="38" s="1"/>
  <c r="D34" i="11" s="1"/>
  <c r="C271" i="37"/>
  <c r="D29" i="38" s="1"/>
  <c r="D29" i="11" s="1"/>
  <c r="B271" i="37"/>
  <c r="D24" i="38" s="1"/>
  <c r="D24" i="11" s="1"/>
  <c r="F270" i="37"/>
  <c r="C44" i="38" s="1"/>
  <c r="C44" i="11" s="1"/>
  <c r="E270" i="37"/>
  <c r="C39" i="38" s="1"/>
  <c r="C39" i="11" s="1"/>
  <c r="D270" i="37"/>
  <c r="C34" i="38" s="1"/>
  <c r="C34" i="11" s="1"/>
  <c r="C270" i="37"/>
  <c r="C29" i="38" s="1"/>
  <c r="C29" i="11" s="1"/>
  <c r="B270" i="37"/>
  <c r="C24" i="38" s="1"/>
  <c r="C24" i="11" s="1"/>
  <c r="F269" i="37"/>
  <c r="B44" i="38" s="1"/>
  <c r="B44" i="11" s="1"/>
  <c r="E269" i="37"/>
  <c r="B39" i="38" s="1"/>
  <c r="B39" i="11" s="1"/>
  <c r="D269" i="37"/>
  <c r="B34" i="38" s="1"/>
  <c r="B34" i="11" s="1"/>
  <c r="C269" i="37"/>
  <c r="B29" i="38" s="1"/>
  <c r="B29" i="11" s="1"/>
  <c r="B269" i="37"/>
  <c r="B24" i="38" s="1"/>
  <c r="B24" i="11" s="1"/>
  <c r="D106" i="38" l="1"/>
  <c r="F96"/>
  <c r="H106"/>
  <c r="E86"/>
  <c r="E91"/>
  <c r="E106"/>
  <c r="N32"/>
  <c r="F169" i="37"/>
  <c r="F18" i="17"/>
  <c r="G96" i="38"/>
  <c r="I106"/>
  <c r="H101"/>
  <c r="F91"/>
  <c r="E101"/>
  <c r="H86"/>
  <c r="F86"/>
  <c r="H91"/>
  <c r="D96"/>
  <c r="H96"/>
  <c r="F101"/>
  <c r="F106"/>
  <c r="D101"/>
  <c r="I101"/>
  <c r="G86"/>
  <c r="I91"/>
  <c r="E96"/>
  <c r="I96"/>
  <c r="G101"/>
  <c r="G106"/>
  <c r="D91"/>
  <c r="F67" i="44"/>
  <c r="Q46" i="37" s="1"/>
  <c r="F46" s="1"/>
  <c r="F58" i="44"/>
  <c r="C37"/>
  <c r="C45" s="1"/>
  <c r="C14" i="17"/>
  <c r="C158" i="37"/>
  <c r="J84" i="38"/>
  <c r="M22" i="11"/>
  <c r="J94" i="38"/>
  <c r="M32" i="11"/>
  <c r="B53" i="38"/>
  <c r="J53"/>
  <c r="C114"/>
  <c r="D53"/>
  <c r="H53"/>
  <c r="L53"/>
  <c r="G91"/>
  <c r="G53"/>
  <c r="D86"/>
  <c r="I86"/>
  <c r="E53"/>
  <c r="I53"/>
  <c r="C53"/>
  <c r="K53"/>
  <c r="F53"/>
  <c r="B115"/>
  <c r="C115"/>
  <c r="B114"/>
  <c r="F299" i="37"/>
  <c r="F303"/>
  <c r="F304"/>
  <c r="F307"/>
  <c r="F297"/>
  <c r="F301"/>
  <c r="G275"/>
  <c r="H10" i="38" s="1"/>
  <c r="G277" i="37"/>
  <c r="J10" i="38" s="1"/>
  <c r="F305" i="37"/>
  <c r="G270"/>
  <c r="C10" i="38" s="1"/>
  <c r="F298" i="37"/>
  <c r="G274"/>
  <c r="G10" i="38" s="1"/>
  <c r="F302" i="37"/>
  <c r="G278"/>
  <c r="K10" i="38" s="1"/>
  <c r="F306" i="37"/>
  <c r="F300"/>
  <c r="G273"/>
  <c r="F10" i="38" s="1"/>
  <c r="G271" i="37"/>
  <c r="D10" i="38" s="1"/>
  <c r="G279" i="37"/>
  <c r="L10" i="38" s="1"/>
  <c r="G272" i="37"/>
  <c r="E10" i="38" s="1"/>
  <c r="G269" i="37"/>
  <c r="B10" i="38" s="1"/>
  <c r="G276" i="37"/>
  <c r="I10" i="38" s="1"/>
  <c r="F115" l="1"/>
  <c r="F19" i="17"/>
  <c r="E115" i="38"/>
  <c r="G115"/>
  <c r="O32"/>
  <c r="F170" i="37"/>
  <c r="H115" i="38"/>
  <c r="E10" i="11"/>
  <c r="E58" i="38"/>
  <c r="E58" i="11" s="1"/>
  <c r="K10"/>
  <c r="K58" i="38"/>
  <c r="K58" i="11" s="1"/>
  <c r="C10"/>
  <c r="C58" i="38"/>
  <c r="C58" i="11" s="1"/>
  <c r="I10"/>
  <c r="I58" i="38"/>
  <c r="I58" i="11" s="1"/>
  <c r="H10"/>
  <c r="H58" i="38"/>
  <c r="H58" i="11" s="1"/>
  <c r="I115" i="38"/>
  <c r="L10" i="11"/>
  <c r="L58" i="38"/>
  <c r="L58" i="11" s="1"/>
  <c r="G10"/>
  <c r="G58" i="38"/>
  <c r="G58" i="11" s="1"/>
  <c r="D10"/>
  <c r="D58" i="38"/>
  <c r="D58" i="11" s="1"/>
  <c r="F58" i="38"/>
  <c r="F58" i="11" s="1"/>
  <c r="F10"/>
  <c r="J58" i="38"/>
  <c r="J58" i="11" s="1"/>
  <c r="J10"/>
  <c r="B58" i="38"/>
  <c r="B58" i="11" s="1"/>
  <c r="B10"/>
  <c r="K63" i="38"/>
  <c r="D115"/>
  <c r="B63"/>
  <c r="F59" i="44"/>
  <c r="F68"/>
  <c r="Q47" i="37" s="1"/>
  <c r="F47" s="1"/>
  <c r="C46" i="44"/>
  <c r="C47" s="1"/>
  <c r="C48" s="1"/>
  <c r="C49" s="1"/>
  <c r="C50" s="1"/>
  <c r="C55"/>
  <c r="C15" i="17"/>
  <c r="C33"/>
  <c r="F309" i="37"/>
  <c r="P32" i="38" l="1"/>
  <c r="F171" i="37"/>
  <c r="E63" i="38"/>
  <c r="I63"/>
  <c r="C63"/>
  <c r="G63"/>
  <c r="J63"/>
  <c r="F63"/>
  <c r="D63"/>
  <c r="H63"/>
  <c r="F60" i="44"/>
  <c r="F69"/>
  <c r="Q48" i="37" s="1"/>
  <c r="F48" s="1"/>
  <c r="C65" i="44"/>
  <c r="N44" i="37" s="1"/>
  <c r="C44" s="1"/>
  <c r="C56" i="44"/>
  <c r="C16" i="17"/>
  <c r="M18" i="38" l="1"/>
  <c r="C168" i="37"/>
  <c r="Q32" i="38"/>
  <c r="F172" i="37"/>
  <c r="F70" i="44"/>
  <c r="Q49" i="37" s="1"/>
  <c r="F49" s="1"/>
  <c r="C66" i="44"/>
  <c r="N45" i="37" s="1"/>
  <c r="C45" s="1"/>
  <c r="C57" i="44"/>
  <c r="C17" i="17"/>
  <c r="I165" i="37"/>
  <c r="H165"/>
  <c r="E179"/>
  <c r="H179"/>
  <c r="I179"/>
  <c r="B180"/>
  <c r="F179"/>
  <c r="F165"/>
  <c r="C180"/>
  <c r="C166"/>
  <c r="G180"/>
  <c r="G166"/>
  <c r="C179"/>
  <c r="C165"/>
  <c r="G179"/>
  <c r="G165"/>
  <c r="D180"/>
  <c r="D166"/>
  <c r="H180"/>
  <c r="H166"/>
  <c r="E180"/>
  <c r="I180"/>
  <c r="I166"/>
  <c r="B179"/>
  <c r="F180"/>
  <c r="D179"/>
  <c r="A223"/>
  <c r="A222"/>
  <c r="A221"/>
  <c r="A220"/>
  <c r="A219"/>
  <c r="A218"/>
  <c r="B24" i="17"/>
  <c r="B23"/>
  <c r="D165" i="37"/>
  <c r="B166"/>
  <c r="N18" i="38" l="1"/>
  <c r="C169" i="37"/>
  <c r="R32" i="38"/>
  <c r="F173" i="37"/>
  <c r="J80" i="38"/>
  <c r="M18" i="11"/>
  <c r="A245" i="37"/>
  <c r="A254" s="1"/>
  <c r="A263" s="1"/>
  <c r="A317" s="1"/>
  <c r="A235"/>
  <c r="A246"/>
  <c r="A255" s="1"/>
  <c r="A264" s="1"/>
  <c r="A318" s="1"/>
  <c r="A236"/>
  <c r="A243"/>
  <c r="A252" s="1"/>
  <c r="A261" s="1"/>
  <c r="A315" s="1"/>
  <c r="A233"/>
  <c r="A241"/>
  <c r="A250" s="1"/>
  <c r="A259" s="1"/>
  <c r="A313" s="1"/>
  <c r="A231"/>
  <c r="A242"/>
  <c r="A251" s="1"/>
  <c r="A260" s="1"/>
  <c r="A314" s="1"/>
  <c r="A232"/>
  <c r="A244"/>
  <c r="A253" s="1"/>
  <c r="A262" s="1"/>
  <c r="A316" s="1"/>
  <c r="A234"/>
  <c r="C58" i="44"/>
  <c r="C67"/>
  <c r="N46" i="37" s="1"/>
  <c r="C46" s="1"/>
  <c r="C18" i="17"/>
  <c r="B165" i="37"/>
  <c r="E165"/>
  <c r="F166"/>
  <c r="E166"/>
  <c r="I216"/>
  <c r="I229" s="1"/>
  <c r="H216"/>
  <c r="H229" s="1"/>
  <c r="G216"/>
  <c r="G229" s="1"/>
  <c r="F216"/>
  <c r="F229" s="1"/>
  <c r="E216"/>
  <c r="E229" s="1"/>
  <c r="D216"/>
  <c r="D229" s="1"/>
  <c r="C216"/>
  <c r="C229" s="1"/>
  <c r="B216"/>
  <c r="B229" s="1"/>
  <c r="I215"/>
  <c r="I228" s="1"/>
  <c r="H215"/>
  <c r="H228" s="1"/>
  <c r="G215"/>
  <c r="G228" s="1"/>
  <c r="F215"/>
  <c r="F228" s="1"/>
  <c r="E215"/>
  <c r="E228" s="1"/>
  <c r="C215"/>
  <c r="C228" s="1"/>
  <c r="B215"/>
  <c r="B228" s="1"/>
  <c r="D215"/>
  <c r="D228" s="1"/>
  <c r="I43"/>
  <c r="L47" i="38" s="1"/>
  <c r="H43" i="37"/>
  <c r="L42" i="38" s="1"/>
  <c r="G43" i="37"/>
  <c r="L37" i="38" s="1"/>
  <c r="F43" i="37"/>
  <c r="L32" i="38" s="1"/>
  <c r="E43" i="37"/>
  <c r="L27" i="38" s="1"/>
  <c r="D43" i="37"/>
  <c r="L22" i="38" s="1"/>
  <c r="C43" i="37"/>
  <c r="L18" i="38" s="1"/>
  <c r="I42" i="37"/>
  <c r="H42"/>
  <c r="G42"/>
  <c r="F42"/>
  <c r="K32" i="38" s="1"/>
  <c r="E42" i="37"/>
  <c r="K27" i="38" s="1"/>
  <c r="D42" i="37"/>
  <c r="C42"/>
  <c r="I41"/>
  <c r="H41"/>
  <c r="G41"/>
  <c r="F41"/>
  <c r="J32" i="38" s="1"/>
  <c r="E41" i="37"/>
  <c r="J27" i="38" s="1"/>
  <c r="D41" i="37"/>
  <c r="C41"/>
  <c r="I40"/>
  <c r="H40"/>
  <c r="G40"/>
  <c r="F40"/>
  <c r="I32" i="38" s="1"/>
  <c r="E40" i="37"/>
  <c r="I27" i="38" s="1"/>
  <c r="D40" i="37"/>
  <c r="C40"/>
  <c r="I39"/>
  <c r="H39"/>
  <c r="G39"/>
  <c r="F39"/>
  <c r="H32" i="38" s="1"/>
  <c r="E39" i="37"/>
  <c r="H27" i="38" s="1"/>
  <c r="D39" i="37"/>
  <c r="C39"/>
  <c r="I38"/>
  <c r="H38"/>
  <c r="G38"/>
  <c r="F38"/>
  <c r="G32" i="38" s="1"/>
  <c r="E38" i="37"/>
  <c r="G27" i="38" s="1"/>
  <c r="D38" i="37"/>
  <c r="C38"/>
  <c r="I37"/>
  <c r="H37"/>
  <c r="G37"/>
  <c r="F37"/>
  <c r="F32" i="38" s="1"/>
  <c r="E37" i="37"/>
  <c r="F27" i="38" s="1"/>
  <c r="D37" i="37"/>
  <c r="C37"/>
  <c r="I36"/>
  <c r="H36"/>
  <c r="G36"/>
  <c r="F36"/>
  <c r="E32" i="38" s="1"/>
  <c r="E36" i="37"/>
  <c r="E27" i="38" s="1"/>
  <c r="D36" i="37"/>
  <c r="C36"/>
  <c r="I35"/>
  <c r="H35"/>
  <c r="G35"/>
  <c r="F35"/>
  <c r="D32" i="38" s="1"/>
  <c r="D32" i="11" s="1"/>
  <c r="E35" i="37"/>
  <c r="D27" i="38" s="1"/>
  <c r="D27" i="11" s="1"/>
  <c r="D35" i="37"/>
  <c r="C35"/>
  <c r="I34"/>
  <c r="H34"/>
  <c r="G34"/>
  <c r="F34"/>
  <c r="C32" i="38" s="1"/>
  <c r="C32" i="11" s="1"/>
  <c r="E34" i="37"/>
  <c r="C27" i="38" s="1"/>
  <c r="C27" i="11" s="1"/>
  <c r="D34" i="37"/>
  <c r="C34"/>
  <c r="I33"/>
  <c r="H33"/>
  <c r="G33"/>
  <c r="F33"/>
  <c r="B32" i="38" s="1"/>
  <c r="B32" i="11" s="1"/>
  <c r="E33" i="37"/>
  <c r="B27" i="38" s="1"/>
  <c r="B27" i="11" s="1"/>
  <c r="D33" i="37"/>
  <c r="C33"/>
  <c r="B43"/>
  <c r="L14" i="38" s="1"/>
  <c r="B42" i="37"/>
  <c r="B41"/>
  <c r="B40"/>
  <c r="B39"/>
  <c r="B38"/>
  <c r="B37"/>
  <c r="B36"/>
  <c r="B35"/>
  <c r="B34"/>
  <c r="B33"/>
  <c r="J31"/>
  <c r="J30"/>
  <c r="B134" l="1"/>
  <c r="E14" i="38"/>
  <c r="C131" i="37"/>
  <c r="B18" i="38"/>
  <c r="B18" i="11" s="1"/>
  <c r="D132" i="37"/>
  <c r="D148" s="1"/>
  <c r="C22" i="38"/>
  <c r="C22" i="11" s="1"/>
  <c r="H132" i="37"/>
  <c r="C42" i="38"/>
  <c r="C42" i="11" s="1"/>
  <c r="I133" i="37"/>
  <c r="D47" i="38"/>
  <c r="D47" i="11" s="1"/>
  <c r="D136" i="37"/>
  <c r="G22" i="38"/>
  <c r="I137" i="37"/>
  <c r="H47" i="38"/>
  <c r="C139" i="37"/>
  <c r="J18" i="38"/>
  <c r="D140" i="37"/>
  <c r="K22" i="38"/>
  <c r="L47" i="11"/>
  <c r="I109" i="38"/>
  <c r="B131" i="37"/>
  <c r="B14" i="38"/>
  <c r="B135" i="37"/>
  <c r="F14" i="38"/>
  <c r="B139" i="37"/>
  <c r="J14" i="38"/>
  <c r="D131" i="37"/>
  <c r="B22" i="38"/>
  <c r="B22" i="11" s="1"/>
  <c r="H131" i="37"/>
  <c r="B42" i="38"/>
  <c r="B42" i="11" s="1"/>
  <c r="I132" i="37"/>
  <c r="C47" i="38"/>
  <c r="C47" i="11" s="1"/>
  <c r="C134" i="37"/>
  <c r="E18" i="38"/>
  <c r="G134" i="37"/>
  <c r="E37" i="38"/>
  <c r="D135" i="37"/>
  <c r="F22" i="38"/>
  <c r="H135" i="37"/>
  <c r="F42" i="38"/>
  <c r="D89"/>
  <c r="G27" i="11"/>
  <c r="I136" i="37"/>
  <c r="G47" i="38"/>
  <c r="H32" i="11"/>
  <c r="E94" i="38"/>
  <c r="C138" i="37"/>
  <c r="I18" i="38"/>
  <c r="G138" i="37"/>
  <c r="I37" i="38"/>
  <c r="D139" i="37"/>
  <c r="J22" i="38"/>
  <c r="H139" i="37"/>
  <c r="J42" i="38"/>
  <c r="K27" i="11"/>
  <c r="H89" i="38"/>
  <c r="I140" i="37"/>
  <c r="K47" i="38"/>
  <c r="I94"/>
  <c r="L32" i="11"/>
  <c r="B132" i="37"/>
  <c r="B148" s="1"/>
  <c r="C14" i="38"/>
  <c r="B136" i="37"/>
  <c r="G14" i="38"/>
  <c r="B140" i="37"/>
  <c r="K14" i="38"/>
  <c r="I131" i="37"/>
  <c r="B47" i="38"/>
  <c r="B47" i="11" s="1"/>
  <c r="C133" i="37"/>
  <c r="D18" i="38"/>
  <c r="D18" i="11" s="1"/>
  <c r="G133" i="37"/>
  <c r="D37" i="38"/>
  <c r="D37" i="11" s="1"/>
  <c r="D134" i="37"/>
  <c r="E22" i="38"/>
  <c r="H134" i="37"/>
  <c r="E42" i="38"/>
  <c r="C89"/>
  <c r="F27" i="11"/>
  <c r="I135" i="37"/>
  <c r="F47" i="38"/>
  <c r="G32" i="11"/>
  <c r="D94" i="38"/>
  <c r="C137" i="37"/>
  <c r="H18" i="38"/>
  <c r="G137" i="37"/>
  <c r="H37" i="38"/>
  <c r="D138" i="37"/>
  <c r="I22" i="38"/>
  <c r="H138" i="37"/>
  <c r="I42" i="38"/>
  <c r="J27" i="11"/>
  <c r="G89" i="38"/>
  <c r="I139" i="37"/>
  <c r="J47" i="38"/>
  <c r="K32" i="11"/>
  <c r="H94" i="38"/>
  <c r="L18" i="11"/>
  <c r="I80" i="38"/>
  <c r="L37" i="11"/>
  <c r="I99" i="38"/>
  <c r="B138" i="37"/>
  <c r="I14" i="38"/>
  <c r="G131" i="37"/>
  <c r="B37" i="38"/>
  <c r="B37" i="11" s="1"/>
  <c r="E32"/>
  <c r="B94" i="38"/>
  <c r="C135" i="37"/>
  <c r="F18" i="38"/>
  <c r="G135" i="37"/>
  <c r="F37" i="38"/>
  <c r="H136" i="37"/>
  <c r="G42" i="38"/>
  <c r="H27" i="11"/>
  <c r="E89" i="38"/>
  <c r="I32" i="11"/>
  <c r="F94" i="38"/>
  <c r="G139" i="37"/>
  <c r="J37" i="38"/>
  <c r="H140" i="37"/>
  <c r="K42" i="38"/>
  <c r="L27" i="11"/>
  <c r="I89" i="38"/>
  <c r="B133" i="37"/>
  <c r="D14" i="38"/>
  <c r="B137" i="37"/>
  <c r="H14" i="38"/>
  <c r="L14" i="11"/>
  <c r="I76" i="38"/>
  <c r="C132" i="37"/>
  <c r="C18" i="38"/>
  <c r="C18" i="11" s="1"/>
  <c r="G132" i="37"/>
  <c r="C37" i="38"/>
  <c r="C37" i="11" s="1"/>
  <c r="D133" i="37"/>
  <c r="D22" i="38"/>
  <c r="D22" i="11" s="1"/>
  <c r="H133" i="37"/>
  <c r="D42" i="38"/>
  <c r="D42" i="11" s="1"/>
  <c r="B89" i="38"/>
  <c r="E27" i="11"/>
  <c r="I134" i="37"/>
  <c r="I150" s="1"/>
  <c r="E47" i="38"/>
  <c r="C94"/>
  <c r="F32" i="11"/>
  <c r="C136" i="37"/>
  <c r="G18" i="38"/>
  <c r="G136" i="37"/>
  <c r="G37" i="38"/>
  <c r="D137" i="37"/>
  <c r="H22" i="38"/>
  <c r="H137" i="37"/>
  <c r="H42" i="38"/>
  <c r="F89"/>
  <c r="I27" i="11"/>
  <c r="I138" i="37"/>
  <c r="I47" i="38"/>
  <c r="J32" i="11"/>
  <c r="G94" i="38"/>
  <c r="C140" i="37"/>
  <c r="K18" i="38"/>
  <c r="G140" i="37"/>
  <c r="K37" i="38"/>
  <c r="L22" i="11"/>
  <c r="I84" i="38"/>
  <c r="O18"/>
  <c r="C170" i="37"/>
  <c r="J166"/>
  <c r="C148"/>
  <c r="C59" i="44"/>
  <c r="C68"/>
  <c r="N47" i="37" s="1"/>
  <c r="C47" s="1"/>
  <c r="C19" i="17"/>
  <c r="I155" i="37"/>
  <c r="G148"/>
  <c r="I154"/>
  <c r="J165"/>
  <c r="H148"/>
  <c r="I149"/>
  <c r="I153"/>
  <c r="I152"/>
  <c r="I156"/>
  <c r="E132"/>
  <c r="E140"/>
  <c r="F141"/>
  <c r="E135"/>
  <c r="E139"/>
  <c r="F140"/>
  <c r="G141"/>
  <c r="B141"/>
  <c r="F131"/>
  <c r="E134"/>
  <c r="F135"/>
  <c r="E138"/>
  <c r="F139"/>
  <c r="D141"/>
  <c r="H141"/>
  <c r="F133"/>
  <c r="E136"/>
  <c r="F137"/>
  <c r="E131"/>
  <c r="F132"/>
  <c r="F136"/>
  <c r="C141"/>
  <c r="E133"/>
  <c r="F134"/>
  <c r="E137"/>
  <c r="F138"/>
  <c r="E141"/>
  <c r="I141"/>
  <c r="G149"/>
  <c r="B154"/>
  <c r="J36"/>
  <c r="E56" i="38" s="1"/>
  <c r="J40" i="37"/>
  <c r="I56" i="38" s="1"/>
  <c r="J35" i="37"/>
  <c r="D56" i="38" s="1"/>
  <c r="J37" i="37"/>
  <c r="F56" i="38" s="1"/>
  <c r="J39" i="37"/>
  <c r="H56" i="38" s="1"/>
  <c r="J41" i="37"/>
  <c r="J56" i="38" s="1"/>
  <c r="J43" i="37"/>
  <c r="L56" i="38" s="1"/>
  <c r="J42" i="37"/>
  <c r="K56" i="38" s="1"/>
  <c r="J34" i="37"/>
  <c r="C56" i="38" s="1"/>
  <c r="J38" i="37"/>
  <c r="G56" i="38" s="1"/>
  <c r="J33" i="37"/>
  <c r="B56" i="38" s="1"/>
  <c r="I148" i="37" l="1"/>
  <c r="I22" i="11"/>
  <c r="F84" i="38"/>
  <c r="H18" i="11"/>
  <c r="E80" i="38"/>
  <c r="F47" i="11"/>
  <c r="C109" i="38"/>
  <c r="E42" i="11"/>
  <c r="B104" i="38"/>
  <c r="G14" i="11"/>
  <c r="G51" i="38"/>
  <c r="D76"/>
  <c r="J22" i="11"/>
  <c r="G84" i="38"/>
  <c r="I18" i="11"/>
  <c r="F80" i="38"/>
  <c r="G47" i="11"/>
  <c r="D109" i="38"/>
  <c r="F42" i="11"/>
  <c r="C104" i="38"/>
  <c r="E37" i="11"/>
  <c r="B99" i="38"/>
  <c r="F51"/>
  <c r="F14" i="11"/>
  <c r="C76" i="38"/>
  <c r="J18" i="11"/>
  <c r="G80" i="38"/>
  <c r="D84"/>
  <c r="G22" i="11"/>
  <c r="I151" i="37"/>
  <c r="H80" i="38"/>
  <c r="K18" i="11"/>
  <c r="F109" i="38"/>
  <c r="I47" i="11"/>
  <c r="H42"/>
  <c r="E104" i="38"/>
  <c r="G37" i="11"/>
  <c r="D99" i="38"/>
  <c r="H14" i="11"/>
  <c r="E76" i="38"/>
  <c r="H51"/>
  <c r="J37" i="11"/>
  <c r="G99" i="38"/>
  <c r="C99"/>
  <c r="F37" i="11"/>
  <c r="I14"/>
  <c r="F76" i="38"/>
  <c r="I51"/>
  <c r="G109"/>
  <c r="J47" i="11"/>
  <c r="I42"/>
  <c r="F104" i="38"/>
  <c r="H37" i="11"/>
  <c r="E99" i="38"/>
  <c r="E22" i="11"/>
  <c r="B84" i="38"/>
  <c r="K14" i="11"/>
  <c r="H76" i="38"/>
  <c r="C14" i="11"/>
  <c r="C51" i="38"/>
  <c r="H109"/>
  <c r="K47" i="11"/>
  <c r="I37"/>
  <c r="F99" i="38"/>
  <c r="F22" i="11"/>
  <c r="C84" i="38"/>
  <c r="E18" i="11"/>
  <c r="B80" i="38"/>
  <c r="J14" i="11"/>
  <c r="G76" i="38"/>
  <c r="B14" i="11"/>
  <c r="B51" i="38"/>
  <c r="K22" i="11"/>
  <c r="H84" i="38"/>
  <c r="H47" i="11"/>
  <c r="E109" i="38"/>
  <c r="B76"/>
  <c r="E14" i="11"/>
  <c r="E51" i="38"/>
  <c r="P18"/>
  <c r="C171" i="37"/>
  <c r="K37" i="11"/>
  <c r="H99" i="38"/>
  <c r="H22" i="11"/>
  <c r="E84" i="38"/>
  <c r="G18" i="11"/>
  <c r="D80" i="38"/>
  <c r="B109"/>
  <c r="B113" s="1"/>
  <c r="E47" i="11"/>
  <c r="D14"/>
  <c r="D51" i="38"/>
  <c r="G42" i="11"/>
  <c r="D104" i="38"/>
  <c r="C80"/>
  <c r="F18" i="11"/>
  <c r="C60" i="44"/>
  <c r="C69"/>
  <c r="N48" i="37" s="1"/>
  <c r="C48" s="1"/>
  <c r="J131"/>
  <c r="I157"/>
  <c r="I159" s="1"/>
  <c r="F148"/>
  <c r="E148"/>
  <c r="B157"/>
  <c r="B153"/>
  <c r="B150"/>
  <c r="B155"/>
  <c r="B156"/>
  <c r="B152"/>
  <c r="B151"/>
  <c r="B149"/>
  <c r="H157"/>
  <c r="J132"/>
  <c r="F149"/>
  <c r="E149"/>
  <c r="H149"/>
  <c r="D149"/>
  <c r="C149"/>
  <c r="E152"/>
  <c r="J137"/>
  <c r="C156"/>
  <c r="C150"/>
  <c r="H152"/>
  <c r="C152"/>
  <c r="F154"/>
  <c r="D156"/>
  <c r="G151"/>
  <c r="H150"/>
  <c r="H155"/>
  <c r="D151"/>
  <c r="G154"/>
  <c r="D152"/>
  <c r="G156"/>
  <c r="H151"/>
  <c r="H153"/>
  <c r="F157"/>
  <c r="D155"/>
  <c r="G150"/>
  <c r="C153"/>
  <c r="G155"/>
  <c r="C151"/>
  <c r="F155"/>
  <c r="D153"/>
  <c r="G157"/>
  <c r="H154"/>
  <c r="E151"/>
  <c r="C157"/>
  <c r="E157"/>
  <c r="F150"/>
  <c r="D157"/>
  <c r="G152"/>
  <c r="F156"/>
  <c r="G153"/>
  <c r="D150"/>
  <c r="D154"/>
  <c r="C154"/>
  <c r="J135"/>
  <c r="J140"/>
  <c r="J138"/>
  <c r="E113" i="38" l="1"/>
  <c r="F113"/>
  <c r="C113"/>
  <c r="Q18"/>
  <c r="C172" i="37"/>
  <c r="D113" i="38"/>
  <c r="C70" i="44"/>
  <c r="N49" i="37" s="1"/>
  <c r="C49" s="1"/>
  <c r="J148"/>
  <c r="G159"/>
  <c r="D159"/>
  <c r="B159"/>
  <c r="J141"/>
  <c r="J157" s="1"/>
  <c r="J139"/>
  <c r="J156" s="1"/>
  <c r="F153"/>
  <c r="J134"/>
  <c r="J151" s="1"/>
  <c r="E155"/>
  <c r="C155"/>
  <c r="C159" s="1"/>
  <c r="E150"/>
  <c r="F151"/>
  <c r="E154"/>
  <c r="E153"/>
  <c r="H156"/>
  <c r="H159" s="1"/>
  <c r="J136"/>
  <c r="J153" s="1"/>
  <c r="J133"/>
  <c r="J149" s="1"/>
  <c r="F152"/>
  <c r="E156"/>
  <c r="J154"/>
  <c r="H68"/>
  <c r="H66"/>
  <c r="H65"/>
  <c r="H64"/>
  <c r="H63"/>
  <c r="H62"/>
  <c r="H61"/>
  <c r="I60"/>
  <c r="H60"/>
  <c r="I59"/>
  <c r="C48" i="38" s="1"/>
  <c r="C48" i="11" s="1"/>
  <c r="H59" i="37"/>
  <c r="I58"/>
  <c r="B48" i="38" s="1"/>
  <c r="B48" i="11" s="1"/>
  <c r="H58" i="37"/>
  <c r="H67"/>
  <c r="J55"/>
  <c r="R18" i="38" l="1"/>
  <c r="C173" i="37"/>
  <c r="H87"/>
  <c r="H186" s="1"/>
  <c r="F43" i="38"/>
  <c r="F43" i="11" s="1"/>
  <c r="H91" i="37"/>
  <c r="J43" i="38"/>
  <c r="I85" i="37"/>
  <c r="D48" i="38"/>
  <c r="D48" i="11" s="1"/>
  <c r="H83" i="37"/>
  <c r="H182" s="1"/>
  <c r="B43" i="38"/>
  <c r="B43" i="11" s="1"/>
  <c r="H85" i="37"/>
  <c r="H184" s="1"/>
  <c r="D43" i="38"/>
  <c r="D43" i="11" s="1"/>
  <c r="H89" i="37"/>
  <c r="H43" i="38"/>
  <c r="H92" i="37"/>
  <c r="K43" i="38"/>
  <c r="H84" i="37"/>
  <c r="H183" s="1"/>
  <c r="H198" s="1"/>
  <c r="C43" i="38"/>
  <c r="C43" i="11" s="1"/>
  <c r="H86" i="37"/>
  <c r="E43" i="38"/>
  <c r="E43" i="11" s="1"/>
  <c r="H88" i="37"/>
  <c r="H187" s="1"/>
  <c r="G43" i="38"/>
  <c r="H90" i="37"/>
  <c r="H189" s="1"/>
  <c r="I43" i="38"/>
  <c r="H93" i="37"/>
  <c r="H115" s="1"/>
  <c r="L43" i="38"/>
  <c r="E159" i="37"/>
  <c r="F159"/>
  <c r="B72" i="38"/>
  <c r="J80" i="37"/>
  <c r="I184"/>
  <c r="I84"/>
  <c r="I83"/>
  <c r="I182" s="1"/>
  <c r="H190"/>
  <c r="H185"/>
  <c r="H191"/>
  <c r="H192"/>
  <c r="H188"/>
  <c r="J152"/>
  <c r="J155"/>
  <c r="J150"/>
  <c r="H113"/>
  <c r="H106" l="1"/>
  <c r="J83" i="44"/>
  <c r="J179" i="37"/>
  <c r="J215" s="1"/>
  <c r="J228" s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J159" i="37"/>
  <c r="I106"/>
  <c r="I183"/>
  <c r="I198" s="1"/>
  <c r="I107"/>
  <c r="H111"/>
  <c r="H107"/>
  <c r="H109"/>
  <c r="H200"/>
  <c r="H204"/>
  <c r="H112"/>
  <c r="H110"/>
  <c r="H114"/>
  <c r="H108"/>
  <c r="H203"/>
  <c r="H199"/>
  <c r="H201"/>
  <c r="H205"/>
  <c r="H202"/>
  <c r="H206"/>
  <c r="H207"/>
  <c r="J56"/>
  <c r="E123" i="28"/>
  <c r="E2"/>
  <c r="E123" i="27"/>
  <c r="E2"/>
  <c r="E123" i="23"/>
  <c r="E2"/>
  <c r="E123" i="26"/>
  <c r="E2"/>
  <c r="E123" i="22"/>
  <c r="E2"/>
  <c r="E2" i="21"/>
  <c r="E2" i="20"/>
  <c r="H209" i="37" l="1"/>
  <c r="I199"/>
  <c r="H116"/>
  <c r="C72" i="38"/>
  <c r="J81" i="37"/>
  <c r="E123" i="32"/>
  <c r="N123" i="39" s="1"/>
  <c r="E2" i="33"/>
  <c r="E2" i="32"/>
  <c r="J84" i="44" l="1"/>
  <c r="J180" i="37"/>
  <c r="J216" s="1"/>
  <c r="J229" s="1"/>
  <c r="E132" i="19" l="1"/>
  <c r="E133" s="1"/>
  <c r="E129"/>
  <c r="E130" s="1"/>
  <c r="E126"/>
  <c r="E120"/>
  <c r="E117"/>
  <c r="E118" s="1"/>
  <c r="E114"/>
  <c r="E115" s="1"/>
  <c r="E111"/>
  <c r="E108"/>
  <c r="E109" s="1"/>
  <c r="E105"/>
  <c r="E102"/>
  <c r="E99"/>
  <c r="E100" s="1"/>
  <c r="E96"/>
  <c r="E97" s="1"/>
  <c r="E93"/>
  <c r="E90"/>
  <c r="E91" s="1"/>
  <c r="E87"/>
  <c r="E84"/>
  <c r="E81"/>
  <c r="E82" s="1"/>
  <c r="E78"/>
  <c r="E75"/>
  <c r="E72"/>
  <c r="E73" s="1"/>
  <c r="E69"/>
  <c r="E70" s="1"/>
  <c r="E66"/>
  <c r="E63"/>
  <c r="E60"/>
  <c r="E57"/>
  <c r="E54"/>
  <c r="E51"/>
  <c r="E48"/>
  <c r="E49" s="1"/>
  <c r="E45"/>
  <c r="E46" s="1"/>
  <c r="E42"/>
  <c r="E43" s="1"/>
  <c r="E39"/>
  <c r="E36"/>
  <c r="E33"/>
  <c r="E30"/>
  <c r="E27"/>
  <c r="E24"/>
  <c r="E21"/>
  <c r="E18"/>
  <c r="E15"/>
  <c r="E16" s="1"/>
  <c r="E12"/>
  <c r="E13" s="1"/>
  <c r="E9"/>
  <c r="E6"/>
  <c r="E7" s="1"/>
  <c r="E124"/>
  <c r="E121"/>
  <c r="E103"/>
  <c r="E3"/>
  <c r="E4" s="1"/>
  <c r="E101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/>
  <c r="E87" i="28"/>
  <c r="E87" i="23"/>
  <c r="E87" i="26"/>
  <c r="E87" i="27"/>
  <c r="E87" i="22"/>
  <c r="E87" i="32"/>
  <c r="N87" i="39" s="1"/>
  <c r="E111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/>
  <c r="E90" i="27"/>
  <c r="E90" i="28"/>
  <c r="E90" i="23"/>
  <c r="E90" i="26"/>
  <c r="E90" i="22"/>
  <c r="E90" i="32"/>
  <c r="N90" i="39" s="1"/>
  <c r="E102"/>
  <c r="E102" i="27"/>
  <c r="E102" i="28"/>
  <c r="E102" i="23"/>
  <c r="E102" i="26"/>
  <c r="E102" i="22"/>
  <c r="E102" i="32"/>
  <c r="N102" i="39" s="1"/>
  <c r="E114"/>
  <c r="E114" i="27"/>
  <c r="E114" i="28"/>
  <c r="E114" i="23"/>
  <c r="E114" i="26"/>
  <c r="E114" i="22"/>
  <c r="E114" i="32"/>
  <c r="N114" i="39" s="1"/>
  <c r="E12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/>
  <c r="E69" i="27"/>
  <c r="E69" i="22"/>
  <c r="E69" i="23"/>
  <c r="E69" i="26"/>
  <c r="E69" i="28"/>
  <c r="E69" i="32"/>
  <c r="N69" i="39" s="1"/>
  <c r="E81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/>
  <c r="E117" i="27"/>
  <c r="E117" i="22"/>
  <c r="E117" i="28"/>
  <c r="E117" i="23"/>
  <c r="E117" i="26"/>
  <c r="E117" i="32"/>
  <c r="N117" i="39" s="1"/>
  <c r="E132"/>
  <c r="E132" i="27"/>
  <c r="E132" i="26"/>
  <c r="E132" i="28"/>
  <c r="E132" i="23"/>
  <c r="E132" i="22"/>
  <c r="E132" i="32"/>
  <c r="N132" i="39" s="1"/>
  <c r="E3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/>
  <c r="E96" i="28"/>
  <c r="E96" i="23"/>
  <c r="E96" i="27"/>
  <c r="E96" i="22"/>
  <c r="E96" i="26"/>
  <c r="E96" i="32"/>
  <c r="N96" i="39" s="1"/>
  <c r="E108"/>
  <c r="E108" i="28"/>
  <c r="E108" i="23"/>
  <c r="E108" i="27"/>
  <c r="E108" i="22"/>
  <c r="E108" i="26"/>
  <c r="E108" i="32"/>
  <c r="N108" i="39" s="1"/>
  <c r="E120"/>
  <c r="E120" i="28"/>
  <c r="E120" i="23"/>
  <c r="E120" i="27"/>
  <c r="E120" i="26"/>
  <c r="E120" i="22"/>
  <c r="E120" i="32"/>
  <c r="N120" i="39" s="1"/>
  <c r="E125" i="19"/>
  <c r="E124" i="39"/>
  <c r="E124" i="27"/>
  <c r="E124" i="26"/>
  <c r="E124" i="22"/>
  <c r="E124" i="23"/>
  <c r="E124" i="28"/>
  <c r="E124" i="32"/>
  <c r="N124" i="39" s="1"/>
  <c r="F35" i="18"/>
  <c r="F34"/>
  <c r="F33"/>
  <c r="F32"/>
  <c r="F31"/>
  <c r="F30"/>
  <c r="F29"/>
  <c r="F28"/>
  <c r="F27"/>
  <c r="F26"/>
  <c r="F25"/>
  <c r="G12"/>
  <c r="L63" i="38" s="1"/>
  <c r="N40" i="9"/>
  <c r="N39"/>
  <c r="N38"/>
  <c r="N37"/>
  <c r="N36"/>
  <c r="N35"/>
  <c r="N34"/>
  <c r="N33"/>
  <c r="N32"/>
  <c r="N31"/>
  <c r="I32" i="17"/>
  <c r="I31"/>
  <c r="I30"/>
  <c r="I29"/>
  <c r="F45" i="18" l="1"/>
  <c r="E95" i="19"/>
  <c r="E94" i="39"/>
  <c r="E94" i="27"/>
  <c r="E94" i="28"/>
  <c r="E94" i="23"/>
  <c r="E94" i="22"/>
  <c r="E94" i="26"/>
  <c r="E94" i="32"/>
  <c r="N94" i="39" s="1"/>
  <c r="E44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/>
  <c r="E50" i="27"/>
  <c r="E50" i="28"/>
  <c r="E50" i="23"/>
  <c r="E50" i="26"/>
  <c r="E50" i="22"/>
  <c r="E50" i="32"/>
  <c r="N50" i="39" s="1"/>
  <c r="E14"/>
  <c r="E14" i="27"/>
  <c r="E14" i="28"/>
  <c r="E14" i="23"/>
  <c r="E14" i="26"/>
  <c r="E14" i="22"/>
  <c r="E14" i="32"/>
  <c r="N14" i="39" s="1"/>
  <c r="E47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/>
  <c r="E134" i="27"/>
  <c r="E134" i="28"/>
  <c r="E134" i="23"/>
  <c r="E134" i="26"/>
  <c r="E134" i="22"/>
  <c r="E134" i="21"/>
  <c r="E134" i="32"/>
  <c r="N134" i="39" s="1"/>
  <c r="E135" i="19"/>
  <c r="E122" i="39"/>
  <c r="E122" i="27"/>
  <c r="E122" i="26"/>
  <c r="E122" i="28"/>
  <c r="E122" i="23"/>
  <c r="E122" i="22"/>
  <c r="E122" i="32"/>
  <c r="N122" i="39" s="1"/>
  <c r="E71"/>
  <c r="E71" i="28"/>
  <c r="E71" i="23"/>
  <c r="E71" i="26"/>
  <c r="E71" i="27"/>
  <c r="E71" i="22"/>
  <c r="E71" i="32"/>
  <c r="N71" i="39" s="1"/>
  <c r="E17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/>
  <c r="E131" i="27"/>
  <c r="E131" i="22"/>
  <c r="E131" i="23"/>
  <c r="E131" i="26"/>
  <c r="E131" i="28"/>
  <c r="E131" i="32"/>
  <c r="N131" i="39" s="1"/>
  <c r="E119"/>
  <c r="E119" i="28"/>
  <c r="E119" i="23"/>
  <c r="E119" i="26"/>
  <c r="E119" i="27"/>
  <c r="E119" i="22"/>
  <c r="E119" i="32"/>
  <c r="N119" i="39" s="1"/>
  <c r="E104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/>
  <c r="E116" i="28"/>
  <c r="E116" i="23"/>
  <c r="E116" i="27"/>
  <c r="E116" i="22"/>
  <c r="E116" i="26"/>
  <c r="E116" i="32"/>
  <c r="N116" i="39" s="1"/>
  <c r="E83"/>
  <c r="E83" i="28"/>
  <c r="E83" i="23"/>
  <c r="E83" i="26"/>
  <c r="E83" i="22"/>
  <c r="E83" i="27"/>
  <c r="E83" i="32"/>
  <c r="N83" i="39" s="1"/>
  <c r="E8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/>
  <c r="E92" i="28"/>
  <c r="E92" i="23"/>
  <c r="E92" i="27"/>
  <c r="E92" i="22"/>
  <c r="E92" i="26"/>
  <c r="E92" i="32"/>
  <c r="N92" i="39" s="1"/>
  <c r="E5"/>
  <c r="E5" i="27"/>
  <c r="E5" i="22"/>
  <c r="E5" i="23"/>
  <c r="E5" i="26"/>
  <c r="E5" i="28"/>
  <c r="E5" i="32"/>
  <c r="N5" i="39" s="1"/>
  <c r="E101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I42" i="17"/>
  <c r="N57" i="9"/>
  <c r="N58"/>
  <c r="J53" i="11"/>
  <c r="J63" s="1"/>
  <c r="L53"/>
  <c r="K53"/>
  <c r="K63" s="1"/>
  <c r="I40" i="17" l="1"/>
  <c r="I158" i="37" s="1"/>
  <c r="I38" i="44"/>
  <c r="E135" i="39"/>
  <c r="E135" i="28"/>
  <c r="E135" i="23"/>
  <c r="E135" i="27"/>
  <c r="E135" i="26"/>
  <c r="E135" i="22"/>
  <c r="E135" i="32"/>
  <c r="N135" i="39" s="1"/>
  <c r="E136" i="19"/>
  <c r="E77" i="39"/>
  <c r="E77" i="27"/>
  <c r="E77" i="22"/>
  <c r="E77" i="28"/>
  <c r="E77" i="23"/>
  <c r="E77" i="26"/>
  <c r="E77" i="32"/>
  <c r="N77" i="39" s="1"/>
  <c r="E11"/>
  <c r="E11" i="28"/>
  <c r="E11" i="26"/>
  <c r="E11" i="27"/>
  <c r="E11" i="22"/>
  <c r="E11" i="23"/>
  <c r="E11" i="32"/>
  <c r="N11" i="39" s="1"/>
  <c r="E53"/>
  <c r="E53" i="27"/>
  <c r="E53" i="22"/>
  <c r="E53" i="26"/>
  <c r="E53" i="28"/>
  <c r="E53" i="23"/>
  <c r="E53" i="32"/>
  <c r="N53" i="39" s="1"/>
  <c r="E59"/>
  <c r="E59" i="28"/>
  <c r="E59" i="23"/>
  <c r="E59" i="26"/>
  <c r="E59" i="27"/>
  <c r="E59" i="22"/>
  <c r="E59" i="32"/>
  <c r="N59" i="39" s="1"/>
  <c r="E80"/>
  <c r="E80" i="28"/>
  <c r="E80" i="23"/>
  <c r="E80" i="27"/>
  <c r="E80" i="22"/>
  <c r="E80" i="26"/>
  <c r="E80" i="32"/>
  <c r="N80" i="39" s="1"/>
  <c r="E86"/>
  <c r="E86" i="27"/>
  <c r="E86" i="28"/>
  <c r="E86" i="23"/>
  <c r="E86" i="26"/>
  <c r="E86" i="22"/>
  <c r="E86" i="32"/>
  <c r="N86" i="39" s="1"/>
  <c r="E113"/>
  <c r="E113" i="27"/>
  <c r="E113" i="28"/>
  <c r="E113" i="23"/>
  <c r="E113" i="22"/>
  <c r="E113" i="26"/>
  <c r="E113" i="32"/>
  <c r="N113" i="39" s="1"/>
  <c r="E29"/>
  <c r="E29" i="27"/>
  <c r="E29" i="22"/>
  <c r="E29" i="28"/>
  <c r="E29" i="23"/>
  <c r="E29" i="26"/>
  <c r="E29" i="32"/>
  <c r="N29" i="39" s="1"/>
  <c r="E20"/>
  <c r="E20" i="28"/>
  <c r="E20" i="23"/>
  <c r="E20" i="27"/>
  <c r="E20" i="22"/>
  <c r="E20" i="26"/>
  <c r="E20" i="32"/>
  <c r="N20" i="39" s="1"/>
  <c r="E32"/>
  <c r="E32" i="28"/>
  <c r="E32" i="23"/>
  <c r="E32" i="27"/>
  <c r="E32" i="22"/>
  <c r="E32" i="26"/>
  <c r="E32" i="32"/>
  <c r="N32" i="39" s="1"/>
  <c r="E89"/>
  <c r="E89" i="27"/>
  <c r="E89" i="22"/>
  <c r="E89" i="28"/>
  <c r="E89" i="23"/>
  <c r="E89" i="26"/>
  <c r="E89" i="32"/>
  <c r="N89" i="39" s="1"/>
  <c r="E26"/>
  <c r="E26" i="27"/>
  <c r="E26" i="28"/>
  <c r="E26" i="23"/>
  <c r="E26" i="26"/>
  <c r="E26" i="22"/>
  <c r="E26" i="32"/>
  <c r="N26" i="39" s="1"/>
  <c r="E38"/>
  <c r="E38" i="27"/>
  <c r="E38" i="28"/>
  <c r="E38" i="23"/>
  <c r="E38" i="26"/>
  <c r="E38" i="22"/>
  <c r="E38" i="32"/>
  <c r="N38" i="39" s="1"/>
  <c r="E41"/>
  <c r="E41" i="27"/>
  <c r="E41" i="23"/>
  <c r="E41" i="22"/>
  <c r="E41" i="28"/>
  <c r="E41" i="26"/>
  <c r="E41" i="32"/>
  <c r="N41" i="39" s="1"/>
  <c r="E23"/>
  <c r="E23" i="28"/>
  <c r="E23" i="26"/>
  <c r="E23" i="23"/>
  <c r="E23" i="27"/>
  <c r="E23" i="22"/>
  <c r="E23" i="32"/>
  <c r="N23" i="39" s="1"/>
  <c r="E35"/>
  <c r="E35" i="28"/>
  <c r="E35" i="26"/>
  <c r="E35" i="27"/>
  <c r="E35" i="22"/>
  <c r="E35" i="23"/>
  <c r="E35" i="32"/>
  <c r="N35" i="39" s="1"/>
  <c r="E107"/>
  <c r="E107" i="28"/>
  <c r="E107" i="23"/>
  <c r="E107" i="26"/>
  <c r="E107" i="27"/>
  <c r="E107" i="22"/>
  <c r="E107" i="32"/>
  <c r="N107" i="39" s="1"/>
  <c r="E65"/>
  <c r="E65" i="27"/>
  <c r="E65" i="28"/>
  <c r="E65" i="23"/>
  <c r="E65" i="22"/>
  <c r="E65" i="26"/>
  <c r="E65" i="32"/>
  <c r="N65" i="39" s="1"/>
  <c r="E128"/>
  <c r="E128" i="27"/>
  <c r="E128" i="26"/>
  <c r="E128" i="28"/>
  <c r="E128" i="23"/>
  <c r="E128" i="22"/>
  <c r="E128" i="32"/>
  <c r="N128" i="39" s="1"/>
  <c r="E62"/>
  <c r="E62" i="27"/>
  <c r="E62" i="28"/>
  <c r="E62" i="23"/>
  <c r="E62" i="26"/>
  <c r="E62" i="22"/>
  <c r="E62" i="32"/>
  <c r="N62" i="39" s="1"/>
  <c r="E56"/>
  <c r="E56" i="28"/>
  <c r="E56" i="23"/>
  <c r="E56" i="27"/>
  <c r="E56" i="22"/>
  <c r="E56" i="26"/>
  <c r="E56" i="32"/>
  <c r="N56" i="39" s="1"/>
  <c r="E68"/>
  <c r="E68" i="28"/>
  <c r="E68" i="23"/>
  <c r="E68" i="27"/>
  <c r="E68" i="22"/>
  <c r="E68" i="26"/>
  <c r="E68" i="32"/>
  <c r="N68" i="39" s="1"/>
  <c r="E95"/>
  <c r="E95" i="28"/>
  <c r="E95" i="23"/>
  <c r="E95" i="27"/>
  <c r="E95" i="26"/>
  <c r="E95" i="22"/>
  <c r="E95" i="32"/>
  <c r="N95" i="39" s="1"/>
  <c r="L63" i="11"/>
  <c r="H32" i="17"/>
  <c r="G32"/>
  <c r="D32"/>
  <c r="H31"/>
  <c r="G31"/>
  <c r="H30"/>
  <c r="G30"/>
  <c r="F31"/>
  <c r="E31"/>
  <c r="D31"/>
  <c r="B31"/>
  <c r="N30" i="9"/>
  <c r="I37" i="44" l="1"/>
  <c r="I45" s="1"/>
  <c r="I14" i="17"/>
  <c r="E137" i="19"/>
  <c r="E136" i="39"/>
  <c r="E136" i="27"/>
  <c r="E136" i="26"/>
  <c r="E136" i="22"/>
  <c r="E136" i="28"/>
  <c r="E136" i="23"/>
  <c r="E136" i="32"/>
  <c r="N136" i="39" s="1"/>
  <c r="E33" i="17"/>
  <c r="F34"/>
  <c r="D34"/>
  <c r="C34"/>
  <c r="J13"/>
  <c r="F32"/>
  <c r="E32"/>
  <c r="I15" l="1"/>
  <c r="I46" i="44"/>
  <c r="I55"/>
  <c r="I65" s="1"/>
  <c r="T44" i="37" s="1"/>
  <c r="I44" s="1"/>
  <c r="E138" i="19"/>
  <c r="E137" i="39"/>
  <c r="E137" i="27"/>
  <c r="E137" i="26"/>
  <c r="E137" i="28"/>
  <c r="E137" i="23"/>
  <c r="E137" i="22"/>
  <c r="E137" i="32"/>
  <c r="N137" i="39" s="1"/>
  <c r="K80" i="38"/>
  <c r="N18" i="11"/>
  <c r="J89" i="38"/>
  <c r="M27" i="11"/>
  <c r="K94" i="38"/>
  <c r="N32" i="11"/>
  <c r="K84" i="38"/>
  <c r="N22" i="11"/>
  <c r="E34" i="17"/>
  <c r="F18" i="37"/>
  <c r="F35" i="17"/>
  <c r="D35"/>
  <c r="C35"/>
  <c r="M47" i="38" l="1"/>
  <c r="I168" i="37"/>
  <c r="I16" i="17"/>
  <c r="I47" i="44"/>
  <c r="I56"/>
  <c r="E139" i="19"/>
  <c r="E138" i="39"/>
  <c r="E138" i="28"/>
  <c r="E138" i="23"/>
  <c r="E138" i="27"/>
  <c r="E138" i="22"/>
  <c r="E138" i="26"/>
  <c r="E138" i="32"/>
  <c r="N138" i="39" s="1"/>
  <c r="K89" i="38"/>
  <c r="N27" i="11"/>
  <c r="L94" i="38"/>
  <c r="O32" i="11"/>
  <c r="L56"/>
  <c r="L80" i="38"/>
  <c r="O18" i="11"/>
  <c r="L84" i="38"/>
  <c r="O22" i="11"/>
  <c r="E35" i="17"/>
  <c r="F36"/>
  <c r="D36"/>
  <c r="C36"/>
  <c r="I17" l="1"/>
  <c r="I66" i="44"/>
  <c r="T45" i="37" s="1"/>
  <c r="I45" s="1"/>
  <c r="I48" i="44"/>
  <c r="I57"/>
  <c r="E140" i="19"/>
  <c r="E139" i="39"/>
  <c r="E139" i="28"/>
  <c r="E139" i="23"/>
  <c r="E139" i="27"/>
  <c r="E139" i="26"/>
  <c r="E139" i="22"/>
  <c r="E139" i="32"/>
  <c r="N139" i="39" s="1"/>
  <c r="L89" i="38"/>
  <c r="O27" i="11"/>
  <c r="M84" i="38"/>
  <c r="P22" i="11"/>
  <c r="M80" i="38"/>
  <c r="P18" i="11"/>
  <c r="M94" i="38"/>
  <c r="P32" i="11"/>
  <c r="E36" i="17"/>
  <c r="F37"/>
  <c r="D37"/>
  <c r="C37"/>
  <c r="A22" i="9"/>
  <c r="A45" s="1"/>
  <c r="A23"/>
  <c r="A46" s="1"/>
  <c r="A17"/>
  <c r="A40" s="1"/>
  <c r="A18"/>
  <c r="A41" s="1"/>
  <c r="A19"/>
  <c r="A42" s="1"/>
  <c r="A20"/>
  <c r="A43" s="1"/>
  <c r="A21"/>
  <c r="A44" s="1"/>
  <c r="N47" i="38" l="1"/>
  <c r="I169" i="37"/>
  <c r="I18" i="17"/>
  <c r="I67" i="44"/>
  <c r="T46" i="37" s="1"/>
  <c r="I46" s="1"/>
  <c r="I49" i="44"/>
  <c r="I58"/>
  <c r="E141" i="19"/>
  <c r="E140" i="39"/>
  <c r="E140" i="27"/>
  <c r="E140" i="22"/>
  <c r="E140" i="28"/>
  <c r="E140" i="23"/>
  <c r="E140" i="26"/>
  <c r="E140" i="32"/>
  <c r="N140" i="39" s="1"/>
  <c r="N84" i="38"/>
  <c r="Q22" i="11"/>
  <c r="M89" i="38"/>
  <c r="P27" i="11"/>
  <c r="N94" i="38"/>
  <c r="Q32" i="11"/>
  <c r="N80" i="38"/>
  <c r="Q18" i="11"/>
  <c r="E37" i="17"/>
  <c r="I19" l="1"/>
  <c r="O47" i="38"/>
  <c r="I170" i="37"/>
  <c r="I68" i="44"/>
  <c r="T47" i="37" s="1"/>
  <c r="I47" s="1"/>
  <c r="I50" i="44"/>
  <c r="I60" s="1"/>
  <c r="I59"/>
  <c r="E142" i="19"/>
  <c r="E141" i="39"/>
  <c r="E141" i="27"/>
  <c r="E141" i="26"/>
  <c r="E141" i="28"/>
  <c r="E141" i="23"/>
  <c r="E141" i="22"/>
  <c r="E141" i="32"/>
  <c r="N141" i="39" s="1"/>
  <c r="O84" i="38"/>
  <c r="R22" i="11"/>
  <c r="O80" i="38"/>
  <c r="R18" i="11"/>
  <c r="O94" i="38"/>
  <c r="R32" i="11"/>
  <c r="N89" i="38"/>
  <c r="Q27" i="1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G173" i="33"/>
  <c r="Y173" i="39" s="1"/>
  <c r="F173" i="33"/>
  <c r="X173" i="39" s="1"/>
  <c r="G172" i="33"/>
  <c r="Y172" i="39" s="1"/>
  <c r="F172" i="33"/>
  <c r="X172" i="39" s="1"/>
  <c r="G171" i="33"/>
  <c r="Y171" i="39" s="1"/>
  <c r="F171" i="33"/>
  <c r="X171" i="39" s="1"/>
  <c r="G170" i="33"/>
  <c r="Y170" i="39" s="1"/>
  <c r="F170" i="33"/>
  <c r="X170" i="39" s="1"/>
  <c r="G169" i="33"/>
  <c r="Y169" i="39" s="1"/>
  <c r="F169" i="33"/>
  <c r="X169" i="39" s="1"/>
  <c r="G168" i="33"/>
  <c r="Y168" i="39" s="1"/>
  <c r="F168" i="33"/>
  <c r="X168" i="39" s="1"/>
  <c r="G167" i="33"/>
  <c r="Y167" i="39" s="1"/>
  <c r="F167" i="33"/>
  <c r="X167" i="39" s="1"/>
  <c r="G166" i="33"/>
  <c r="Y166" i="39" s="1"/>
  <c r="F166" i="33"/>
  <c r="X166" i="39" s="1"/>
  <c r="G165" i="33"/>
  <c r="Y165" i="39" s="1"/>
  <c r="F165" i="33"/>
  <c r="X165" i="39" s="1"/>
  <c r="G164" i="33"/>
  <c r="Y164" i="39" s="1"/>
  <c r="F164" i="33"/>
  <c r="X164" i="39" s="1"/>
  <c r="G163" i="33"/>
  <c r="Y163" i="39" s="1"/>
  <c r="F163" i="33"/>
  <c r="X163" i="39" s="1"/>
  <c r="G162" i="33"/>
  <c r="Y162" i="39" s="1"/>
  <c r="F162" i="33"/>
  <c r="X162" i="39" s="1"/>
  <c r="G161" i="33"/>
  <c r="Y161" i="39" s="1"/>
  <c r="F161" i="33"/>
  <c r="X161" i="39" s="1"/>
  <c r="G160" i="33"/>
  <c r="Y160" i="39" s="1"/>
  <c r="F160" i="33"/>
  <c r="X160" i="39" s="1"/>
  <c r="G159" i="33"/>
  <c r="Y159" i="39" s="1"/>
  <c r="F159" i="33"/>
  <c r="X159" i="39" s="1"/>
  <c r="G158" i="33"/>
  <c r="Y158" i="39" s="1"/>
  <c r="F158" i="33"/>
  <c r="X158" i="39" s="1"/>
  <c r="G157" i="33"/>
  <c r="Y157" i="39" s="1"/>
  <c r="F157" i="33"/>
  <c r="X157" i="39" s="1"/>
  <c r="G156" i="33"/>
  <c r="Y156" i="39" s="1"/>
  <c r="F156" i="33"/>
  <c r="X156" i="39" s="1"/>
  <c r="G155" i="33"/>
  <c r="Y155" i="39" s="1"/>
  <c r="F155" i="33"/>
  <c r="X155" i="39" s="1"/>
  <c r="G154" i="33"/>
  <c r="Y154" i="39" s="1"/>
  <c r="F154" i="33"/>
  <c r="X154" i="39" s="1"/>
  <c r="G153" i="33"/>
  <c r="Y153" i="39" s="1"/>
  <c r="F153" i="33"/>
  <c r="X153" i="39" s="1"/>
  <c r="G152" i="33"/>
  <c r="Y152" i="39" s="1"/>
  <c r="F152" i="33"/>
  <c r="X152" i="39" s="1"/>
  <c r="G151" i="33"/>
  <c r="Y151" i="39" s="1"/>
  <c r="F151" i="33"/>
  <c r="X151" i="39" s="1"/>
  <c r="G150" i="33"/>
  <c r="Y150" i="39" s="1"/>
  <c r="F150" i="33"/>
  <c r="X150" i="39" s="1"/>
  <c r="G149" i="33"/>
  <c r="Y149" i="39" s="1"/>
  <c r="F149" i="33"/>
  <c r="X149" i="39" s="1"/>
  <c r="G148" i="33"/>
  <c r="Y148" i="39" s="1"/>
  <c r="F148" i="33"/>
  <c r="X148" i="39" s="1"/>
  <c r="G147" i="33"/>
  <c r="Y147" i="39" s="1"/>
  <c r="F147" i="33"/>
  <c r="X147" i="39" s="1"/>
  <c r="G146" i="33"/>
  <c r="Y146" i="39" s="1"/>
  <c r="F146" i="33"/>
  <c r="X146" i="39" s="1"/>
  <c r="G145" i="33"/>
  <c r="Y145" i="39" s="1"/>
  <c r="F145" i="33"/>
  <c r="X145" i="39" s="1"/>
  <c r="G144" i="33"/>
  <c r="Y144" i="39" s="1"/>
  <c r="F144" i="33"/>
  <c r="X144" i="39" s="1"/>
  <c r="G143" i="33"/>
  <c r="Y143" i="39" s="1"/>
  <c r="F143" i="33"/>
  <c r="X143" i="39" s="1"/>
  <c r="G142" i="33"/>
  <c r="Y142" i="39" s="1"/>
  <c r="F142" i="33"/>
  <c r="X142" i="39" s="1"/>
  <c r="G141" i="33"/>
  <c r="Y141" i="39" s="1"/>
  <c r="F141" i="33"/>
  <c r="X141" i="39" s="1"/>
  <c r="G140" i="33"/>
  <c r="Y140" i="39" s="1"/>
  <c r="F140" i="33"/>
  <c r="X140" i="39" s="1"/>
  <c r="G139" i="33"/>
  <c r="Y139" i="39" s="1"/>
  <c r="F139" i="33"/>
  <c r="X139" i="39" s="1"/>
  <c r="G138" i="33"/>
  <c r="Y138" i="39" s="1"/>
  <c r="F138" i="33"/>
  <c r="X138" i="39" s="1"/>
  <c r="G137" i="33"/>
  <c r="Y137" i="39" s="1"/>
  <c r="F137" i="33"/>
  <c r="X137" i="39" s="1"/>
  <c r="G136" i="33"/>
  <c r="Y136" i="39" s="1"/>
  <c r="F136" i="33"/>
  <c r="X136" i="39" s="1"/>
  <c r="G135" i="33"/>
  <c r="Y135" i="39" s="1"/>
  <c r="F135" i="33"/>
  <c r="X135" i="39" s="1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G173" i="32"/>
  <c r="P173" i="39" s="1"/>
  <c r="F173" i="32"/>
  <c r="O173" i="39" s="1"/>
  <c r="G172" i="32"/>
  <c r="P172" i="39" s="1"/>
  <c r="F172" i="32"/>
  <c r="O172" i="39" s="1"/>
  <c r="G171" i="32"/>
  <c r="P171" i="39" s="1"/>
  <c r="F171" i="32"/>
  <c r="O171" i="39" s="1"/>
  <c r="G170" i="32"/>
  <c r="P170" i="39" s="1"/>
  <c r="F170" i="32"/>
  <c r="O170" i="39" s="1"/>
  <c r="G169" i="32"/>
  <c r="P169" i="39" s="1"/>
  <c r="F169" i="32"/>
  <c r="O169" i="39" s="1"/>
  <c r="G168" i="32"/>
  <c r="P168" i="39" s="1"/>
  <c r="F168" i="32"/>
  <c r="O168" i="39" s="1"/>
  <c r="G167" i="32"/>
  <c r="P167" i="39" s="1"/>
  <c r="F167" i="32"/>
  <c r="O167" i="39" s="1"/>
  <c r="G166" i="32"/>
  <c r="P166" i="39" s="1"/>
  <c r="F166" i="32"/>
  <c r="O166" i="39" s="1"/>
  <c r="G165" i="32"/>
  <c r="P165" i="39" s="1"/>
  <c r="F165" i="32"/>
  <c r="O165" i="39" s="1"/>
  <c r="G164" i="32"/>
  <c r="P164" i="39" s="1"/>
  <c r="F164" i="32"/>
  <c r="O164" i="39" s="1"/>
  <c r="G163" i="32"/>
  <c r="P163" i="39" s="1"/>
  <c r="F163" i="32"/>
  <c r="O163" i="39" s="1"/>
  <c r="G162" i="32"/>
  <c r="P162" i="39" s="1"/>
  <c r="F162" i="32"/>
  <c r="O162" i="39" s="1"/>
  <c r="G161" i="32"/>
  <c r="P161" i="39" s="1"/>
  <c r="F161" i="32"/>
  <c r="O161" i="39" s="1"/>
  <c r="G160" i="32"/>
  <c r="P160" i="39" s="1"/>
  <c r="F160" i="32"/>
  <c r="O160" i="39" s="1"/>
  <c r="G159" i="32"/>
  <c r="P159" i="39" s="1"/>
  <c r="F159" i="32"/>
  <c r="O159" i="39" s="1"/>
  <c r="G158" i="32"/>
  <c r="P158" i="39" s="1"/>
  <c r="F158" i="32"/>
  <c r="O158" i="39" s="1"/>
  <c r="G157" i="32"/>
  <c r="P157" i="39" s="1"/>
  <c r="F157" i="32"/>
  <c r="O157" i="39" s="1"/>
  <c r="G156" i="32"/>
  <c r="P156" i="39" s="1"/>
  <c r="F156" i="32"/>
  <c r="O156" i="39" s="1"/>
  <c r="G155" i="32"/>
  <c r="P155" i="39" s="1"/>
  <c r="F155" i="32"/>
  <c r="O155" i="39" s="1"/>
  <c r="G154" i="32"/>
  <c r="P154" i="39" s="1"/>
  <c r="F154" i="32"/>
  <c r="O154" i="39" s="1"/>
  <c r="G153" i="32"/>
  <c r="P153" i="39" s="1"/>
  <c r="F153" i="32"/>
  <c r="O153" i="39" s="1"/>
  <c r="G152" i="32"/>
  <c r="P152" i="39" s="1"/>
  <c r="F152" i="32"/>
  <c r="O152" i="39" s="1"/>
  <c r="G151" i="32"/>
  <c r="P151" i="39" s="1"/>
  <c r="F151" i="32"/>
  <c r="O151" i="39" s="1"/>
  <c r="G150" i="32"/>
  <c r="P150" i="39" s="1"/>
  <c r="F150" i="32"/>
  <c r="O150" i="39" s="1"/>
  <c r="G149" i="32"/>
  <c r="P149" i="39" s="1"/>
  <c r="F149" i="32"/>
  <c r="O149" i="39" s="1"/>
  <c r="G148" i="32"/>
  <c r="P148" i="39" s="1"/>
  <c r="F148" i="32"/>
  <c r="O148" i="39" s="1"/>
  <c r="G147" i="32"/>
  <c r="P147" i="39" s="1"/>
  <c r="F147" i="32"/>
  <c r="O147" i="39" s="1"/>
  <c r="G146" i="32"/>
  <c r="P146" i="39" s="1"/>
  <c r="F146" i="32"/>
  <c r="O146" i="39" s="1"/>
  <c r="G145" i="32"/>
  <c r="P145" i="39" s="1"/>
  <c r="F145" i="32"/>
  <c r="O145" i="39" s="1"/>
  <c r="G144" i="32"/>
  <c r="P144" i="39" s="1"/>
  <c r="F144" i="32"/>
  <c r="O144" i="39" s="1"/>
  <c r="G143" i="32"/>
  <c r="P143" i="39" s="1"/>
  <c r="F143" i="32"/>
  <c r="O143" i="39" s="1"/>
  <c r="G142" i="32"/>
  <c r="P142" i="39" s="1"/>
  <c r="F142" i="32"/>
  <c r="O142" i="39" s="1"/>
  <c r="G141" i="32"/>
  <c r="P141" i="39" s="1"/>
  <c r="F141" i="32"/>
  <c r="O141" i="39" s="1"/>
  <c r="G140" i="32"/>
  <c r="P140" i="39" s="1"/>
  <c r="F140" i="32"/>
  <c r="O140" i="39" s="1"/>
  <c r="G139" i="32"/>
  <c r="P139" i="39" s="1"/>
  <c r="F139" i="32"/>
  <c r="O139" i="39" s="1"/>
  <c r="G138" i="32"/>
  <c r="P138" i="39" s="1"/>
  <c r="F138" i="32"/>
  <c r="O138" i="39" s="1"/>
  <c r="G137" i="32"/>
  <c r="P137" i="39" s="1"/>
  <c r="F137" i="32"/>
  <c r="O137" i="39" s="1"/>
  <c r="G136" i="32"/>
  <c r="P136" i="39" s="1"/>
  <c r="F136" i="32"/>
  <c r="O136" i="39" s="1"/>
  <c r="G135" i="32"/>
  <c r="P135" i="39" s="1"/>
  <c r="F135" i="32"/>
  <c r="O135" i="39" s="1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P47" i="38" l="1"/>
  <c r="I171" i="37"/>
  <c r="I69" i="44"/>
  <c r="T48" i="37" s="1"/>
  <c r="I48" s="1"/>
  <c r="I70" i="44"/>
  <c r="T49" i="37" s="1"/>
  <c r="I49" s="1"/>
  <c r="B215" i="32"/>
  <c r="K63" i="39"/>
  <c r="B217" i="32"/>
  <c r="K87" i="39"/>
  <c r="B219" i="32"/>
  <c r="K111" i="39"/>
  <c r="K123"/>
  <c r="B220" i="32"/>
  <c r="B211"/>
  <c r="K15" i="39"/>
  <c r="B212" i="32"/>
  <c r="K27" i="39"/>
  <c r="B214" i="32"/>
  <c r="K51" i="39"/>
  <c r="B216" i="32"/>
  <c r="K75" i="39"/>
  <c r="B218" i="32"/>
  <c r="K99" i="39"/>
  <c r="B210" i="32"/>
  <c r="E216" s="1"/>
  <c r="K6" i="39"/>
  <c r="B213" i="32"/>
  <c r="K42" i="39"/>
  <c r="B213" i="33"/>
  <c r="T39" i="39"/>
  <c r="T123"/>
  <c r="B220" i="33"/>
  <c r="E143" i="19"/>
  <c r="E142" i="39"/>
  <c r="E142" i="28"/>
  <c r="E142" i="23"/>
  <c r="E142" i="27"/>
  <c r="E142" i="26"/>
  <c r="E142" i="22"/>
  <c r="E142" i="32"/>
  <c r="N142" i="39" s="1"/>
  <c r="O89" i="38"/>
  <c r="R27" i="11"/>
  <c r="C215" i="32"/>
  <c r="D215" s="1"/>
  <c r="B217" i="33"/>
  <c r="B212"/>
  <c r="B211"/>
  <c r="B214"/>
  <c r="B210"/>
  <c r="B218"/>
  <c r="B216"/>
  <c r="B215"/>
  <c r="B219"/>
  <c r="R47" i="38" l="1"/>
  <c r="I173" i="37"/>
  <c r="Q47" i="38"/>
  <c r="I172" i="37"/>
  <c r="C214" i="32"/>
  <c r="D214" s="1"/>
  <c r="C216"/>
  <c r="D216" s="1"/>
  <c r="C212"/>
  <c r="D212" s="1"/>
  <c r="E212"/>
  <c r="C219" i="33"/>
  <c r="D219" s="1"/>
  <c r="C213"/>
  <c r="D213" s="1"/>
  <c r="C217" i="32"/>
  <c r="D217" s="1"/>
  <c r="E215"/>
  <c r="E211"/>
  <c r="E217"/>
  <c r="C217" i="33"/>
  <c r="D217" s="1"/>
  <c r="E214" i="32"/>
  <c r="C218"/>
  <c r="D218" s="1"/>
  <c r="E219"/>
  <c r="E213"/>
  <c r="C214" i="33"/>
  <c r="D214" s="1"/>
  <c r="C211" i="32"/>
  <c r="D211" s="1"/>
  <c r="E218"/>
  <c r="C213"/>
  <c r="D213" s="1"/>
  <c r="C219"/>
  <c r="D219" s="1"/>
  <c r="E144" i="19"/>
  <c r="E143" i="39"/>
  <c r="E143" i="28"/>
  <c r="E143" i="23"/>
  <c r="E143" i="27"/>
  <c r="E143" i="26"/>
  <c r="E143" i="22"/>
  <c r="E143" i="32"/>
  <c r="N143" i="39" s="1"/>
  <c r="C211" i="33"/>
  <c r="D211" s="1"/>
  <c r="C215"/>
  <c r="D215" s="1"/>
  <c r="C212"/>
  <c r="D212" s="1"/>
  <c r="C216"/>
  <c r="D216" s="1"/>
  <c r="C218"/>
  <c r="D218" s="1"/>
  <c r="E218"/>
  <c r="E214"/>
  <c r="E211"/>
  <c r="E219"/>
  <c r="E217"/>
  <c r="E215"/>
  <c r="E213"/>
  <c r="E216"/>
  <c r="E212"/>
  <c r="E145" i="19" l="1"/>
  <c r="E144" i="39"/>
  <c r="E144" i="27"/>
  <c r="E144" i="28"/>
  <c r="E144" i="23"/>
  <c r="E144" i="26"/>
  <c r="E144" i="22"/>
  <c r="E144" i="32"/>
  <c r="N144" i="39" s="1"/>
  <c r="B219" i="21"/>
  <c r="I16" i="9" s="1"/>
  <c r="B218" i="21"/>
  <c r="I15" i="9" s="1"/>
  <c r="B217" i="21"/>
  <c r="C217" s="1"/>
  <c r="D217" s="1"/>
  <c r="B216"/>
  <c r="C216" s="1"/>
  <c r="D216" s="1"/>
  <c r="B215"/>
  <c r="C215" s="1"/>
  <c r="D215" s="1"/>
  <c r="B214"/>
  <c r="C214" s="1"/>
  <c r="D214" s="1"/>
  <c r="B213"/>
  <c r="C213" s="1"/>
  <c r="D213" s="1"/>
  <c r="B212"/>
  <c r="I9" i="9" s="1"/>
  <c r="B211" i="21"/>
  <c r="I8" i="9" s="1"/>
  <c r="B210" i="21"/>
  <c r="I7" i="9" s="1"/>
  <c r="C58" i="37" s="1"/>
  <c r="C219" i="22"/>
  <c r="D219" s="1"/>
  <c r="B219"/>
  <c r="J16" i="9" s="1"/>
  <c r="C218" i="22"/>
  <c r="D218" s="1"/>
  <c r="B218"/>
  <c r="J15" i="9" s="1"/>
  <c r="C217" i="22"/>
  <c r="D217" s="1"/>
  <c r="B217"/>
  <c r="C216"/>
  <c r="D216" s="1"/>
  <c r="B216"/>
  <c r="C215"/>
  <c r="D215" s="1"/>
  <c r="B215"/>
  <c r="C214"/>
  <c r="D214" s="1"/>
  <c r="B214"/>
  <c r="C213"/>
  <c r="D213" s="1"/>
  <c r="B213"/>
  <c r="B212"/>
  <c r="B211"/>
  <c r="C212" s="1"/>
  <c r="D212" s="1"/>
  <c r="B210"/>
  <c r="E216" s="1"/>
  <c r="C219" i="26"/>
  <c r="D219" s="1"/>
  <c r="B219"/>
  <c r="L16" i="9" s="1"/>
  <c r="B218" i="26"/>
  <c r="L15" i="9" s="1"/>
  <c r="B217" i="26"/>
  <c r="C217" s="1"/>
  <c r="D217" s="1"/>
  <c r="C216"/>
  <c r="D216" s="1"/>
  <c r="B216"/>
  <c r="C215"/>
  <c r="D215" s="1"/>
  <c r="B215"/>
  <c r="B214"/>
  <c r="B213"/>
  <c r="C213" s="1"/>
  <c r="D213" s="1"/>
  <c r="C212"/>
  <c r="D212" s="1"/>
  <c r="B212"/>
  <c r="B211"/>
  <c r="B210"/>
  <c r="E216" s="1"/>
  <c r="C219" i="23"/>
  <c r="D219" s="1"/>
  <c r="B219"/>
  <c r="K16" i="9" s="1"/>
  <c r="B218" i="23"/>
  <c r="K15" i="9" s="1"/>
  <c r="B217" i="23"/>
  <c r="C217" s="1"/>
  <c r="D217" s="1"/>
  <c r="B216"/>
  <c r="E215"/>
  <c r="B215"/>
  <c r="C215" s="1"/>
  <c r="D215" s="1"/>
  <c r="B214"/>
  <c r="C214" s="1"/>
  <c r="D214" s="1"/>
  <c r="B213"/>
  <c r="E212"/>
  <c r="B212"/>
  <c r="C212" s="1"/>
  <c r="D212" s="1"/>
  <c r="C211"/>
  <c r="D211" s="1"/>
  <c r="B211"/>
  <c r="B210"/>
  <c r="E219" s="1"/>
  <c r="C219" i="27"/>
  <c r="D219" s="1"/>
  <c r="B219"/>
  <c r="M16" i="9" s="1"/>
  <c r="C218" i="27"/>
  <c r="D218" s="1"/>
  <c r="B218"/>
  <c r="M15" i="9" s="1"/>
  <c r="C217" i="27"/>
  <c r="D217" s="1"/>
  <c r="B217"/>
  <c r="B216"/>
  <c r="E215"/>
  <c r="B215"/>
  <c r="C215" s="1"/>
  <c r="D215" s="1"/>
  <c r="B214"/>
  <c r="C214" s="1"/>
  <c r="D214" s="1"/>
  <c r="B213"/>
  <c r="C213" s="1"/>
  <c r="D213" s="1"/>
  <c r="B212"/>
  <c r="C212" s="1"/>
  <c r="D212" s="1"/>
  <c r="B211"/>
  <c r="E211" s="1"/>
  <c r="B210"/>
  <c r="E219" s="1"/>
  <c r="C219" i="28"/>
  <c r="D219" s="1"/>
  <c r="B219"/>
  <c r="O16" i="9" s="1"/>
  <c r="C218" i="28"/>
  <c r="D218" s="1"/>
  <c r="B218"/>
  <c r="O15" i="9" s="1"/>
  <c r="C217" i="28"/>
  <c r="D217" s="1"/>
  <c r="B217"/>
  <c r="C216"/>
  <c r="D216" s="1"/>
  <c r="B216"/>
  <c r="C215"/>
  <c r="D215" s="1"/>
  <c r="B215"/>
  <c r="C214"/>
  <c r="D214" s="1"/>
  <c r="B214"/>
  <c r="C213"/>
  <c r="D213" s="1"/>
  <c r="B213"/>
  <c r="B212"/>
  <c r="B211"/>
  <c r="C212" s="1"/>
  <c r="D212" s="1"/>
  <c r="B210"/>
  <c r="C219" i="20"/>
  <c r="D219" s="1"/>
  <c r="B219"/>
  <c r="H16" i="9" s="1"/>
  <c r="B218" i="20"/>
  <c r="H15" i="9" s="1"/>
  <c r="B217" i="20"/>
  <c r="C217" s="1"/>
  <c r="D217" s="1"/>
  <c r="C216"/>
  <c r="D216" s="1"/>
  <c r="B216"/>
  <c r="C215"/>
  <c r="D215" s="1"/>
  <c r="B215"/>
  <c r="B214"/>
  <c r="B213"/>
  <c r="C213" s="1"/>
  <c r="D213" s="1"/>
  <c r="C212"/>
  <c r="D212" s="1"/>
  <c r="B212"/>
  <c r="B211"/>
  <c r="B210"/>
  <c r="E216" s="1"/>
  <c r="F123" i="28"/>
  <c r="G123"/>
  <c r="F123" i="27"/>
  <c r="G123"/>
  <c r="F123" i="21"/>
  <c r="G123"/>
  <c r="G20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206" i="22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206" i="26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206" i="23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206" i="27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206" i="28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206" i="20"/>
  <c r="F206"/>
  <c r="G205"/>
  <c r="F205"/>
  <c r="G204"/>
  <c r="F204"/>
  <c r="G203"/>
  <c r="F203"/>
  <c r="G202"/>
  <c r="F202"/>
  <c r="G201"/>
  <c r="F201"/>
  <c r="G200"/>
  <c r="F200"/>
  <c r="G199"/>
  <c r="F199"/>
  <c r="G198"/>
  <c r="F198"/>
  <c r="G197"/>
  <c r="F197"/>
  <c r="G196"/>
  <c r="F196"/>
  <c r="G195"/>
  <c r="F195"/>
  <c r="G194"/>
  <c r="F194"/>
  <c r="G193"/>
  <c r="F193"/>
  <c r="G192"/>
  <c r="F192"/>
  <c r="G191"/>
  <c r="F191"/>
  <c r="G190"/>
  <c r="F190"/>
  <c r="G189"/>
  <c r="F189"/>
  <c r="G188"/>
  <c r="F188"/>
  <c r="G187"/>
  <c r="F187"/>
  <c r="G186"/>
  <c r="F186"/>
  <c r="G185"/>
  <c r="F185"/>
  <c r="G184"/>
  <c r="F184"/>
  <c r="G183"/>
  <c r="F183"/>
  <c r="G182"/>
  <c r="F182"/>
  <c r="G181"/>
  <c r="F181"/>
  <c r="G180"/>
  <c r="F180"/>
  <c r="G179"/>
  <c r="F179"/>
  <c r="G178"/>
  <c r="F178"/>
  <c r="G177"/>
  <c r="F177"/>
  <c r="G176"/>
  <c r="F176"/>
  <c r="G175"/>
  <c r="F175"/>
  <c r="G174"/>
  <c r="F174"/>
  <c r="G173"/>
  <c r="F173"/>
  <c r="G172"/>
  <c r="F172"/>
  <c r="G171"/>
  <c r="F171"/>
  <c r="G170"/>
  <c r="F170"/>
  <c r="G169"/>
  <c r="F169"/>
  <c r="G168"/>
  <c r="F168"/>
  <c r="G167"/>
  <c r="F167"/>
  <c r="G166"/>
  <c r="F166"/>
  <c r="G165"/>
  <c r="F165"/>
  <c r="G164"/>
  <c r="F164"/>
  <c r="G163"/>
  <c r="F163"/>
  <c r="G162"/>
  <c r="F162"/>
  <c r="G161"/>
  <c r="F161"/>
  <c r="G160"/>
  <c r="F160"/>
  <c r="G159"/>
  <c r="F159"/>
  <c r="G158"/>
  <c r="F158"/>
  <c r="G157"/>
  <c r="F157"/>
  <c r="G156"/>
  <c r="F156"/>
  <c r="G155"/>
  <c r="F155"/>
  <c r="G154"/>
  <c r="F154"/>
  <c r="G153"/>
  <c r="F153"/>
  <c r="G152"/>
  <c r="F152"/>
  <c r="G151"/>
  <c r="F151"/>
  <c r="G150"/>
  <c r="F150"/>
  <c r="G149"/>
  <c r="F149"/>
  <c r="G148"/>
  <c r="F148"/>
  <c r="G147"/>
  <c r="F147"/>
  <c r="G146"/>
  <c r="F146"/>
  <c r="G145"/>
  <c r="F145"/>
  <c r="G144"/>
  <c r="F144"/>
  <c r="G143"/>
  <c r="F143"/>
  <c r="G142"/>
  <c r="F142"/>
  <c r="G141"/>
  <c r="F141"/>
  <c r="G140"/>
  <c r="F140"/>
  <c r="G139"/>
  <c r="F139"/>
  <c r="G138"/>
  <c r="F138"/>
  <c r="G137"/>
  <c r="F137"/>
  <c r="G136"/>
  <c r="F136"/>
  <c r="G135"/>
  <c r="F135"/>
  <c r="G134"/>
  <c r="F134"/>
  <c r="G133"/>
  <c r="F133"/>
  <c r="G132"/>
  <c r="F132"/>
  <c r="G131"/>
  <c r="F131"/>
  <c r="G130"/>
  <c r="F130"/>
  <c r="G129"/>
  <c r="F129"/>
  <c r="G128"/>
  <c r="F128"/>
  <c r="G127"/>
  <c r="F127"/>
  <c r="G126"/>
  <c r="F126"/>
  <c r="G125"/>
  <c r="F125"/>
  <c r="G124"/>
  <c r="F124"/>
  <c r="G123"/>
  <c r="F123"/>
  <c r="G122"/>
  <c r="F122"/>
  <c r="G121"/>
  <c r="F121"/>
  <c r="G120"/>
  <c r="F120"/>
  <c r="G119"/>
  <c r="F119"/>
  <c r="G118"/>
  <c r="F118"/>
  <c r="G117"/>
  <c r="F117"/>
  <c r="G116"/>
  <c r="F116"/>
  <c r="G115"/>
  <c r="F115"/>
  <c r="G114"/>
  <c r="F114"/>
  <c r="G113"/>
  <c r="F113"/>
  <c r="G112"/>
  <c r="F112"/>
  <c r="G111"/>
  <c r="F111"/>
  <c r="G110"/>
  <c r="F110"/>
  <c r="G109"/>
  <c r="F109"/>
  <c r="G108"/>
  <c r="F108"/>
  <c r="G107"/>
  <c r="F107"/>
  <c r="G106"/>
  <c r="F106"/>
  <c r="G105"/>
  <c r="F105"/>
  <c r="G104"/>
  <c r="F104"/>
  <c r="G103"/>
  <c r="F103"/>
  <c r="G10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98" i="21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98" i="22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98" i="26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98" i="23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98" i="27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D98" i="2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  <c r="D3"/>
  <c r="C3"/>
  <c r="E213" i="20" l="1"/>
  <c r="C218"/>
  <c r="D218" s="1"/>
  <c r="C218" i="23"/>
  <c r="D218" s="1"/>
  <c r="E213" i="26"/>
  <c r="C218"/>
  <c r="D218" s="1"/>
  <c r="C60" i="37"/>
  <c r="I32" i="9"/>
  <c r="I38"/>
  <c r="C66" i="37"/>
  <c r="E212" i="20"/>
  <c r="P16" i="9"/>
  <c r="B67" i="37"/>
  <c r="G16" i="9"/>
  <c r="H39"/>
  <c r="I66" i="37"/>
  <c r="O38" i="9"/>
  <c r="E33" i="18"/>
  <c r="E291" i="37"/>
  <c r="E305" s="1"/>
  <c r="G66"/>
  <c r="M38" i="9"/>
  <c r="E211" i="23"/>
  <c r="C34" i="18"/>
  <c r="K39" i="9"/>
  <c r="C292" i="37"/>
  <c r="C306" s="1"/>
  <c r="E67"/>
  <c r="E212" i="26"/>
  <c r="D34" i="18"/>
  <c r="D292" i="37"/>
  <c r="D306" s="1"/>
  <c r="F67"/>
  <c r="L39" i="9"/>
  <c r="D66" i="37"/>
  <c r="B33" i="18"/>
  <c r="J38" i="9"/>
  <c r="B291" i="37"/>
  <c r="H33" i="18"/>
  <c r="C83" i="37"/>
  <c r="C182" s="1"/>
  <c r="B19" i="38"/>
  <c r="B19" i="11" s="1"/>
  <c r="C212" i="21"/>
  <c r="D212" s="1"/>
  <c r="C218"/>
  <c r="D218" s="1"/>
  <c r="C211" i="20"/>
  <c r="D211" s="1"/>
  <c r="C214"/>
  <c r="D214" s="1"/>
  <c r="E217"/>
  <c r="C216" i="27"/>
  <c r="D216" s="1"/>
  <c r="C213" i="23"/>
  <c r="D213" s="1"/>
  <c r="C216"/>
  <c r="D216" s="1"/>
  <c r="E217"/>
  <c r="C211" i="26"/>
  <c r="D211" s="1"/>
  <c r="C214"/>
  <c r="D214" s="1"/>
  <c r="E217"/>
  <c r="C59" i="37"/>
  <c r="I31" i="9"/>
  <c r="C67" i="37"/>
  <c r="I39" i="9"/>
  <c r="P15"/>
  <c r="B66" i="37"/>
  <c r="G15" i="9"/>
  <c r="H38"/>
  <c r="O39"/>
  <c r="I67" i="37"/>
  <c r="M39" i="9"/>
  <c r="M57" s="1"/>
  <c r="E292" i="37"/>
  <c r="E306" s="1"/>
  <c r="G67"/>
  <c r="E34" i="18"/>
  <c r="E213" i="23"/>
  <c r="E216"/>
  <c r="K38" i="9"/>
  <c r="E66" i="37"/>
  <c r="C33" i="18"/>
  <c r="C291" i="37"/>
  <c r="C305" s="1"/>
  <c r="D33" i="18"/>
  <c r="F66" i="37"/>
  <c r="L38" i="9"/>
  <c r="D291" i="37"/>
  <c r="D305" s="1"/>
  <c r="J39" i="9"/>
  <c r="J57" s="1"/>
  <c r="B34" i="18"/>
  <c r="B292" i="37"/>
  <c r="H34" i="18"/>
  <c r="D67" i="37"/>
  <c r="C211" i="21"/>
  <c r="D211" s="1"/>
  <c r="C219"/>
  <c r="D219" s="1"/>
  <c r="I4" i="27"/>
  <c r="I6"/>
  <c r="I8"/>
  <c r="I10"/>
  <c r="I12"/>
  <c r="I14"/>
  <c r="I16"/>
  <c r="I18"/>
  <c r="I20"/>
  <c r="I22"/>
  <c r="I24"/>
  <c r="I26"/>
  <c r="I28"/>
  <c r="I30"/>
  <c r="I32"/>
  <c r="I34"/>
  <c r="I36"/>
  <c r="I38"/>
  <c r="I40"/>
  <c r="I42"/>
  <c r="I44"/>
  <c r="I46"/>
  <c r="I48"/>
  <c r="I50"/>
  <c r="I52"/>
  <c r="I54"/>
  <c r="I56"/>
  <c r="I58"/>
  <c r="I60"/>
  <c r="I62"/>
  <c r="I64"/>
  <c r="I66"/>
  <c r="I68"/>
  <c r="I70"/>
  <c r="I72"/>
  <c r="I74"/>
  <c r="I76"/>
  <c r="I78"/>
  <c r="I80"/>
  <c r="I82"/>
  <c r="I84"/>
  <c r="I86"/>
  <c r="I88"/>
  <c r="I90"/>
  <c r="I92"/>
  <c r="I94"/>
  <c r="I96"/>
  <c r="I98"/>
  <c r="I4" i="28"/>
  <c r="I8"/>
  <c r="I12"/>
  <c r="I16"/>
  <c r="I20"/>
  <c r="I24"/>
  <c r="I28"/>
  <c r="I32"/>
  <c r="I36"/>
  <c r="I40"/>
  <c r="I44"/>
  <c r="I48"/>
  <c r="I52"/>
  <c r="I56"/>
  <c r="I62"/>
  <c r="I66"/>
  <c r="I70"/>
  <c r="I74"/>
  <c r="I78"/>
  <c r="I82"/>
  <c r="I86"/>
  <c r="I90"/>
  <c r="I96"/>
  <c r="I4" i="23"/>
  <c r="I8"/>
  <c r="I12"/>
  <c r="I16"/>
  <c r="I20"/>
  <c r="I24"/>
  <c r="I28"/>
  <c r="I32"/>
  <c r="I36"/>
  <c r="I40"/>
  <c r="I44"/>
  <c r="I48"/>
  <c r="I52"/>
  <c r="I56"/>
  <c r="I60"/>
  <c r="I64"/>
  <c r="I68"/>
  <c r="I72"/>
  <c r="I76"/>
  <c r="I80"/>
  <c r="I84"/>
  <c r="I88"/>
  <c r="I92"/>
  <c r="I98"/>
  <c r="I6" i="26"/>
  <c r="I10"/>
  <c r="I14"/>
  <c r="I18"/>
  <c r="I22"/>
  <c r="I26"/>
  <c r="I30"/>
  <c r="I36"/>
  <c r="I40"/>
  <c r="I44"/>
  <c r="I48"/>
  <c r="I52"/>
  <c r="I56"/>
  <c r="I60"/>
  <c r="I64"/>
  <c r="I68"/>
  <c r="I72"/>
  <c r="I76"/>
  <c r="I80"/>
  <c r="I84"/>
  <c r="I88"/>
  <c r="I92"/>
  <c r="I96"/>
  <c r="I4" i="22"/>
  <c r="I8"/>
  <c r="I14"/>
  <c r="I18"/>
  <c r="I22"/>
  <c r="I26"/>
  <c r="I28"/>
  <c r="I32"/>
  <c r="I36"/>
  <c r="I40"/>
  <c r="I44"/>
  <c r="I48"/>
  <c r="I52"/>
  <c r="I56"/>
  <c r="I60"/>
  <c r="I64"/>
  <c r="I68"/>
  <c r="I72"/>
  <c r="I76"/>
  <c r="I80"/>
  <c r="I84"/>
  <c r="I88"/>
  <c r="I92"/>
  <c r="I96"/>
  <c r="I6" i="28"/>
  <c r="I10"/>
  <c r="I14"/>
  <c r="I18"/>
  <c r="I22"/>
  <c r="I26"/>
  <c r="I30"/>
  <c r="I34"/>
  <c r="I38"/>
  <c r="I42"/>
  <c r="I46"/>
  <c r="I50"/>
  <c r="I54"/>
  <c r="I58"/>
  <c r="I60"/>
  <c r="I64"/>
  <c r="I68"/>
  <c r="I72"/>
  <c r="I76"/>
  <c r="I80"/>
  <c r="I84"/>
  <c r="I88"/>
  <c r="I92"/>
  <c r="I94"/>
  <c r="I98"/>
  <c r="I6" i="23"/>
  <c r="I10"/>
  <c r="I14"/>
  <c r="I18"/>
  <c r="I22"/>
  <c r="I26"/>
  <c r="I30"/>
  <c r="I34"/>
  <c r="I38"/>
  <c r="I42"/>
  <c r="I46"/>
  <c r="I50"/>
  <c r="I54"/>
  <c r="I58"/>
  <c r="I62"/>
  <c r="I66"/>
  <c r="I70"/>
  <c r="I74"/>
  <c r="I78"/>
  <c r="I82"/>
  <c r="I86"/>
  <c r="I90"/>
  <c r="I94"/>
  <c r="I96"/>
  <c r="I4" i="26"/>
  <c r="I8"/>
  <c r="I12"/>
  <c r="I16"/>
  <c r="I20"/>
  <c r="I24"/>
  <c r="I28"/>
  <c r="I32"/>
  <c r="I34"/>
  <c r="I38"/>
  <c r="I42"/>
  <c r="I46"/>
  <c r="I50"/>
  <c r="I54"/>
  <c r="I58"/>
  <c r="I62"/>
  <c r="I66"/>
  <c r="I70"/>
  <c r="I74"/>
  <c r="I78"/>
  <c r="I82"/>
  <c r="I86"/>
  <c r="I90"/>
  <c r="I94"/>
  <c r="I98"/>
  <c r="I6" i="22"/>
  <c r="I10"/>
  <c r="I12"/>
  <c r="I16"/>
  <c r="I20"/>
  <c r="I24"/>
  <c r="I30"/>
  <c r="I34"/>
  <c r="I38"/>
  <c r="I42"/>
  <c r="I46"/>
  <c r="I50"/>
  <c r="I54"/>
  <c r="I58"/>
  <c r="I62"/>
  <c r="I66"/>
  <c r="I70"/>
  <c r="I74"/>
  <c r="I78"/>
  <c r="I82"/>
  <c r="I86"/>
  <c r="I90"/>
  <c r="I94"/>
  <c r="I98"/>
  <c r="I3" i="28"/>
  <c r="I5"/>
  <c r="I7"/>
  <c r="I9"/>
  <c r="I11"/>
  <c r="I13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3" i="27"/>
  <c r="I5"/>
  <c r="I7"/>
  <c r="I9"/>
  <c r="I11"/>
  <c r="I13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3" i="23"/>
  <c r="I5"/>
  <c r="I7"/>
  <c r="I9"/>
  <c r="I11"/>
  <c r="I13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3" i="26"/>
  <c r="I5"/>
  <c r="I7"/>
  <c r="I9"/>
  <c r="I11"/>
  <c r="I13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3" i="22"/>
  <c r="I5"/>
  <c r="I7"/>
  <c r="I9"/>
  <c r="I11"/>
  <c r="I13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E146" i="19"/>
  <c r="E145" i="39"/>
  <c r="E145" i="27"/>
  <c r="E145" i="26"/>
  <c r="E145" i="28"/>
  <c r="E145" i="23"/>
  <c r="E145" i="22"/>
  <c r="E145" i="32"/>
  <c r="N145" i="39" s="1"/>
  <c r="E213" i="28"/>
  <c r="E217"/>
  <c r="E214" i="27"/>
  <c r="E218"/>
  <c r="E213" i="22"/>
  <c r="E211" i="20"/>
  <c r="E215"/>
  <c r="E219"/>
  <c r="C211" i="28"/>
  <c r="D211" s="1"/>
  <c r="E212"/>
  <c r="E216"/>
  <c r="E213" i="27"/>
  <c r="E217"/>
  <c r="E214" i="23"/>
  <c r="E218"/>
  <c r="E211" i="26"/>
  <c r="E215"/>
  <c r="E219"/>
  <c r="C211" i="22"/>
  <c r="D211" s="1"/>
  <c r="E212"/>
  <c r="E214" i="28"/>
  <c r="E218"/>
  <c r="E219" i="22"/>
  <c r="E218"/>
  <c r="E217"/>
  <c r="E214"/>
  <c r="E214" i="20"/>
  <c r="E218"/>
  <c r="E211" i="28"/>
  <c r="E215"/>
  <c r="E219"/>
  <c r="C211" i="27"/>
  <c r="D211" s="1"/>
  <c r="E212"/>
  <c r="E216"/>
  <c r="E214" i="26"/>
  <c r="E218"/>
  <c r="E211" i="22"/>
  <c r="E215"/>
  <c r="E211" i="21"/>
  <c r="E212"/>
  <c r="E213"/>
  <c r="E214"/>
  <c r="E215"/>
  <c r="E216"/>
  <c r="E217"/>
  <c r="E218"/>
  <c r="E219"/>
  <c r="L57" i="9" l="1"/>
  <c r="H57"/>
  <c r="G292" i="37"/>
  <c r="G306" s="1"/>
  <c r="B306"/>
  <c r="K19" i="38"/>
  <c r="C92" i="37"/>
  <c r="K15" i="38"/>
  <c r="J67" i="37"/>
  <c r="B92"/>
  <c r="J33" i="38"/>
  <c r="F91" i="37"/>
  <c r="F190" s="1"/>
  <c r="J28" i="38"/>
  <c r="E91" i="37"/>
  <c r="E190" s="1"/>
  <c r="I92"/>
  <c r="K48" i="38"/>
  <c r="J15"/>
  <c r="J66" i="37"/>
  <c r="B91"/>
  <c r="B190" s="1"/>
  <c r="J23" i="38"/>
  <c r="D91" i="37"/>
  <c r="D190" s="1"/>
  <c r="K57" i="9"/>
  <c r="G91" i="37"/>
  <c r="G190" s="1"/>
  <c r="J38" i="38"/>
  <c r="I91" i="37"/>
  <c r="I190" s="1"/>
  <c r="J48" i="38"/>
  <c r="D92" i="37"/>
  <c r="K23" i="38"/>
  <c r="K38"/>
  <c r="G92" i="37"/>
  <c r="C84"/>
  <c r="C19" i="38"/>
  <c r="C19" i="11" s="1"/>
  <c r="G291" i="37"/>
  <c r="G305" s="1"/>
  <c r="B305"/>
  <c r="C85"/>
  <c r="D19" i="38"/>
  <c r="D19" i="11" s="1"/>
  <c r="I57" i="9"/>
  <c r="F92" i="37"/>
  <c r="K33" i="38"/>
  <c r="K28"/>
  <c r="E92" i="37"/>
  <c r="C91"/>
  <c r="C190" s="1"/>
  <c r="J19" i="38"/>
  <c r="E147" i="19"/>
  <c r="E146" i="39"/>
  <c r="E146" i="28"/>
  <c r="E146" i="23"/>
  <c r="E146" i="27"/>
  <c r="E146" i="26"/>
  <c r="E146" i="22"/>
  <c r="E146" i="32"/>
  <c r="N146" i="39" s="1"/>
  <c r="E78" i="36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191" i="37" l="1"/>
  <c r="E206" s="1"/>
  <c r="E114"/>
  <c r="D191"/>
  <c r="D206" s="1"/>
  <c r="D114"/>
  <c r="J38" i="11"/>
  <c r="G100" i="38"/>
  <c r="G85"/>
  <c r="J23" i="11"/>
  <c r="J52" i="38"/>
  <c r="G77"/>
  <c r="J15" i="11"/>
  <c r="J28"/>
  <c r="G90" i="38"/>
  <c r="J92" i="37"/>
  <c r="J191"/>
  <c r="K9" i="38"/>
  <c r="J19" i="11"/>
  <c r="G81" i="38"/>
  <c r="K33" i="11"/>
  <c r="H95" i="38"/>
  <c r="H100"/>
  <c r="K38" i="11"/>
  <c r="J48"/>
  <c r="G110" i="38"/>
  <c r="I191" i="37"/>
  <c r="I206" s="1"/>
  <c r="I114"/>
  <c r="J33" i="11"/>
  <c r="G95" i="38"/>
  <c r="C191" i="37"/>
  <c r="C206" s="1"/>
  <c r="C114"/>
  <c r="F114"/>
  <c r="F191"/>
  <c r="F206" s="1"/>
  <c r="C107"/>
  <c r="C184"/>
  <c r="C199" s="1"/>
  <c r="C106"/>
  <c r="C183"/>
  <c r="C198" s="1"/>
  <c r="K23" i="11"/>
  <c r="H85" i="38"/>
  <c r="J91" i="37"/>
  <c r="J9" i="38"/>
  <c r="J190" i="37"/>
  <c r="B114"/>
  <c r="B191"/>
  <c r="B206" s="1"/>
  <c r="K19" i="11"/>
  <c r="H81" i="38"/>
  <c r="H90"/>
  <c r="K28" i="11"/>
  <c r="G191" i="37"/>
  <c r="G206" s="1"/>
  <c r="G114"/>
  <c r="K48" i="11"/>
  <c r="H110" i="38"/>
  <c r="H77"/>
  <c r="K52"/>
  <c r="K15" i="11"/>
  <c r="E148" i="19"/>
  <c r="E147" i="39"/>
  <c r="E147" i="28"/>
  <c r="E147" i="23"/>
  <c r="E147" i="27"/>
  <c r="E147" i="26"/>
  <c r="E147" i="22"/>
  <c r="E147" i="32"/>
  <c r="N147" i="39" s="1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E139" i="33"/>
  <c r="W139" i="39" s="1"/>
  <c r="E11" i="33"/>
  <c r="H11" i="32"/>
  <c r="H23"/>
  <c r="E23" i="33"/>
  <c r="E35"/>
  <c r="H35" i="32"/>
  <c r="H47"/>
  <c r="E47" i="33"/>
  <c r="E59"/>
  <c r="H59" i="32"/>
  <c r="E83" i="33"/>
  <c r="H83" i="32"/>
  <c r="H95"/>
  <c r="E95" i="33"/>
  <c r="E107"/>
  <c r="W107" i="39" s="1"/>
  <c r="E119" i="33"/>
  <c r="W119" i="39" s="1"/>
  <c r="E131" i="33"/>
  <c r="W131" i="39" s="1"/>
  <c r="E143" i="33"/>
  <c r="W143" i="39" s="1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E146" i="33"/>
  <c r="W146" i="39" s="1"/>
  <c r="E3" i="33"/>
  <c r="H15" i="32"/>
  <c r="Q15" i="39" s="1"/>
  <c r="E15" i="33"/>
  <c r="H27" i="32"/>
  <c r="Q27" i="39" s="1"/>
  <c r="E27" i="33"/>
  <c r="E39"/>
  <c r="H39" i="32"/>
  <c r="Q39" i="39" s="1"/>
  <c r="E51" i="33"/>
  <c r="H51" i="32"/>
  <c r="Q51" i="39" s="1"/>
  <c r="H63" i="32"/>
  <c r="Q63" i="39" s="1"/>
  <c r="E63" i="33"/>
  <c r="E75"/>
  <c r="H75" i="32"/>
  <c r="Q75" i="39" s="1"/>
  <c r="H87" i="32"/>
  <c r="Q87" i="39" s="1"/>
  <c r="E87" i="33"/>
  <c r="E99"/>
  <c r="W99" i="39" s="1"/>
  <c r="E111" i="33"/>
  <c r="W111" i="39" s="1"/>
  <c r="E123" i="33"/>
  <c r="W123" i="39" s="1"/>
  <c r="E123" i="21"/>
  <c r="E135" i="33"/>
  <c r="W135" i="39" s="1"/>
  <c r="E147" i="33"/>
  <c r="W147" i="39" s="1"/>
  <c r="H19" i="32"/>
  <c r="E19" i="33"/>
  <c r="H55" i="32"/>
  <c r="E55" i="33"/>
  <c r="H79" i="32"/>
  <c r="E79" i="33"/>
  <c r="E91"/>
  <c r="H91" i="32"/>
  <c r="E127" i="33"/>
  <c r="W127" i="39" s="1"/>
  <c r="H71" i="32"/>
  <c r="E71" i="33"/>
  <c r="E4"/>
  <c r="H4" i="32"/>
  <c r="E12" i="33"/>
  <c r="H12" i="32"/>
  <c r="E16" i="33"/>
  <c r="H16" i="32"/>
  <c r="J20" i="26"/>
  <c r="K20" s="1"/>
  <c r="E24" i="33"/>
  <c r="H24" i="32"/>
  <c r="E28" i="33"/>
  <c r="H28" i="32"/>
  <c r="H36"/>
  <c r="E36" i="33"/>
  <c r="E40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E136" i="33"/>
  <c r="W136" i="39" s="1"/>
  <c r="E144" i="33"/>
  <c r="W144" i="39" s="1"/>
  <c r="E148" i="33"/>
  <c r="W148" i="39" s="1"/>
  <c r="E5" i="33"/>
  <c r="H5" i="32"/>
  <c r="E9" i="21"/>
  <c r="H13" i="32"/>
  <c r="E13" i="33"/>
  <c r="H17" i="32"/>
  <c r="E17" i="33"/>
  <c r="H25" i="32"/>
  <c r="E25" i="33"/>
  <c r="H29" i="32"/>
  <c r="E29" i="33"/>
  <c r="E37"/>
  <c r="H37" i="32"/>
  <c r="E41" i="33"/>
  <c r="H41" i="32"/>
  <c r="H49"/>
  <c r="E49" i="33"/>
  <c r="E53"/>
  <c r="H53" i="32"/>
  <c r="E61" i="33"/>
  <c r="H61" i="32"/>
  <c r="H65"/>
  <c r="E65" i="33"/>
  <c r="H73" i="32"/>
  <c r="E73" i="33"/>
  <c r="E77"/>
  <c r="H77" i="32"/>
  <c r="E85" i="33"/>
  <c r="H85" i="32"/>
  <c r="H89"/>
  <c r="E89" i="33"/>
  <c r="H97" i="32"/>
  <c r="E97" i="33"/>
  <c r="E101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E137" i="33"/>
  <c r="W137" i="39" s="1"/>
  <c r="E145" i="33"/>
  <c r="W145" i="39" s="1"/>
  <c r="J10" i="27"/>
  <c r="K10" s="1"/>
  <c r="J42" i="23"/>
  <c r="K42" s="1"/>
  <c r="J58"/>
  <c r="K58" s="1"/>
  <c r="J90" i="27"/>
  <c r="K90" s="1"/>
  <c r="E130" i="21"/>
  <c r="E138"/>
  <c r="H11" i="19"/>
  <c r="H11" i="39" s="1"/>
  <c r="E11" i="21"/>
  <c r="J11" i="22"/>
  <c r="K11" s="1"/>
  <c r="J11" i="23"/>
  <c r="K11" s="1"/>
  <c r="J11" i="27"/>
  <c r="K11" s="1"/>
  <c r="E11" i="20"/>
  <c r="J11" i="26"/>
  <c r="K11" s="1"/>
  <c r="J11" i="28"/>
  <c r="K11" s="1"/>
  <c r="H15" i="19"/>
  <c r="H15" i="39" s="1"/>
  <c r="E15" i="21"/>
  <c r="I15" s="1"/>
  <c r="E15" i="20"/>
  <c r="I15" s="1"/>
  <c r="H27" i="19"/>
  <c r="H27" i="39" s="1"/>
  <c r="E27" i="21"/>
  <c r="I27" s="1"/>
  <c r="E27" i="20"/>
  <c r="I27" s="1"/>
  <c r="H43" i="19"/>
  <c r="H43" i="39" s="1"/>
  <c r="E43" i="21"/>
  <c r="J43" i="23"/>
  <c r="K43" s="1"/>
  <c r="J43" i="22"/>
  <c r="K43" s="1"/>
  <c r="J43" i="27"/>
  <c r="K43" s="1"/>
  <c r="E43" i="20"/>
  <c r="J43" i="26"/>
  <c r="K43" s="1"/>
  <c r="J43" i="28"/>
  <c r="K43" s="1"/>
  <c r="H55" i="19"/>
  <c r="H55" i="39" s="1"/>
  <c r="E55" i="21"/>
  <c r="J55" i="23"/>
  <c r="K55" s="1"/>
  <c r="J55" i="27"/>
  <c r="K55" s="1"/>
  <c r="J55" i="26"/>
  <c r="K55" s="1"/>
  <c r="J55" i="22"/>
  <c r="K55" s="1"/>
  <c r="J55" i="28"/>
  <c r="K55" s="1"/>
  <c r="E55" i="20"/>
  <c r="H67" i="19"/>
  <c r="H67" i="39" s="1"/>
  <c r="E67" i="21"/>
  <c r="J67" i="23"/>
  <c r="K67" s="1"/>
  <c r="J67" i="22"/>
  <c r="K67" s="1"/>
  <c r="J67" i="27"/>
  <c r="K67" s="1"/>
  <c r="J67" i="28"/>
  <c r="K67" s="1"/>
  <c r="E67" i="20"/>
  <c r="J67" i="26"/>
  <c r="K67" s="1"/>
  <c r="H79" i="19"/>
  <c r="H79" i="39" s="1"/>
  <c r="J79" i="22"/>
  <c r="K79" s="1"/>
  <c r="J79" i="23"/>
  <c r="K79" s="1"/>
  <c r="J79" i="27"/>
  <c r="K79" s="1"/>
  <c r="J79" i="26"/>
  <c r="K79" s="1"/>
  <c r="E79" i="21"/>
  <c r="E79" i="20"/>
  <c r="J79" i="28"/>
  <c r="K79" s="1"/>
  <c r="H95" i="19"/>
  <c r="H95" i="39" s="1"/>
  <c r="J95" i="22"/>
  <c r="K95" s="1"/>
  <c r="E95" i="21"/>
  <c r="J95" i="23"/>
  <c r="K95" s="1"/>
  <c r="J95" i="27"/>
  <c r="K95" s="1"/>
  <c r="J95" i="26"/>
  <c r="K95" s="1"/>
  <c r="E95" i="20"/>
  <c r="J95" i="28"/>
  <c r="K95" s="1"/>
  <c r="E107" i="21"/>
  <c r="E107" i="20"/>
  <c r="E115" i="21"/>
  <c r="E115" i="20"/>
  <c r="E123"/>
  <c r="E135" i="21"/>
  <c r="E135" i="20"/>
  <c r="E143"/>
  <c r="E143" i="21"/>
  <c r="H4" i="19"/>
  <c r="H4" i="39" s="1"/>
  <c r="E4" i="21"/>
  <c r="J4" i="26"/>
  <c r="K4" s="1"/>
  <c r="J4" i="23"/>
  <c r="K4" s="1"/>
  <c r="J4" i="22"/>
  <c r="K4" s="1"/>
  <c r="J4" i="28"/>
  <c r="K4" s="1"/>
  <c r="J4" i="27"/>
  <c r="K4" s="1"/>
  <c r="E4" i="20"/>
  <c r="H8" i="19"/>
  <c r="H8" i="39" s="1"/>
  <c r="E8" i="21"/>
  <c r="J8" i="23"/>
  <c r="K8" s="1"/>
  <c r="J8" i="27"/>
  <c r="K8" s="1"/>
  <c r="H12" i="19"/>
  <c r="H12" i="39" s="1"/>
  <c r="E12" i="21"/>
  <c r="J12" i="26"/>
  <c r="K12" s="1"/>
  <c r="J12" i="22"/>
  <c r="K12" s="1"/>
  <c r="J12" i="23"/>
  <c r="K12" s="1"/>
  <c r="J12" i="27"/>
  <c r="K12" s="1"/>
  <c r="J12" i="28"/>
  <c r="K12" s="1"/>
  <c r="E12" i="20"/>
  <c r="H16" i="19"/>
  <c r="H16" i="39" s="1"/>
  <c r="E16" i="21"/>
  <c r="J16" i="26"/>
  <c r="K16" s="1"/>
  <c r="J16" i="23"/>
  <c r="K16" s="1"/>
  <c r="J16" i="22"/>
  <c r="K16" s="1"/>
  <c r="J16" i="28"/>
  <c r="K16" s="1"/>
  <c r="J16" i="27"/>
  <c r="K16" s="1"/>
  <c r="E16" i="20"/>
  <c r="E20" i="21"/>
  <c r="E20" i="20"/>
  <c r="H24" i="19"/>
  <c r="H24" i="39" s="1"/>
  <c r="E24" i="21"/>
  <c r="J24" i="22"/>
  <c r="K24" s="1"/>
  <c r="J24" i="26"/>
  <c r="K24" s="1"/>
  <c r="J24" i="23"/>
  <c r="K24" s="1"/>
  <c r="J24" i="27"/>
  <c r="K24" s="1"/>
  <c r="J24" i="28"/>
  <c r="K24" s="1"/>
  <c r="E24" i="20"/>
  <c r="H28" i="19"/>
  <c r="H28" i="39" s="1"/>
  <c r="E28" i="21"/>
  <c r="J28" i="26"/>
  <c r="K28" s="1"/>
  <c r="J28" i="23"/>
  <c r="K28" s="1"/>
  <c r="J28" i="22"/>
  <c r="K28" s="1"/>
  <c r="J28" i="27"/>
  <c r="K28" s="1"/>
  <c r="E28" i="20"/>
  <c r="J28" i="28"/>
  <c r="K28" s="1"/>
  <c r="H32" i="19"/>
  <c r="H32" i="39" s="1"/>
  <c r="E32" i="21"/>
  <c r="J32" i="22"/>
  <c r="K32" s="1"/>
  <c r="J32" i="26"/>
  <c r="K32" s="1"/>
  <c r="J32" i="23"/>
  <c r="K32" s="1"/>
  <c r="J32" i="27"/>
  <c r="K32" s="1"/>
  <c r="J32" i="28"/>
  <c r="K32" s="1"/>
  <c r="E32" i="20"/>
  <c r="H36" i="19"/>
  <c r="H36" i="39" s="1"/>
  <c r="E36" i="21"/>
  <c r="J36" i="26"/>
  <c r="K36" s="1"/>
  <c r="J36" i="23"/>
  <c r="K36" s="1"/>
  <c r="J36" i="22"/>
  <c r="K36" s="1"/>
  <c r="J36" i="28"/>
  <c r="K36" s="1"/>
  <c r="E36" i="20"/>
  <c r="J36" i="27"/>
  <c r="K36" s="1"/>
  <c r="H40" i="19"/>
  <c r="H40" i="39" s="1"/>
  <c r="E40" i="21"/>
  <c r="J40" i="22"/>
  <c r="K40" s="1"/>
  <c r="J40" i="26"/>
  <c r="K40" s="1"/>
  <c r="J40" i="23"/>
  <c r="K40" s="1"/>
  <c r="J40" i="28"/>
  <c r="K40" s="1"/>
  <c r="E40" i="20"/>
  <c r="J40" i="27"/>
  <c r="K40" s="1"/>
  <c r="H44" i="19"/>
  <c r="H44" i="39" s="1"/>
  <c r="E44" i="21"/>
  <c r="J44" i="26"/>
  <c r="K44" s="1"/>
  <c r="J44" i="23"/>
  <c r="K44" s="1"/>
  <c r="J44" i="22"/>
  <c r="K44" s="1"/>
  <c r="J44" i="27"/>
  <c r="K44" s="1"/>
  <c r="J44" i="28"/>
  <c r="K44" s="1"/>
  <c r="E44" i="20"/>
  <c r="H48" i="19"/>
  <c r="H48" i="39" s="1"/>
  <c r="E48" i="21"/>
  <c r="J48" i="22"/>
  <c r="K48" s="1"/>
  <c r="J48" i="26"/>
  <c r="K48" s="1"/>
  <c r="J48" i="23"/>
  <c r="K48" s="1"/>
  <c r="J48" i="27"/>
  <c r="K48" s="1"/>
  <c r="J48" i="28"/>
  <c r="K48" s="1"/>
  <c r="E48" i="20"/>
  <c r="H52" i="19"/>
  <c r="H52" i="39" s="1"/>
  <c r="E52" i="21"/>
  <c r="J52" i="26"/>
  <c r="K52" s="1"/>
  <c r="J52" i="23"/>
  <c r="K52" s="1"/>
  <c r="J52" i="22"/>
  <c r="K52" s="1"/>
  <c r="J52" i="27"/>
  <c r="K52" s="1"/>
  <c r="J52" i="28"/>
  <c r="K52" s="1"/>
  <c r="E52" i="20"/>
  <c r="H56" i="19"/>
  <c r="H56" i="39" s="1"/>
  <c r="E56" i="21"/>
  <c r="J56" i="23"/>
  <c r="K56" s="1"/>
  <c r="J56" i="28"/>
  <c r="K56" s="1"/>
  <c r="H60" i="19"/>
  <c r="H60" i="39" s="1"/>
  <c r="E60" i="21"/>
  <c r="J60" i="26"/>
  <c r="K60" s="1"/>
  <c r="J60" i="23"/>
  <c r="K60" s="1"/>
  <c r="J60" i="22"/>
  <c r="K60" s="1"/>
  <c r="J60" i="27"/>
  <c r="K60" s="1"/>
  <c r="E60" i="20"/>
  <c r="J60" i="28"/>
  <c r="K60" s="1"/>
  <c r="H64" i="19"/>
  <c r="H64" i="39" s="1"/>
  <c r="E64" i="21"/>
  <c r="J64" i="22"/>
  <c r="K64" s="1"/>
  <c r="J64" i="26"/>
  <c r="K64" s="1"/>
  <c r="J64" i="23"/>
  <c r="K64" s="1"/>
  <c r="J64" i="27"/>
  <c r="K64" s="1"/>
  <c r="J64" i="28"/>
  <c r="K64" s="1"/>
  <c r="E64" i="20"/>
  <c r="E68" i="21"/>
  <c r="J68" i="27"/>
  <c r="K68" s="1"/>
  <c r="H72" i="19"/>
  <c r="H72" i="39" s="1"/>
  <c r="E72" i="21"/>
  <c r="J72" i="22"/>
  <c r="K72" s="1"/>
  <c r="J72" i="26"/>
  <c r="K72" s="1"/>
  <c r="J72" i="23"/>
  <c r="K72" s="1"/>
  <c r="J72" i="27"/>
  <c r="K72" s="1"/>
  <c r="J72" i="28"/>
  <c r="K72" s="1"/>
  <c r="E72" i="20"/>
  <c r="H76" i="19"/>
  <c r="H76" i="39" s="1"/>
  <c r="E76" i="21"/>
  <c r="J76" i="22"/>
  <c r="K76" s="1"/>
  <c r="J76" i="26"/>
  <c r="K76" s="1"/>
  <c r="J76" i="23"/>
  <c r="K76" s="1"/>
  <c r="J76" i="28"/>
  <c r="K76" s="1"/>
  <c r="E76" i="20"/>
  <c r="J76" i="27"/>
  <c r="K76" s="1"/>
  <c r="H80" i="19"/>
  <c r="H80" i="39" s="1"/>
  <c r="E80" i="21"/>
  <c r="J80" i="22"/>
  <c r="K80" s="1"/>
  <c r="J80" i="26"/>
  <c r="K80" s="1"/>
  <c r="J80" i="23"/>
  <c r="K80" s="1"/>
  <c r="J80" i="27"/>
  <c r="K80" s="1"/>
  <c r="J80" i="28"/>
  <c r="K80" s="1"/>
  <c r="E80" i="20"/>
  <c r="H84" i="19"/>
  <c r="H84" i="39" s="1"/>
  <c r="E84" i="21"/>
  <c r="J84" i="22"/>
  <c r="K84" s="1"/>
  <c r="J84" i="26"/>
  <c r="K84" s="1"/>
  <c r="J84" i="23"/>
  <c r="K84" s="1"/>
  <c r="J84" i="28"/>
  <c r="K84" s="1"/>
  <c r="E84" i="20"/>
  <c r="J84" i="27"/>
  <c r="K84" s="1"/>
  <c r="H88" i="19"/>
  <c r="H88" i="39" s="1"/>
  <c r="E88" i="21"/>
  <c r="J88" i="22"/>
  <c r="K88" s="1"/>
  <c r="J88" i="26"/>
  <c r="K88" s="1"/>
  <c r="J88" i="23"/>
  <c r="K88" s="1"/>
  <c r="J88" i="27"/>
  <c r="K88" s="1"/>
  <c r="J88" i="28"/>
  <c r="K88" s="1"/>
  <c r="E88" i="20"/>
  <c r="H92" i="19"/>
  <c r="H92" i="39" s="1"/>
  <c r="E92" i="21"/>
  <c r="J92" i="22"/>
  <c r="K92" s="1"/>
  <c r="J92" i="26"/>
  <c r="K92" s="1"/>
  <c r="J92" i="23"/>
  <c r="K92" s="1"/>
  <c r="E92" i="20"/>
  <c r="J92" i="27"/>
  <c r="K92" s="1"/>
  <c r="J92" i="28"/>
  <c r="K92" s="1"/>
  <c r="H96" i="19"/>
  <c r="H96" i="39" s="1"/>
  <c r="E96" i="21"/>
  <c r="J96" i="26"/>
  <c r="K96" s="1"/>
  <c r="J96" i="22"/>
  <c r="K96" s="1"/>
  <c r="J96" i="23"/>
  <c r="K96" s="1"/>
  <c r="J96" i="27"/>
  <c r="K96" s="1"/>
  <c r="E96" i="20"/>
  <c r="J96" i="28"/>
  <c r="K96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E144" i="20"/>
  <c r="E148" i="21"/>
  <c r="E148" i="20"/>
  <c r="H3" i="19"/>
  <c r="H3" i="39" s="1"/>
  <c r="E3" i="21"/>
  <c r="I3" s="1"/>
  <c r="E3" i="20"/>
  <c r="I3" s="1"/>
  <c r="H23" i="19"/>
  <c r="H23" i="39" s="1"/>
  <c r="E23" i="21"/>
  <c r="J23" i="23"/>
  <c r="K23" s="1"/>
  <c r="J23" i="26"/>
  <c r="K23" s="1"/>
  <c r="J23" i="28"/>
  <c r="K23" s="1"/>
  <c r="E23" i="20"/>
  <c r="J23" i="27"/>
  <c r="K23" s="1"/>
  <c r="J23" i="22"/>
  <c r="K23" s="1"/>
  <c r="H35" i="19"/>
  <c r="H35" i="39" s="1"/>
  <c r="E35" i="21"/>
  <c r="J35" i="23"/>
  <c r="K35" s="1"/>
  <c r="J35" i="22"/>
  <c r="K35" s="1"/>
  <c r="J35" i="27"/>
  <c r="K35" s="1"/>
  <c r="J35" i="28"/>
  <c r="K35" s="1"/>
  <c r="E35" i="20"/>
  <c r="J35" i="26"/>
  <c r="K35" s="1"/>
  <c r="H47" i="19"/>
  <c r="H47" i="39" s="1"/>
  <c r="J47" i="23"/>
  <c r="K47" s="1"/>
  <c r="E47" i="21"/>
  <c r="J47" i="27"/>
  <c r="K47" s="1"/>
  <c r="J47" i="22"/>
  <c r="K47" s="1"/>
  <c r="J47" i="26"/>
  <c r="K47" s="1"/>
  <c r="E47" i="20"/>
  <c r="J47" i="28"/>
  <c r="K47" s="1"/>
  <c r="H59" i="19"/>
  <c r="H59" i="39" s="1"/>
  <c r="E59" i="21"/>
  <c r="J59" i="23"/>
  <c r="K59" s="1"/>
  <c r="J59" i="22"/>
  <c r="K59" s="1"/>
  <c r="J59" i="27"/>
  <c r="K59" s="1"/>
  <c r="J59" i="26"/>
  <c r="K59" s="1"/>
  <c r="E59" i="20"/>
  <c r="J59" i="28"/>
  <c r="K59" s="1"/>
  <c r="H75" i="19"/>
  <c r="H75" i="39" s="1"/>
  <c r="E75" i="21"/>
  <c r="I75" s="1"/>
  <c r="E75" i="20"/>
  <c r="I75" s="1"/>
  <c r="H87" i="19"/>
  <c r="H87" i="39" s="1"/>
  <c r="E87" i="21"/>
  <c r="I87" s="1"/>
  <c r="E87" i="20"/>
  <c r="I87" s="1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s="1"/>
  <c r="E5" i="21"/>
  <c r="J5" i="26"/>
  <c r="K5" s="1"/>
  <c r="J5" i="28"/>
  <c r="K5" s="1"/>
  <c r="J5" i="23"/>
  <c r="K5" s="1"/>
  <c r="J5" i="27"/>
  <c r="K5" s="1"/>
  <c r="E5" i="20"/>
  <c r="H9" i="19"/>
  <c r="H9" i="39" s="1"/>
  <c r="J9" i="26"/>
  <c r="K9" s="1"/>
  <c r="J9" i="28"/>
  <c r="K9" s="1"/>
  <c r="E9" i="20"/>
  <c r="H13" i="19"/>
  <c r="H13" i="39" s="1"/>
  <c r="E13" i="21"/>
  <c r="J13" i="22"/>
  <c r="K13" s="1"/>
  <c r="J13" i="26"/>
  <c r="K13" s="1"/>
  <c r="J13" i="28"/>
  <c r="K13" s="1"/>
  <c r="J13" i="23"/>
  <c r="K13" s="1"/>
  <c r="J13" i="27"/>
  <c r="K13" s="1"/>
  <c r="E13" i="20"/>
  <c r="H17" i="19"/>
  <c r="H17" i="39" s="1"/>
  <c r="J17" i="22"/>
  <c r="K17" s="1"/>
  <c r="E17" i="21"/>
  <c r="J17" i="26"/>
  <c r="K17" s="1"/>
  <c r="J17" i="28"/>
  <c r="K17" s="1"/>
  <c r="J17" i="23"/>
  <c r="K17" s="1"/>
  <c r="J17" i="27"/>
  <c r="K17" s="1"/>
  <c r="E17" i="20"/>
  <c r="H21" i="19"/>
  <c r="H21" i="39" s="1"/>
  <c r="J21" i="28"/>
  <c r="K21" s="1"/>
  <c r="H25" i="19"/>
  <c r="H25" i="39" s="1"/>
  <c r="E25" i="21"/>
  <c r="J25" i="22"/>
  <c r="K25" s="1"/>
  <c r="J25" i="26"/>
  <c r="K25" s="1"/>
  <c r="J25" i="28"/>
  <c r="K25" s="1"/>
  <c r="J25" i="23"/>
  <c r="K25" s="1"/>
  <c r="J25" i="27"/>
  <c r="K25" s="1"/>
  <c r="E25" i="20"/>
  <c r="H29" i="19"/>
  <c r="H29" i="39" s="1"/>
  <c r="E29" i="21"/>
  <c r="J29" i="22"/>
  <c r="K29" s="1"/>
  <c r="J29" i="26"/>
  <c r="K29" s="1"/>
  <c r="J29" i="27"/>
  <c r="K29" s="1"/>
  <c r="J29" i="28"/>
  <c r="K29" s="1"/>
  <c r="E29" i="20"/>
  <c r="J29" i="23"/>
  <c r="K29" s="1"/>
  <c r="H33" i="19"/>
  <c r="H33" i="39" s="1"/>
  <c r="J33" i="22"/>
  <c r="K33" s="1"/>
  <c r="E33" i="21"/>
  <c r="J33" i="26"/>
  <c r="K33" s="1"/>
  <c r="J33" i="28"/>
  <c r="K33" s="1"/>
  <c r="J33" i="23"/>
  <c r="K33" s="1"/>
  <c r="J33" i="27"/>
  <c r="K33" s="1"/>
  <c r="E33" i="20"/>
  <c r="H37" i="19"/>
  <c r="H37" i="39" s="1"/>
  <c r="J37" i="22"/>
  <c r="K37" s="1"/>
  <c r="J37" i="26"/>
  <c r="K37" s="1"/>
  <c r="E37" i="21"/>
  <c r="J37" i="28"/>
  <c r="K37" s="1"/>
  <c r="J37" i="23"/>
  <c r="K37" s="1"/>
  <c r="E37" i="20"/>
  <c r="J37" i="27"/>
  <c r="K37" s="1"/>
  <c r="H41" i="19"/>
  <c r="H41" i="39" s="1"/>
  <c r="E41" i="21"/>
  <c r="J41" i="22"/>
  <c r="K41" s="1"/>
  <c r="J41" i="26"/>
  <c r="K41" s="1"/>
  <c r="J41" i="28"/>
  <c r="K41" s="1"/>
  <c r="J41" i="27"/>
  <c r="K41" s="1"/>
  <c r="J41" i="23"/>
  <c r="K41" s="1"/>
  <c r="E41" i="20"/>
  <c r="H45" i="19"/>
  <c r="H45" i="39" s="1"/>
  <c r="E45" i="21"/>
  <c r="J45" i="22"/>
  <c r="K45" s="1"/>
  <c r="J45" i="26"/>
  <c r="K45" s="1"/>
  <c r="J45" i="27"/>
  <c r="K45" s="1"/>
  <c r="J45" i="28"/>
  <c r="K45" s="1"/>
  <c r="J45" i="23"/>
  <c r="K45" s="1"/>
  <c r="E45" i="20"/>
  <c r="H49" i="19"/>
  <c r="H49" i="39" s="1"/>
  <c r="J49" i="22"/>
  <c r="K49" s="1"/>
  <c r="E49" i="21"/>
  <c r="J49" i="26"/>
  <c r="K49" s="1"/>
  <c r="J49" i="28"/>
  <c r="K49" s="1"/>
  <c r="J49" i="27"/>
  <c r="K49" s="1"/>
  <c r="J49" i="23"/>
  <c r="K49" s="1"/>
  <c r="E49" i="20"/>
  <c r="H53" i="19"/>
  <c r="H53" i="39" s="1"/>
  <c r="J53" i="22"/>
  <c r="K53" s="1"/>
  <c r="J53" i="26"/>
  <c r="K53" s="1"/>
  <c r="J53" i="28"/>
  <c r="K53" s="1"/>
  <c r="E53" i="21"/>
  <c r="E53" i="20"/>
  <c r="J53" i="27"/>
  <c r="K53" s="1"/>
  <c r="J53" i="23"/>
  <c r="K53" s="1"/>
  <c r="H57" i="19"/>
  <c r="H57" i="39" s="1"/>
  <c r="J57" i="26"/>
  <c r="K57" s="1"/>
  <c r="J57" i="28"/>
  <c r="K57" s="1"/>
  <c r="E57" i="20"/>
  <c r="H61" i="19"/>
  <c r="H61" i="39" s="1"/>
  <c r="E61" i="21"/>
  <c r="J61" i="22"/>
  <c r="K61" s="1"/>
  <c r="J61" i="26"/>
  <c r="K61" s="1"/>
  <c r="J61" i="27"/>
  <c r="K61" s="1"/>
  <c r="J61" i="28"/>
  <c r="K61" s="1"/>
  <c r="J61" i="23"/>
  <c r="K61" s="1"/>
  <c r="E61" i="20"/>
  <c r="H65" i="19"/>
  <c r="H65" i="39" s="1"/>
  <c r="J65" i="22"/>
  <c r="K65" s="1"/>
  <c r="E65" i="21"/>
  <c r="J65" i="26"/>
  <c r="K65" s="1"/>
  <c r="J65" i="28"/>
  <c r="K65" s="1"/>
  <c r="J65" i="27"/>
  <c r="K65" s="1"/>
  <c r="J65" i="23"/>
  <c r="K65" s="1"/>
  <c r="E65" i="20"/>
  <c r="H69" i="19"/>
  <c r="H69" i="39" s="1"/>
  <c r="J69" i="28"/>
  <c r="K69" s="1"/>
  <c r="H73" i="19"/>
  <c r="H73" i="39" s="1"/>
  <c r="E73" i="21"/>
  <c r="J73" i="22"/>
  <c r="K73" s="1"/>
  <c r="J73" i="26"/>
  <c r="K73" s="1"/>
  <c r="J73" i="28"/>
  <c r="K73" s="1"/>
  <c r="J73" i="23"/>
  <c r="K73" s="1"/>
  <c r="J73" i="27"/>
  <c r="K73" s="1"/>
  <c r="E73" i="20"/>
  <c r="H77" i="19"/>
  <c r="H77" i="39" s="1"/>
  <c r="E77" i="21"/>
  <c r="J77" i="26"/>
  <c r="K77" s="1"/>
  <c r="J77" i="27"/>
  <c r="K77" s="1"/>
  <c r="J77" i="28"/>
  <c r="K77" s="1"/>
  <c r="J77" i="23"/>
  <c r="K77" s="1"/>
  <c r="J77" i="22"/>
  <c r="K77" s="1"/>
  <c r="E77" i="20"/>
  <c r="H81" i="19"/>
  <c r="H81" i="39" s="1"/>
  <c r="J81" i="22"/>
  <c r="K81" s="1"/>
  <c r="E81" i="21"/>
  <c r="J81" i="26"/>
  <c r="K81" s="1"/>
  <c r="J81" i="28"/>
  <c r="K81" s="1"/>
  <c r="J81" i="23"/>
  <c r="K81" s="1"/>
  <c r="J81" i="27"/>
  <c r="K81" s="1"/>
  <c r="E81" i="20"/>
  <c r="H85" i="19"/>
  <c r="H85" i="39" s="1"/>
  <c r="J85" i="22"/>
  <c r="K85" s="1"/>
  <c r="E85" i="21"/>
  <c r="J85" i="26"/>
  <c r="K85" s="1"/>
  <c r="J85" i="28"/>
  <c r="K85" s="1"/>
  <c r="J85" i="27"/>
  <c r="K85" s="1"/>
  <c r="J85" i="23"/>
  <c r="K85" s="1"/>
  <c r="E85" i="20"/>
  <c r="H89" i="19"/>
  <c r="H89" i="39" s="1"/>
  <c r="E89" i="21"/>
  <c r="J89" i="22"/>
  <c r="K89" s="1"/>
  <c r="J89" i="26"/>
  <c r="K89" s="1"/>
  <c r="J89" i="28"/>
  <c r="K89" s="1"/>
  <c r="J89" i="23"/>
  <c r="K89" s="1"/>
  <c r="J89" i="27"/>
  <c r="K89" s="1"/>
  <c r="E89" i="20"/>
  <c r="H93" i="19"/>
  <c r="H93" i="39" s="1"/>
  <c r="E93" i="21"/>
  <c r="J93" i="22"/>
  <c r="K93" s="1"/>
  <c r="J93" i="26"/>
  <c r="K93" s="1"/>
  <c r="J93" i="27"/>
  <c r="K93" s="1"/>
  <c r="J93" i="28"/>
  <c r="K93" s="1"/>
  <c r="E93" i="20"/>
  <c r="J93" i="23"/>
  <c r="K93" s="1"/>
  <c r="H97" i="19"/>
  <c r="H97" i="39" s="1"/>
  <c r="J97" i="22"/>
  <c r="K97" s="1"/>
  <c r="E97" i="21"/>
  <c r="J97" i="26"/>
  <c r="K97" s="1"/>
  <c r="J97" i="28"/>
  <c r="K97" s="1"/>
  <c r="E97" i="20"/>
  <c r="J97" i="23"/>
  <c r="K97" s="1"/>
  <c r="J97" i="27"/>
  <c r="K97" s="1"/>
  <c r="E101" i="21"/>
  <c r="E101" i="20"/>
  <c r="E105" i="21"/>
  <c r="E105" i="20"/>
  <c r="E109" i="21"/>
  <c r="E109" i="20"/>
  <c r="E113" i="21"/>
  <c r="E113" i="20"/>
  <c r="E117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E145" i="20"/>
  <c r="H7" i="19"/>
  <c r="H7" i="39" s="1"/>
  <c r="E7" i="21"/>
  <c r="J7" i="23"/>
  <c r="K7" s="1"/>
  <c r="J7" i="26"/>
  <c r="K7" s="1"/>
  <c r="J7" i="28"/>
  <c r="K7" s="1"/>
  <c r="E7" i="20"/>
  <c r="J7" i="27"/>
  <c r="K7" s="1"/>
  <c r="J7" i="22"/>
  <c r="K7" s="1"/>
  <c r="H19" i="19"/>
  <c r="H19" i="39" s="1"/>
  <c r="E19" i="21"/>
  <c r="J19" i="23"/>
  <c r="K19" s="1"/>
  <c r="J19" i="22"/>
  <c r="K19" s="1"/>
  <c r="J19" i="26"/>
  <c r="K19" s="1"/>
  <c r="J19" i="28"/>
  <c r="K19" s="1"/>
  <c r="E19" i="20"/>
  <c r="J19" i="27"/>
  <c r="K19" s="1"/>
  <c r="H31" i="19"/>
  <c r="H31" i="39" s="1"/>
  <c r="E31" i="21"/>
  <c r="J31" i="23"/>
  <c r="K31" s="1"/>
  <c r="J31" i="27"/>
  <c r="K31" s="1"/>
  <c r="J31" i="26"/>
  <c r="K31" s="1"/>
  <c r="E31" i="20"/>
  <c r="J31" i="22"/>
  <c r="K31" s="1"/>
  <c r="J31" i="28"/>
  <c r="K31" s="1"/>
  <c r="H39" i="19"/>
  <c r="H39" i="39" s="1"/>
  <c r="E39" i="21"/>
  <c r="I39" s="1"/>
  <c r="E39" i="20"/>
  <c r="I39" s="1"/>
  <c r="H51" i="19"/>
  <c r="H51" i="39" s="1"/>
  <c r="E51" i="21"/>
  <c r="I51" s="1"/>
  <c r="E51" i="20"/>
  <c r="I51" s="1"/>
  <c r="H63" i="19"/>
  <c r="H63" i="39" s="1"/>
  <c r="E63" i="21"/>
  <c r="I63" s="1"/>
  <c r="E63" i="20"/>
  <c r="I63" s="1"/>
  <c r="H71" i="19"/>
  <c r="H71" i="39" s="1"/>
  <c r="J71" i="22"/>
  <c r="K71" s="1"/>
  <c r="E71" i="21"/>
  <c r="J71" i="23"/>
  <c r="K71" s="1"/>
  <c r="J71" i="27"/>
  <c r="K71" s="1"/>
  <c r="J71" i="26"/>
  <c r="K71" s="1"/>
  <c r="J71" i="28"/>
  <c r="K71" s="1"/>
  <c r="E71" i="20"/>
  <c r="H83" i="19"/>
  <c r="H83" i="39" s="1"/>
  <c r="J83" i="22"/>
  <c r="K83" s="1"/>
  <c r="E83" i="21"/>
  <c r="J83" i="23"/>
  <c r="K83" s="1"/>
  <c r="J83" i="27"/>
  <c r="K83" s="1"/>
  <c r="J83" i="26"/>
  <c r="K83" s="1"/>
  <c r="J83" i="28"/>
  <c r="K83" s="1"/>
  <c r="E83" i="20"/>
  <c r="H91" i="19"/>
  <c r="H91" i="39" s="1"/>
  <c r="J91" i="22"/>
  <c r="K91" s="1"/>
  <c r="E91" i="21"/>
  <c r="J91" i="23"/>
  <c r="K91" s="1"/>
  <c r="J91" i="27"/>
  <c r="K91" s="1"/>
  <c r="J91" i="26"/>
  <c r="K91" s="1"/>
  <c r="E91" i="20"/>
  <c r="J91" i="28"/>
  <c r="K91" s="1"/>
  <c r="E99" i="21"/>
  <c r="E99" i="20"/>
  <c r="E111" i="21"/>
  <c r="E111" i="20"/>
  <c r="E131" i="21"/>
  <c r="E131" i="20"/>
  <c r="H6" i="19"/>
  <c r="H6" i="39" s="1"/>
  <c r="E6" i="21"/>
  <c r="J6" i="22"/>
  <c r="K6" s="1"/>
  <c r="J6" i="27"/>
  <c r="K6" s="1"/>
  <c r="J6" i="28"/>
  <c r="K6" s="1"/>
  <c r="E6" i="20"/>
  <c r="J6" i="23"/>
  <c r="K6" s="1"/>
  <c r="J6" i="26"/>
  <c r="K6" s="1"/>
  <c r="E10" i="21"/>
  <c r="J10" i="23"/>
  <c r="K10" s="1"/>
  <c r="J10" i="28"/>
  <c r="K10" s="1"/>
  <c r="J10" i="26"/>
  <c r="K10" s="1"/>
  <c r="H14" i="19"/>
  <c r="H14" i="39" s="1"/>
  <c r="E14" i="21"/>
  <c r="J14" i="22"/>
  <c r="K14" s="1"/>
  <c r="J14" i="27"/>
  <c r="K14" s="1"/>
  <c r="J14" i="26"/>
  <c r="K14" s="1"/>
  <c r="E14" i="20"/>
  <c r="J14" i="23"/>
  <c r="K14" s="1"/>
  <c r="J14" i="28"/>
  <c r="K14" s="1"/>
  <c r="J18" i="22"/>
  <c r="K18" s="1"/>
  <c r="J18" i="28"/>
  <c r="K18" s="1"/>
  <c r="H22" i="19"/>
  <c r="H22" i="39" s="1"/>
  <c r="E22" i="21"/>
  <c r="J22" i="22"/>
  <c r="K22" s="1"/>
  <c r="J22" i="27"/>
  <c r="K22" s="1"/>
  <c r="J22" i="28"/>
  <c r="K22" s="1"/>
  <c r="E22" i="20"/>
  <c r="J22" i="26"/>
  <c r="K22" s="1"/>
  <c r="J22" i="23"/>
  <c r="K22" s="1"/>
  <c r="H26" i="19"/>
  <c r="H26" i="39" s="1"/>
  <c r="E26" i="21"/>
  <c r="J26" i="22"/>
  <c r="K26" s="1"/>
  <c r="J26" i="23"/>
  <c r="K26" s="1"/>
  <c r="J26" i="27"/>
  <c r="K26" s="1"/>
  <c r="J26" i="26"/>
  <c r="K26" s="1"/>
  <c r="E26" i="20"/>
  <c r="J26" i="28"/>
  <c r="K26" s="1"/>
  <c r="H30" i="19"/>
  <c r="H30" i="39" s="1"/>
  <c r="E30" i="21"/>
  <c r="J30" i="22"/>
  <c r="K30" s="1"/>
  <c r="J30" i="23"/>
  <c r="K30" s="1"/>
  <c r="E30" i="20"/>
  <c r="J30" i="27"/>
  <c r="K30" s="1"/>
  <c r="J30" i="28"/>
  <c r="K30" s="1"/>
  <c r="J30" i="26"/>
  <c r="K30" s="1"/>
  <c r="J34" i="22"/>
  <c r="K34" s="1"/>
  <c r="E34" i="21"/>
  <c r="J34" i="26"/>
  <c r="K34" s="1"/>
  <c r="J34" i="27"/>
  <c r="K34" s="1"/>
  <c r="H38" i="19"/>
  <c r="H38" i="39" s="1"/>
  <c r="E38" i="21"/>
  <c r="J38" i="22"/>
  <c r="K38" s="1"/>
  <c r="J38" i="27"/>
  <c r="K38" s="1"/>
  <c r="J38" i="28"/>
  <c r="K38" s="1"/>
  <c r="E38" i="20"/>
  <c r="J38" i="23"/>
  <c r="K38" s="1"/>
  <c r="J38" i="26"/>
  <c r="K38" s="1"/>
  <c r="J42" i="22"/>
  <c r="K42" s="1"/>
  <c r="J42" i="28"/>
  <c r="K42" s="1"/>
  <c r="H46" i="19"/>
  <c r="H46" i="39" s="1"/>
  <c r="E46" i="21"/>
  <c r="J46" i="22"/>
  <c r="K46" s="1"/>
  <c r="J46" i="26"/>
  <c r="K46" s="1"/>
  <c r="J46" i="27"/>
  <c r="K46" s="1"/>
  <c r="E46" i="20"/>
  <c r="J46" i="28"/>
  <c r="K46" s="1"/>
  <c r="J46" i="23"/>
  <c r="K46" s="1"/>
  <c r="H50" i="19"/>
  <c r="H50" i="39" s="1"/>
  <c r="J50" i="22"/>
  <c r="K50" s="1"/>
  <c r="E50" i="21"/>
  <c r="J50" i="23"/>
  <c r="K50" s="1"/>
  <c r="E50" i="20"/>
  <c r="J50" i="26"/>
  <c r="K50" s="1"/>
  <c r="J50" i="28"/>
  <c r="K50" s="1"/>
  <c r="J50" i="27"/>
  <c r="K50" s="1"/>
  <c r="H54" i="19"/>
  <c r="H54" i="39" s="1"/>
  <c r="E54" i="21"/>
  <c r="J54" i="22"/>
  <c r="K54" s="1"/>
  <c r="J54" i="28"/>
  <c r="K54" s="1"/>
  <c r="E54" i="20"/>
  <c r="J54" i="26"/>
  <c r="K54" s="1"/>
  <c r="J54" i="23"/>
  <c r="K54" s="1"/>
  <c r="J54" i="27"/>
  <c r="K54" s="1"/>
  <c r="E58" i="21"/>
  <c r="J58" i="22"/>
  <c r="K58" s="1"/>
  <c r="J58" i="26"/>
  <c r="K58" s="1"/>
  <c r="E58" i="20"/>
  <c r="H62" i="19"/>
  <c r="H62" i="39" s="1"/>
  <c r="E62" i="21"/>
  <c r="J62" i="22"/>
  <c r="K62" s="1"/>
  <c r="J62" i="23"/>
  <c r="K62" s="1"/>
  <c r="E62" i="20"/>
  <c r="J62" i="26"/>
  <c r="K62" s="1"/>
  <c r="J62" i="27"/>
  <c r="K62" s="1"/>
  <c r="J62" i="28"/>
  <c r="K62" s="1"/>
  <c r="E66" i="21"/>
  <c r="J66" i="27"/>
  <c r="K66" s="1"/>
  <c r="H70" i="19"/>
  <c r="H70" i="39" s="1"/>
  <c r="E70" i="21"/>
  <c r="J70" i="22"/>
  <c r="K70" s="1"/>
  <c r="J70" i="28"/>
  <c r="K70" s="1"/>
  <c r="E70" i="20"/>
  <c r="J70" i="23"/>
  <c r="K70" s="1"/>
  <c r="J70" i="27"/>
  <c r="K70" s="1"/>
  <c r="J70" i="26"/>
  <c r="K70" s="1"/>
  <c r="H74" i="19"/>
  <c r="H74" i="39" s="1"/>
  <c r="E74" i="21"/>
  <c r="J74" i="22"/>
  <c r="K74" s="1"/>
  <c r="J74" i="23"/>
  <c r="K74" s="1"/>
  <c r="J74" i="27"/>
  <c r="K74" s="1"/>
  <c r="E74" i="20"/>
  <c r="J74" i="28"/>
  <c r="K74" s="1"/>
  <c r="J74" i="26"/>
  <c r="K74" s="1"/>
  <c r="H78" i="19"/>
  <c r="H78" i="39" s="1"/>
  <c r="J78" i="22"/>
  <c r="K78" s="1"/>
  <c r="E78" i="21"/>
  <c r="J78" i="26"/>
  <c r="K78" s="1"/>
  <c r="E78" i="20"/>
  <c r="J78" i="23"/>
  <c r="K78" s="1"/>
  <c r="J78" i="27"/>
  <c r="K78" s="1"/>
  <c r="J78" i="28"/>
  <c r="K78" s="1"/>
  <c r="J82" i="22"/>
  <c r="K82" s="1"/>
  <c r="E82" i="21"/>
  <c r="E82" i="20"/>
  <c r="J82" i="28"/>
  <c r="K82" s="1"/>
  <c r="H86" i="19"/>
  <c r="H86" i="39" s="1"/>
  <c r="E86" i="21"/>
  <c r="J86" i="22"/>
  <c r="K86" s="1"/>
  <c r="J86" i="28"/>
  <c r="K86" s="1"/>
  <c r="E86" i="20"/>
  <c r="J86" i="26"/>
  <c r="K86" s="1"/>
  <c r="J86" i="27"/>
  <c r="K86" s="1"/>
  <c r="J86" i="23"/>
  <c r="K86" s="1"/>
  <c r="J90"/>
  <c r="K90" s="1"/>
  <c r="J90" i="28"/>
  <c r="K90" s="1"/>
  <c r="H94" i="19"/>
  <c r="H94" i="39" s="1"/>
  <c r="J94" i="22"/>
  <c r="K94" s="1"/>
  <c r="E94" i="21"/>
  <c r="J94" i="23"/>
  <c r="K94" s="1"/>
  <c r="E94" i="20"/>
  <c r="J94" i="27"/>
  <c r="K94" s="1"/>
  <c r="J94" i="28"/>
  <c r="K94" s="1"/>
  <c r="J94" i="26"/>
  <c r="K94" s="1"/>
  <c r="H98" i="19"/>
  <c r="H98" i="39" s="1"/>
  <c r="J98" i="22"/>
  <c r="K98" s="1"/>
  <c r="E98" i="21"/>
  <c r="J98" i="23"/>
  <c r="K98" s="1"/>
  <c r="J98" i="26"/>
  <c r="K98" s="1"/>
  <c r="E98" i="20"/>
  <c r="J98" i="27"/>
  <c r="K98" s="1"/>
  <c r="J98" i="28"/>
  <c r="K98" s="1"/>
  <c r="E102" i="21"/>
  <c r="E102" i="20"/>
  <c r="E110" i="21"/>
  <c r="E110" i="20"/>
  <c r="E114" i="21"/>
  <c r="E118"/>
  <c r="E118" i="20"/>
  <c r="E122" i="21"/>
  <c r="E122" i="20"/>
  <c r="E126" i="21"/>
  <c r="E126" i="20"/>
  <c r="E130"/>
  <c r="E134"/>
  <c r="E142" i="21"/>
  <c r="E142" i="20"/>
  <c r="E146" i="21"/>
  <c r="E146" i="20"/>
  <c r="B219" i="19"/>
  <c r="B218"/>
  <c r="K52" i="11" l="1"/>
  <c r="J114" i="37"/>
  <c r="J9" i="11"/>
  <c r="J57" i="38"/>
  <c r="J57" i="11" s="1"/>
  <c r="G72" i="38"/>
  <c r="G114"/>
  <c r="K9" i="11"/>
  <c r="K57" i="38"/>
  <c r="K57" i="11" s="1"/>
  <c r="H72" i="38"/>
  <c r="H114"/>
  <c r="J206" i="37"/>
  <c r="J52" i="11"/>
  <c r="J62" s="1"/>
  <c r="K62"/>
  <c r="K62" i="38"/>
  <c r="J62"/>
  <c r="C57" i="34"/>
  <c r="C76" s="1"/>
  <c r="C58"/>
  <c r="C77" s="1"/>
  <c r="C15"/>
  <c r="B15" i="9"/>
  <c r="F15" s="1"/>
  <c r="C16" i="34"/>
  <c r="B16" i="9"/>
  <c r="F16" s="1"/>
  <c r="I98" i="21"/>
  <c r="J98" s="1"/>
  <c r="K98" s="1"/>
  <c r="I86" i="20"/>
  <c r="J86" s="1"/>
  <c r="K86" s="1"/>
  <c r="I30"/>
  <c r="J30" s="1"/>
  <c r="K30" s="1"/>
  <c r="I91" i="21"/>
  <c r="J91" s="1"/>
  <c r="K91" s="1"/>
  <c r="I89" i="20"/>
  <c r="J89" s="1"/>
  <c r="K89" s="1"/>
  <c r="I85"/>
  <c r="J85" s="1"/>
  <c r="K85" s="1"/>
  <c r="I81"/>
  <c r="J81" s="1"/>
  <c r="K81" s="1"/>
  <c r="I77"/>
  <c r="J77" s="1"/>
  <c r="K77" s="1"/>
  <c r="I73"/>
  <c r="J73" s="1"/>
  <c r="K73" s="1"/>
  <c r="I61" i="21"/>
  <c r="J61" s="1"/>
  <c r="K61" s="1"/>
  <c r="I53" i="20"/>
  <c r="J53" s="1"/>
  <c r="K53" s="1"/>
  <c r="I45" i="21"/>
  <c r="J45" s="1"/>
  <c r="K45" s="1"/>
  <c r="I41"/>
  <c r="J41" s="1"/>
  <c r="K41" s="1"/>
  <c r="I29"/>
  <c r="J29" s="1"/>
  <c r="K29" s="1"/>
  <c r="I25"/>
  <c r="J25" s="1"/>
  <c r="K25" s="1"/>
  <c r="I17" i="20"/>
  <c r="J17" s="1"/>
  <c r="K17" s="1"/>
  <c r="I13"/>
  <c r="J13" s="1"/>
  <c r="K13" s="1"/>
  <c r="I9"/>
  <c r="J9" s="1"/>
  <c r="K9" s="1"/>
  <c r="I5"/>
  <c r="J5" s="1"/>
  <c r="K5" s="1"/>
  <c r="I59" i="21"/>
  <c r="J59" s="1"/>
  <c r="K59" s="1"/>
  <c r="I35"/>
  <c r="J35" s="1"/>
  <c r="K35" s="1"/>
  <c r="I23" i="20"/>
  <c r="J23" s="1"/>
  <c r="K23" s="1"/>
  <c r="I23" i="21"/>
  <c r="J23" s="1"/>
  <c r="K23" s="1"/>
  <c r="I60" i="20"/>
  <c r="J60" s="1"/>
  <c r="K60" s="1"/>
  <c r="I40"/>
  <c r="J40" s="1"/>
  <c r="K40" s="1"/>
  <c r="I36"/>
  <c r="J36" s="1"/>
  <c r="K36" s="1"/>
  <c r="I28"/>
  <c r="J28" s="1"/>
  <c r="K28" s="1"/>
  <c r="I20" i="21"/>
  <c r="J20" s="1"/>
  <c r="K20" s="1"/>
  <c r="I55" i="20"/>
  <c r="J55" s="1"/>
  <c r="K55" s="1"/>
  <c r="I11"/>
  <c r="J11" s="1"/>
  <c r="K11" s="1"/>
  <c r="I11" i="21"/>
  <c r="J11" s="1"/>
  <c r="K11" s="1"/>
  <c r="H89" i="33"/>
  <c r="W89" i="39"/>
  <c r="I77" i="32"/>
  <c r="J77" s="1"/>
  <c r="Q77" i="39"/>
  <c r="H65" i="33"/>
  <c r="W65" i="39"/>
  <c r="I53" i="32"/>
  <c r="J53" s="1"/>
  <c r="Q53" i="39"/>
  <c r="I41" i="32"/>
  <c r="J41" s="1"/>
  <c r="Q41" i="39"/>
  <c r="H29" i="33"/>
  <c r="W29" i="39"/>
  <c r="H17" i="33"/>
  <c r="W17" i="39"/>
  <c r="I9" i="21"/>
  <c r="J9" s="1"/>
  <c r="K9" s="1"/>
  <c r="H96" i="33"/>
  <c r="W96" i="39"/>
  <c r="H84" i="33"/>
  <c r="W84" i="39"/>
  <c r="H72" i="33"/>
  <c r="W72" i="39"/>
  <c r="H60" i="33"/>
  <c r="W60" i="39"/>
  <c r="H48" i="33"/>
  <c r="W48" i="39"/>
  <c r="I36" i="32"/>
  <c r="J36" s="1"/>
  <c r="Q36" i="39"/>
  <c r="H24" i="33"/>
  <c r="W24" i="39"/>
  <c r="I12" i="32"/>
  <c r="J12" s="1"/>
  <c r="Q12" i="39"/>
  <c r="H71" i="33"/>
  <c r="W71" i="39"/>
  <c r="H91" i="33"/>
  <c r="W91" i="39"/>
  <c r="I55" i="32"/>
  <c r="J55" s="1"/>
  <c r="Q55" i="39"/>
  <c r="H87" i="33"/>
  <c r="Z87" i="39" s="1"/>
  <c r="W87"/>
  <c r="H63" i="33"/>
  <c r="Z63" i="39" s="1"/>
  <c r="W63"/>
  <c r="H15" i="33"/>
  <c r="Z15" i="39" s="1"/>
  <c r="W15"/>
  <c r="H98" i="33"/>
  <c r="W98" i="39"/>
  <c r="H74" i="33"/>
  <c r="W74" i="39"/>
  <c r="H50" i="33"/>
  <c r="W50" i="39"/>
  <c r="H26" i="33"/>
  <c r="W26" i="39"/>
  <c r="I95" i="32"/>
  <c r="J95" s="1"/>
  <c r="Q95" i="39"/>
  <c r="H59" i="33"/>
  <c r="W59" i="39"/>
  <c r="H35" i="33"/>
  <c r="W35" i="39"/>
  <c r="H11" i="33"/>
  <c r="W11" i="39"/>
  <c r="I67" i="32"/>
  <c r="J67" s="1"/>
  <c r="Q67" i="39"/>
  <c r="I31" i="32"/>
  <c r="J31" s="1"/>
  <c r="Q31" i="39"/>
  <c r="I98" i="20"/>
  <c r="J98" s="1"/>
  <c r="K98" s="1"/>
  <c r="I62" i="21"/>
  <c r="J62" s="1"/>
  <c r="K62" s="1"/>
  <c r="I54"/>
  <c r="J54" s="1"/>
  <c r="K54" s="1"/>
  <c r="I46" i="20"/>
  <c r="J46" s="1"/>
  <c r="K46" s="1"/>
  <c r="I46" i="21"/>
  <c r="J46" s="1"/>
  <c r="K46" s="1"/>
  <c r="I14" i="20"/>
  <c r="J14" s="1"/>
  <c r="K14" s="1"/>
  <c r="I14" i="21"/>
  <c r="J14" s="1"/>
  <c r="K14" s="1"/>
  <c r="I6" i="20"/>
  <c r="J6" s="1"/>
  <c r="K6" s="1"/>
  <c r="I6" i="21"/>
  <c r="J6" s="1"/>
  <c r="K6" s="1"/>
  <c r="I19" i="20"/>
  <c r="J19" s="1"/>
  <c r="K19" s="1"/>
  <c r="I97" i="21"/>
  <c r="J97" s="1"/>
  <c r="K97" s="1"/>
  <c r="I93" i="20"/>
  <c r="J93" s="1"/>
  <c r="K93" s="1"/>
  <c r="I85" i="21"/>
  <c r="J85" s="1"/>
  <c r="K85" s="1"/>
  <c r="I81"/>
  <c r="J81" s="1"/>
  <c r="K81" s="1"/>
  <c r="I53"/>
  <c r="J53" s="1"/>
  <c r="K53" s="1"/>
  <c r="I17"/>
  <c r="J17" s="1"/>
  <c r="K17" s="1"/>
  <c r="I5"/>
  <c r="J5" s="1"/>
  <c r="K5" s="1"/>
  <c r="I88" i="20"/>
  <c r="J88" s="1"/>
  <c r="K88" s="1"/>
  <c r="I80"/>
  <c r="J80" s="1"/>
  <c r="K80" s="1"/>
  <c r="I72"/>
  <c r="J72" s="1"/>
  <c r="K72" s="1"/>
  <c r="I64" i="21"/>
  <c r="J64" s="1"/>
  <c r="K64" s="1"/>
  <c r="I60"/>
  <c r="J60" s="1"/>
  <c r="K60" s="1"/>
  <c r="I56"/>
  <c r="J56" s="1"/>
  <c r="K56" s="1"/>
  <c r="I52"/>
  <c r="J52" s="1"/>
  <c r="K52" s="1"/>
  <c r="I48"/>
  <c r="J48" s="1"/>
  <c r="K48" s="1"/>
  <c r="I44"/>
  <c r="J44" s="1"/>
  <c r="K44" s="1"/>
  <c r="I40"/>
  <c r="J40" s="1"/>
  <c r="K40" s="1"/>
  <c r="I36"/>
  <c r="J36" s="1"/>
  <c r="K36" s="1"/>
  <c r="I32"/>
  <c r="J32" s="1"/>
  <c r="K32" s="1"/>
  <c r="I28"/>
  <c r="J28" s="1"/>
  <c r="K28" s="1"/>
  <c r="I24"/>
  <c r="J24" s="1"/>
  <c r="K24" s="1"/>
  <c r="I16" i="20"/>
  <c r="J16" s="1"/>
  <c r="K16" s="1"/>
  <c r="I12"/>
  <c r="J12" s="1"/>
  <c r="K12" s="1"/>
  <c r="I4"/>
  <c r="J4" s="1"/>
  <c r="K4" s="1"/>
  <c r="I95"/>
  <c r="J95" s="1"/>
  <c r="K95" s="1"/>
  <c r="I95" i="21"/>
  <c r="J95" s="1"/>
  <c r="K95" s="1"/>
  <c r="I79" i="20"/>
  <c r="J79" s="1"/>
  <c r="K79" s="1"/>
  <c r="I67"/>
  <c r="J67" s="1"/>
  <c r="K67" s="1"/>
  <c r="I89" i="32"/>
  <c r="J89" s="1"/>
  <c r="Q89" i="39"/>
  <c r="H77" i="33"/>
  <c r="W77" i="39"/>
  <c r="I65" i="32"/>
  <c r="J65" s="1"/>
  <c r="Q65" i="39"/>
  <c r="H53" i="33"/>
  <c r="W53" i="39"/>
  <c r="H41" i="33"/>
  <c r="W41" i="39"/>
  <c r="I29" i="32"/>
  <c r="J29" s="1"/>
  <c r="Q29" i="39"/>
  <c r="I17" i="32"/>
  <c r="J17" s="1"/>
  <c r="Q17" i="39"/>
  <c r="I5" i="32"/>
  <c r="J5" s="1"/>
  <c r="Q5" i="39"/>
  <c r="I88" i="32"/>
  <c r="J88" s="1"/>
  <c r="Q88" i="39"/>
  <c r="I76" i="32"/>
  <c r="J76" s="1"/>
  <c r="Q76" i="39"/>
  <c r="I64" i="32"/>
  <c r="J64" s="1"/>
  <c r="Q64" i="39"/>
  <c r="I52" i="32"/>
  <c r="J52" s="1"/>
  <c r="Q52" i="39"/>
  <c r="I40" i="32"/>
  <c r="J40" s="1"/>
  <c r="Q40" i="39"/>
  <c r="I28" i="32"/>
  <c r="J28" s="1"/>
  <c r="Q28" i="39"/>
  <c r="H12" i="33"/>
  <c r="W12" i="39"/>
  <c r="I71" i="32"/>
  <c r="J71" s="1"/>
  <c r="Q71" i="39"/>
  <c r="H79" i="33"/>
  <c r="W79" i="39"/>
  <c r="H19" i="33"/>
  <c r="W19" i="39"/>
  <c r="H39" i="33"/>
  <c r="Z39" i="39" s="1"/>
  <c r="W39"/>
  <c r="I86" i="32"/>
  <c r="J86" s="1"/>
  <c r="Q86" i="39"/>
  <c r="I62" i="32"/>
  <c r="J62" s="1"/>
  <c r="Q62" i="39"/>
  <c r="I38" i="32"/>
  <c r="J38" s="1"/>
  <c r="Q38" i="39"/>
  <c r="I14" i="32"/>
  <c r="J14" s="1"/>
  <c r="Q14" i="39"/>
  <c r="I83" i="32"/>
  <c r="J83" s="1"/>
  <c r="Q83" i="39"/>
  <c r="H47" i="33"/>
  <c r="W47" i="39"/>
  <c r="H23" i="33"/>
  <c r="W23" i="39"/>
  <c r="H67" i="33"/>
  <c r="W67" i="39"/>
  <c r="H31" i="33"/>
  <c r="W31" i="39"/>
  <c r="I94" i="21"/>
  <c r="J94" s="1"/>
  <c r="K94" s="1"/>
  <c r="I78" i="20"/>
  <c r="J78" s="1"/>
  <c r="K78" s="1"/>
  <c r="I70"/>
  <c r="J70" s="1"/>
  <c r="K70" s="1"/>
  <c r="I50" i="21"/>
  <c r="J50" s="1"/>
  <c r="K50" s="1"/>
  <c r="I91" i="20"/>
  <c r="J91" s="1"/>
  <c r="K91" s="1"/>
  <c r="I83" i="21"/>
  <c r="J83" s="1"/>
  <c r="K83" s="1"/>
  <c r="I71"/>
  <c r="J71" s="1"/>
  <c r="K71" s="1"/>
  <c r="I94" i="20"/>
  <c r="J94" s="1"/>
  <c r="K94" s="1"/>
  <c r="I82"/>
  <c r="J82" s="1"/>
  <c r="K82" s="1"/>
  <c r="I78" i="21"/>
  <c r="J78" s="1"/>
  <c r="K78" s="1"/>
  <c r="I66"/>
  <c r="J66" s="1"/>
  <c r="K66" s="1"/>
  <c r="I62" i="20"/>
  <c r="J62" s="1"/>
  <c r="K62" s="1"/>
  <c r="I58" i="21"/>
  <c r="J58" s="1"/>
  <c r="K58" s="1"/>
  <c r="I54" i="20"/>
  <c r="J54" s="1"/>
  <c r="K54" s="1"/>
  <c r="I50"/>
  <c r="J50" s="1"/>
  <c r="K50" s="1"/>
  <c r="I26"/>
  <c r="J26" s="1"/>
  <c r="K26" s="1"/>
  <c r="I10" i="21"/>
  <c r="J10" s="1"/>
  <c r="K10" s="1"/>
  <c r="I31" i="20"/>
  <c r="J31" s="1"/>
  <c r="K31" s="1"/>
  <c r="I31" i="21"/>
  <c r="J31" s="1"/>
  <c r="K31" s="1"/>
  <c r="I19"/>
  <c r="J19" s="1"/>
  <c r="K19" s="1"/>
  <c r="I7" i="20"/>
  <c r="J7" s="1"/>
  <c r="K7" s="1"/>
  <c r="I7" i="21"/>
  <c r="J7" s="1"/>
  <c r="K7" s="1"/>
  <c r="I97" i="20"/>
  <c r="J97" s="1"/>
  <c r="K97" s="1"/>
  <c r="I93" i="21"/>
  <c r="J93" s="1"/>
  <c r="K93" s="1"/>
  <c r="I89"/>
  <c r="J89" s="1"/>
  <c r="K89" s="1"/>
  <c r="I77"/>
  <c r="J77" s="1"/>
  <c r="K77" s="1"/>
  <c r="I73"/>
  <c r="J73" s="1"/>
  <c r="K73" s="1"/>
  <c r="I65" i="20"/>
  <c r="J65" s="1"/>
  <c r="K65" s="1"/>
  <c r="I61"/>
  <c r="J61" s="1"/>
  <c r="K61" s="1"/>
  <c r="I57"/>
  <c r="J57" s="1"/>
  <c r="K57" s="1"/>
  <c r="I49"/>
  <c r="J49" s="1"/>
  <c r="K49" s="1"/>
  <c r="I45"/>
  <c r="J45" s="1"/>
  <c r="K45" s="1"/>
  <c r="I41"/>
  <c r="J41" s="1"/>
  <c r="K41" s="1"/>
  <c r="I37" i="21"/>
  <c r="J37" s="1"/>
  <c r="K37" s="1"/>
  <c r="I33" i="20"/>
  <c r="J33" s="1"/>
  <c r="K33" s="1"/>
  <c r="I25"/>
  <c r="J25" s="1"/>
  <c r="K25" s="1"/>
  <c r="I13" i="21"/>
  <c r="J13" s="1"/>
  <c r="K13" s="1"/>
  <c r="I96" i="20"/>
  <c r="J96" s="1"/>
  <c r="K96" s="1"/>
  <c r="I84"/>
  <c r="J84" s="1"/>
  <c r="K84" s="1"/>
  <c r="I76"/>
  <c r="J76" s="1"/>
  <c r="K76" s="1"/>
  <c r="I68" i="21"/>
  <c r="J68" s="1"/>
  <c r="K68" s="1"/>
  <c r="I79"/>
  <c r="J79" s="1"/>
  <c r="K79" s="1"/>
  <c r="I67"/>
  <c r="J67" s="1"/>
  <c r="K67" s="1"/>
  <c r="I55"/>
  <c r="J55" s="1"/>
  <c r="K55" s="1"/>
  <c r="I43" i="20"/>
  <c r="J43" s="1"/>
  <c r="K43" s="1"/>
  <c r="I43" i="21"/>
  <c r="J43" s="1"/>
  <c r="K43" s="1"/>
  <c r="H97" i="33"/>
  <c r="W97" i="39"/>
  <c r="I85" i="32"/>
  <c r="J85" s="1"/>
  <c r="Q85" i="39"/>
  <c r="H73" i="33"/>
  <c r="W73" i="39"/>
  <c r="I61" i="32"/>
  <c r="J61" s="1"/>
  <c r="Q61" i="39"/>
  <c r="H49" i="33"/>
  <c r="W49" i="39"/>
  <c r="I37" i="32"/>
  <c r="J37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s="1"/>
  <c r="Q16" i="39"/>
  <c r="I4" i="32"/>
  <c r="J4" s="1"/>
  <c r="Q4" i="39"/>
  <c r="I79" i="32"/>
  <c r="J79" s="1"/>
  <c r="Q79" i="39"/>
  <c r="I19" i="32"/>
  <c r="J19" s="1"/>
  <c r="Q19" i="39"/>
  <c r="H27" i="33"/>
  <c r="Z27" i="39" s="1"/>
  <c r="W27"/>
  <c r="H3" i="33"/>
  <c r="Z3" i="39" s="1"/>
  <c r="W3"/>
  <c r="H86" i="33"/>
  <c r="W86" i="39"/>
  <c r="H62" i="33"/>
  <c r="W62" i="39"/>
  <c r="H38" i="33"/>
  <c r="W38" i="39"/>
  <c r="H14" i="33"/>
  <c r="W14" i="39"/>
  <c r="H83" i="33"/>
  <c r="W83" i="39"/>
  <c r="I47" i="32"/>
  <c r="J47" s="1"/>
  <c r="Q47" i="39"/>
  <c r="I23" i="32"/>
  <c r="J23" s="1"/>
  <c r="Q23" i="39"/>
  <c r="I43" i="32"/>
  <c r="J43" s="1"/>
  <c r="Q43" i="39"/>
  <c r="I7" i="32"/>
  <c r="J7" s="1"/>
  <c r="Q7" i="39"/>
  <c r="I86" i="21"/>
  <c r="J86" s="1"/>
  <c r="K86" s="1"/>
  <c r="I82"/>
  <c r="J82" s="1"/>
  <c r="K82" s="1"/>
  <c r="I74" i="20"/>
  <c r="J74" s="1"/>
  <c r="K74" s="1"/>
  <c r="I74" i="21"/>
  <c r="J74" s="1"/>
  <c r="K74" s="1"/>
  <c r="I70"/>
  <c r="J70" s="1"/>
  <c r="K70" s="1"/>
  <c r="I58" i="20"/>
  <c r="J58" s="1"/>
  <c r="K58" s="1"/>
  <c r="I38"/>
  <c r="J38" s="1"/>
  <c r="K38" s="1"/>
  <c r="I38" i="21"/>
  <c r="J38" s="1"/>
  <c r="K38" s="1"/>
  <c r="I34"/>
  <c r="J34" s="1"/>
  <c r="K34" s="1"/>
  <c r="I30"/>
  <c r="J30" s="1"/>
  <c r="K30" s="1"/>
  <c r="I26"/>
  <c r="J26" s="1"/>
  <c r="K26" s="1"/>
  <c r="I22" i="20"/>
  <c r="J22" s="1"/>
  <c r="K22" s="1"/>
  <c r="I22" i="21"/>
  <c r="J22" s="1"/>
  <c r="K22" s="1"/>
  <c r="I83" i="20"/>
  <c r="J83" s="1"/>
  <c r="K83" s="1"/>
  <c r="I71"/>
  <c r="J71" s="1"/>
  <c r="K71" s="1"/>
  <c r="I65" i="21"/>
  <c r="J65" s="1"/>
  <c r="K65" s="1"/>
  <c r="I49"/>
  <c r="J49" s="1"/>
  <c r="K49" s="1"/>
  <c r="I37" i="20"/>
  <c r="J37" s="1"/>
  <c r="K37" s="1"/>
  <c r="I33" i="21"/>
  <c r="J33" s="1"/>
  <c r="K33" s="1"/>
  <c r="I29" i="20"/>
  <c r="J29" s="1"/>
  <c r="K29" s="1"/>
  <c r="I59"/>
  <c r="J59" s="1"/>
  <c r="K59" s="1"/>
  <c r="I47"/>
  <c r="J47" s="1"/>
  <c r="K47" s="1"/>
  <c r="I47" i="21"/>
  <c r="J47" s="1"/>
  <c r="K47" s="1"/>
  <c r="I35" i="20"/>
  <c r="J35" s="1"/>
  <c r="K35" s="1"/>
  <c r="I96" i="21"/>
  <c r="J96" s="1"/>
  <c r="K96" s="1"/>
  <c r="I92" i="20"/>
  <c r="J92" s="1"/>
  <c r="K92" s="1"/>
  <c r="I92" i="21"/>
  <c r="J92" s="1"/>
  <c r="K92" s="1"/>
  <c r="I88"/>
  <c r="J88" s="1"/>
  <c r="K88" s="1"/>
  <c r="I84"/>
  <c r="J84" s="1"/>
  <c r="K84" s="1"/>
  <c r="I80"/>
  <c r="J80" s="1"/>
  <c r="K80" s="1"/>
  <c r="I76"/>
  <c r="I72"/>
  <c r="J72" s="1"/>
  <c r="K72" s="1"/>
  <c r="I64" i="20"/>
  <c r="J64" s="1"/>
  <c r="K64" s="1"/>
  <c r="I52"/>
  <c r="J52" s="1"/>
  <c r="K52" s="1"/>
  <c r="I48"/>
  <c r="J48" s="1"/>
  <c r="K48" s="1"/>
  <c r="I44"/>
  <c r="J44" s="1"/>
  <c r="K44" s="1"/>
  <c r="I32"/>
  <c r="J32" s="1"/>
  <c r="K32" s="1"/>
  <c r="I24"/>
  <c r="J24" s="1"/>
  <c r="K24" s="1"/>
  <c r="I20"/>
  <c r="J20" s="1"/>
  <c r="K20" s="1"/>
  <c r="I16" i="21"/>
  <c r="J16" s="1"/>
  <c r="K16" s="1"/>
  <c r="I12"/>
  <c r="J12" s="1"/>
  <c r="K12" s="1"/>
  <c r="I8"/>
  <c r="J8" s="1"/>
  <c r="K8" s="1"/>
  <c r="I4"/>
  <c r="J4" s="1"/>
  <c r="K4" s="1"/>
  <c r="I97" i="32"/>
  <c r="J97" s="1"/>
  <c r="Q97" i="39"/>
  <c r="H85" i="33"/>
  <c r="W85" i="39"/>
  <c r="I73" i="32"/>
  <c r="J73" s="1"/>
  <c r="Q73" i="39"/>
  <c r="H61" i="33"/>
  <c r="W61" i="39"/>
  <c r="I49" i="32"/>
  <c r="J49" s="1"/>
  <c r="Q49" i="39"/>
  <c r="H37" i="33"/>
  <c r="W37" i="39"/>
  <c r="I25" i="32"/>
  <c r="J25" s="1"/>
  <c r="Q25" i="39"/>
  <c r="I13" i="32"/>
  <c r="J13" s="1"/>
  <c r="Q13" i="39"/>
  <c r="I96" i="32"/>
  <c r="J96" s="1"/>
  <c r="Q96" i="39"/>
  <c r="I84" i="32"/>
  <c r="J84" s="1"/>
  <c r="Q84" i="39"/>
  <c r="I72" i="32"/>
  <c r="J72" s="1"/>
  <c r="Q72" i="39"/>
  <c r="I60" i="32"/>
  <c r="J60" s="1"/>
  <c r="Q60" i="39"/>
  <c r="I48" i="32"/>
  <c r="J48" s="1"/>
  <c r="Q48" i="39"/>
  <c r="H36" i="33"/>
  <c r="W36" i="39"/>
  <c r="I24" i="32"/>
  <c r="J24" s="1"/>
  <c r="Q24" i="39"/>
  <c r="H16" i="33"/>
  <c r="W16" i="39"/>
  <c r="H4" i="33"/>
  <c r="W4" i="39"/>
  <c r="I91" i="32"/>
  <c r="J91" s="1"/>
  <c r="Q91" i="39"/>
  <c r="H55" i="33"/>
  <c r="W55" i="39"/>
  <c r="H75" i="33"/>
  <c r="Z75" i="39" s="1"/>
  <c r="W75"/>
  <c r="H51" i="33"/>
  <c r="Z51" i="39" s="1"/>
  <c r="W51"/>
  <c r="I98" i="32"/>
  <c r="J98" s="1"/>
  <c r="Q98" i="39"/>
  <c r="I74" i="32"/>
  <c r="J74" s="1"/>
  <c r="Q74" i="39"/>
  <c r="I50" i="32"/>
  <c r="J50" s="1"/>
  <c r="Q50" i="39"/>
  <c r="I26" i="32"/>
  <c r="J26" s="1"/>
  <c r="Q26" i="39"/>
  <c r="H95" i="33"/>
  <c r="W95" i="39"/>
  <c r="I59" i="32"/>
  <c r="J59" s="1"/>
  <c r="Q59" i="39"/>
  <c r="I35" i="32"/>
  <c r="J35" s="1"/>
  <c r="Q35" i="39"/>
  <c r="I11" i="32"/>
  <c r="J11" s="1"/>
  <c r="Q11" i="39"/>
  <c r="H43" i="33"/>
  <c r="W43" i="39"/>
  <c r="H7" i="33"/>
  <c r="W7" i="39"/>
  <c r="E149" i="19"/>
  <c r="E148" i="39"/>
  <c r="E148" i="27"/>
  <c r="E148" i="22"/>
  <c r="E148" i="28"/>
  <c r="E148" i="26"/>
  <c r="E148" i="23"/>
  <c r="E148" i="32"/>
  <c r="N148" i="39" s="1"/>
  <c r="J63" i="23"/>
  <c r="K63" s="1"/>
  <c r="J51" i="21"/>
  <c r="K51" s="1"/>
  <c r="J39"/>
  <c r="K39" s="1"/>
  <c r="J87" i="28"/>
  <c r="K87" s="1"/>
  <c r="I217"/>
  <c r="J217" s="1"/>
  <c r="K217" s="1"/>
  <c r="J75" i="26"/>
  <c r="K75" s="1"/>
  <c r="J3" i="20"/>
  <c r="K3" s="1"/>
  <c r="J27" i="21"/>
  <c r="K27" s="1"/>
  <c r="J15" i="23"/>
  <c r="K15" s="1"/>
  <c r="E114" i="33"/>
  <c r="W114" i="39" s="1"/>
  <c r="E66" i="33"/>
  <c r="H66" i="32"/>
  <c r="E18" i="33"/>
  <c r="H18" i="32"/>
  <c r="E69" i="33"/>
  <c r="H69" i="32"/>
  <c r="H21"/>
  <c r="E21" i="33"/>
  <c r="E116"/>
  <c r="W116" i="39" s="1"/>
  <c r="E68" i="33"/>
  <c r="H68" i="32"/>
  <c r="I63"/>
  <c r="J63" s="1"/>
  <c r="I15"/>
  <c r="J15" s="1"/>
  <c r="E138" i="20"/>
  <c r="E90" i="21"/>
  <c r="J66" i="22"/>
  <c r="K66" s="1"/>
  <c r="E42" i="21"/>
  <c r="E18" i="20"/>
  <c r="E18" i="21"/>
  <c r="J39" i="26"/>
  <c r="K39" s="1"/>
  <c r="E21" i="20"/>
  <c r="J87" i="22"/>
  <c r="K87" s="1"/>
  <c r="J75"/>
  <c r="K75" s="1"/>
  <c r="I216"/>
  <c r="J216" s="1"/>
  <c r="K216" s="1"/>
  <c r="J3" i="23"/>
  <c r="K3" s="1"/>
  <c r="E116" i="20"/>
  <c r="J20" i="28"/>
  <c r="K20" s="1"/>
  <c r="H20" i="19"/>
  <c r="H20" i="39" s="1"/>
  <c r="J27" i="27"/>
  <c r="K27" s="1"/>
  <c r="I212"/>
  <c r="J212" s="1"/>
  <c r="K212" s="1"/>
  <c r="E106" i="33"/>
  <c r="W106" i="39" s="1"/>
  <c r="E82" i="33"/>
  <c r="H82" i="32"/>
  <c r="E34" i="33"/>
  <c r="H34" i="32"/>
  <c r="E105" i="33"/>
  <c r="W105" i="39" s="1"/>
  <c r="H57" i="32"/>
  <c r="E57" i="33"/>
  <c r="E104"/>
  <c r="W104" i="39" s="1"/>
  <c r="E56" i="33"/>
  <c r="H56" i="32"/>
  <c r="E8" i="33"/>
  <c r="H8" i="32"/>
  <c r="I75"/>
  <c r="J75" s="1"/>
  <c r="E106" i="21"/>
  <c r="J90" i="22"/>
  <c r="K90" s="1"/>
  <c r="J82" i="26"/>
  <c r="K82" s="1"/>
  <c r="J82" i="23"/>
  <c r="K82" s="1"/>
  <c r="J66" i="28"/>
  <c r="K66" s="1"/>
  <c r="J66" i="23"/>
  <c r="K66" s="1"/>
  <c r="J58" i="28"/>
  <c r="K58" s="1"/>
  <c r="J42" i="26"/>
  <c r="K42" s="1"/>
  <c r="J34" i="28"/>
  <c r="K34" s="1"/>
  <c r="J34" i="23"/>
  <c r="K34" s="1"/>
  <c r="J18" i="26"/>
  <c r="K18" s="1"/>
  <c r="J18" i="23"/>
  <c r="K18" s="1"/>
  <c r="J10" i="22"/>
  <c r="K10" s="1"/>
  <c r="J63"/>
  <c r="K63" s="1"/>
  <c r="J63" i="27"/>
  <c r="K63" s="1"/>
  <c r="J51" i="28"/>
  <c r="K51" s="1"/>
  <c r="J51" i="23"/>
  <c r="K51" s="1"/>
  <c r="J39" i="28"/>
  <c r="K39" s="1"/>
  <c r="I213"/>
  <c r="J213" s="1"/>
  <c r="K213" s="1"/>
  <c r="J39" i="23"/>
  <c r="K39" s="1"/>
  <c r="I213"/>
  <c r="J213" s="1"/>
  <c r="K213" s="1"/>
  <c r="J69"/>
  <c r="K69" s="1"/>
  <c r="J69" i="22"/>
  <c r="K69" s="1"/>
  <c r="J57" i="23"/>
  <c r="K57" s="1"/>
  <c r="E57" i="21"/>
  <c r="J21" i="27"/>
  <c r="K21" s="1"/>
  <c r="J21" i="22"/>
  <c r="K21" s="1"/>
  <c r="J9" i="27"/>
  <c r="K9" s="1"/>
  <c r="J87" i="20"/>
  <c r="K87" s="1"/>
  <c r="J87" i="23"/>
  <c r="K87" s="1"/>
  <c r="I217"/>
  <c r="J217" s="1"/>
  <c r="K217" s="1"/>
  <c r="J75" i="28"/>
  <c r="K75" s="1"/>
  <c r="I216"/>
  <c r="J216" s="1"/>
  <c r="K216" s="1"/>
  <c r="J75" i="23"/>
  <c r="K75" s="1"/>
  <c r="J3" i="22"/>
  <c r="K3" s="1"/>
  <c r="J3" i="27"/>
  <c r="K3" s="1"/>
  <c r="J68" i="28"/>
  <c r="K68" s="1"/>
  <c r="J68" i="22"/>
  <c r="K68" s="1"/>
  <c r="E56" i="20"/>
  <c r="J56" i="22"/>
  <c r="K56" s="1"/>
  <c r="J20"/>
  <c r="K20" s="1"/>
  <c r="J8" i="28"/>
  <c r="K8" s="1"/>
  <c r="J8" i="22"/>
  <c r="K8" s="1"/>
  <c r="J27" i="20"/>
  <c r="K27" s="1"/>
  <c r="J27" i="23"/>
  <c r="K27" s="1"/>
  <c r="J15" i="20"/>
  <c r="K15" s="1"/>
  <c r="J15" i="22"/>
  <c r="K15" s="1"/>
  <c r="E142" i="33"/>
  <c r="W142" i="39" s="1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/>
  <c r="H33" i="32"/>
  <c r="E128" i="33"/>
  <c r="W128" i="39" s="1"/>
  <c r="E80" i="33"/>
  <c r="H80" i="32"/>
  <c r="E32" i="33"/>
  <c r="H32" i="32"/>
  <c r="I39"/>
  <c r="J39" s="1"/>
  <c r="J63" i="20"/>
  <c r="K63" s="1"/>
  <c r="J51" i="26"/>
  <c r="K51" s="1"/>
  <c r="J39" i="22"/>
  <c r="K39" s="1"/>
  <c r="I213"/>
  <c r="J213" s="1"/>
  <c r="K213" s="1"/>
  <c r="J87" i="21"/>
  <c r="K87" s="1"/>
  <c r="J75"/>
  <c r="K75" s="1"/>
  <c r="J3"/>
  <c r="K3" s="1"/>
  <c r="J27" i="26"/>
  <c r="K27" s="1"/>
  <c r="I212"/>
  <c r="J212" s="1"/>
  <c r="K212" s="1"/>
  <c r="J15" i="27"/>
  <c r="K15" s="1"/>
  <c r="E138" i="33"/>
  <c r="W138" i="39" s="1"/>
  <c r="E90" i="33"/>
  <c r="H90" i="32"/>
  <c r="E42" i="33"/>
  <c r="H42" i="32"/>
  <c r="E117" i="33"/>
  <c r="W117" i="39" s="1"/>
  <c r="E20" i="33"/>
  <c r="H20" i="32"/>
  <c r="I87"/>
  <c r="J87" s="1"/>
  <c r="E90" i="20"/>
  <c r="J66" i="26"/>
  <c r="K66" s="1"/>
  <c r="E42" i="20"/>
  <c r="J63" i="26"/>
  <c r="K63" s="1"/>
  <c r="J51" i="27"/>
  <c r="K51" s="1"/>
  <c r="E69" i="20"/>
  <c r="J69" i="26"/>
  <c r="K69" s="1"/>
  <c r="J21"/>
  <c r="K21" s="1"/>
  <c r="J87"/>
  <c r="K87" s="1"/>
  <c r="J75" i="20"/>
  <c r="K75" s="1"/>
  <c r="J3" i="28"/>
  <c r="K3" s="1"/>
  <c r="E116" i="21"/>
  <c r="J68" i="23"/>
  <c r="K68" s="1"/>
  <c r="H68" i="19"/>
  <c r="H68" i="39" s="1"/>
  <c r="J15" i="26"/>
  <c r="K15" s="1"/>
  <c r="E130" i="33"/>
  <c r="W130" i="39" s="1"/>
  <c r="E58" i="33"/>
  <c r="H58" i="32"/>
  <c r="E10" i="33"/>
  <c r="H10" i="32"/>
  <c r="E9" i="33"/>
  <c r="H9" i="32"/>
  <c r="I51"/>
  <c r="J51" s="1"/>
  <c r="E114" i="20"/>
  <c r="E106"/>
  <c r="J90" i="26"/>
  <c r="K90" s="1"/>
  <c r="H90" i="19"/>
  <c r="H90" i="39" s="1"/>
  <c r="J82" i="27"/>
  <c r="K82" s="1"/>
  <c r="H82" i="19"/>
  <c r="H82" i="39" s="1"/>
  <c r="E66" i="20"/>
  <c r="H66" i="19"/>
  <c r="H66" i="39" s="1"/>
  <c r="J58" i="27"/>
  <c r="K58" s="1"/>
  <c r="H58" i="19"/>
  <c r="H58" i="39" s="1"/>
  <c r="J42" i="27"/>
  <c r="K42" s="1"/>
  <c r="H42" i="19"/>
  <c r="H42" i="39" s="1"/>
  <c r="E34" i="20"/>
  <c r="H34" i="19"/>
  <c r="H34" i="39" s="1"/>
  <c r="J18" i="27"/>
  <c r="K18" s="1"/>
  <c r="H18" i="19"/>
  <c r="H18" i="39" s="1"/>
  <c r="E10" i="20"/>
  <c r="H10" i="19"/>
  <c r="H10" i="39" s="1"/>
  <c r="J63" i="28"/>
  <c r="K63" s="1"/>
  <c r="J63" i="21"/>
  <c r="K63" s="1"/>
  <c r="J51" i="20"/>
  <c r="K51" s="1"/>
  <c r="J51" i="22"/>
  <c r="K51" s="1"/>
  <c r="J39" i="20"/>
  <c r="K39" s="1"/>
  <c r="J39" i="27"/>
  <c r="K39" s="1"/>
  <c r="E117" i="21"/>
  <c r="J69" i="27"/>
  <c r="K69" s="1"/>
  <c r="E69" i="21"/>
  <c r="J57" i="27"/>
  <c r="K57" s="1"/>
  <c r="J57" i="22"/>
  <c r="K57" s="1"/>
  <c r="J21" i="23"/>
  <c r="K21" s="1"/>
  <c r="E21" i="21"/>
  <c r="J9" i="23"/>
  <c r="K9" s="1"/>
  <c r="J9" i="22"/>
  <c r="K9" s="1"/>
  <c r="J87" i="27"/>
  <c r="K87" s="1"/>
  <c r="I217"/>
  <c r="J217" s="1"/>
  <c r="K217" s="1"/>
  <c r="J75"/>
  <c r="K75" s="1"/>
  <c r="J3" i="26"/>
  <c r="K3" s="1"/>
  <c r="E104" i="20"/>
  <c r="E104" i="21"/>
  <c r="E68" i="20"/>
  <c r="J68" i="26"/>
  <c r="K68" s="1"/>
  <c r="J56" i="27"/>
  <c r="K56" s="1"/>
  <c r="J56" i="26"/>
  <c r="K56" s="1"/>
  <c r="J20" i="27"/>
  <c r="K20" s="1"/>
  <c r="J20" i="23"/>
  <c r="K20" s="1"/>
  <c r="E8" i="20"/>
  <c r="J8" i="26"/>
  <c r="K8" s="1"/>
  <c r="J27" i="28"/>
  <c r="K27" s="1"/>
  <c r="J27" i="22"/>
  <c r="K27" s="1"/>
  <c r="I212"/>
  <c r="J212" s="1"/>
  <c r="K212" s="1"/>
  <c r="J15" i="28"/>
  <c r="K15" s="1"/>
  <c r="J15" i="21"/>
  <c r="K15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E141" i="33"/>
  <c r="W141" i="39" s="1"/>
  <c r="E93" i="33"/>
  <c r="H93" i="32"/>
  <c r="E45" i="33"/>
  <c r="H45" i="32"/>
  <c r="E140" i="33"/>
  <c r="W140" i="39" s="1"/>
  <c r="E92" i="33"/>
  <c r="H92" i="32"/>
  <c r="H44"/>
  <c r="E44" i="33"/>
  <c r="I27" i="32"/>
  <c r="J27" s="1"/>
  <c r="J12" i="17"/>
  <c r="J11"/>
  <c r="P38" i="9" l="1"/>
  <c r="D12" i="30"/>
  <c r="D13" s="1"/>
  <c r="D14" s="1"/>
  <c r="D15" s="1"/>
  <c r="D16" s="1"/>
  <c r="D17" s="1"/>
  <c r="D18" s="1"/>
  <c r="K12" i="17"/>
  <c r="K13"/>
  <c r="P39" i="9"/>
  <c r="I15" i="33"/>
  <c r="J15" s="1"/>
  <c r="B17" i="37"/>
  <c r="K5" i="38"/>
  <c r="C35" i="34"/>
  <c r="I75" i="33"/>
  <c r="J75" s="1"/>
  <c r="I210" i="21"/>
  <c r="J210" s="1"/>
  <c r="K210" s="1"/>
  <c r="C34" i="34"/>
  <c r="J5" i="38"/>
  <c r="B16" i="37"/>
  <c r="I3" i="33"/>
  <c r="J3" s="1"/>
  <c r="I216" i="20"/>
  <c r="J216" s="1"/>
  <c r="K216" s="1"/>
  <c r="I63" i="33"/>
  <c r="J63" s="1"/>
  <c r="I212" i="21"/>
  <c r="J212" s="1"/>
  <c r="K212" s="1"/>
  <c r="I51" i="33"/>
  <c r="J51" s="1"/>
  <c r="I216" i="21"/>
  <c r="J216" s="1"/>
  <c r="K216" s="1"/>
  <c r="I39" i="33"/>
  <c r="J39" s="1"/>
  <c r="I87"/>
  <c r="J87" s="1"/>
  <c r="I27"/>
  <c r="J27" s="1"/>
  <c r="I58" i="32"/>
  <c r="J58" s="1"/>
  <c r="Q58" i="39"/>
  <c r="H20" i="33"/>
  <c r="W20" i="39"/>
  <c r="H42" i="33"/>
  <c r="W42" i="39"/>
  <c r="I81" i="32"/>
  <c r="J81" s="1"/>
  <c r="Q81" i="39"/>
  <c r="I70" i="32"/>
  <c r="J70" s="1"/>
  <c r="Q70" i="39"/>
  <c r="I56" i="20"/>
  <c r="J56" s="1"/>
  <c r="K56" s="1"/>
  <c r="I82" i="32"/>
  <c r="J82" s="1"/>
  <c r="Q82" i="39"/>
  <c r="H21" i="33"/>
  <c r="W21" i="39"/>
  <c r="H66" i="33"/>
  <c r="W66" i="39"/>
  <c r="H44" i="33"/>
  <c r="W44" i="39"/>
  <c r="I93" i="32"/>
  <c r="J93" s="1"/>
  <c r="Q93" i="39"/>
  <c r="I6" i="32"/>
  <c r="J6" s="1"/>
  <c r="Q6" i="39"/>
  <c r="I54" i="32"/>
  <c r="J54" s="1"/>
  <c r="Q54" i="39"/>
  <c r="I8" i="20"/>
  <c r="J8" s="1"/>
  <c r="K8" s="1"/>
  <c r="I10"/>
  <c r="J10" s="1"/>
  <c r="K10" s="1"/>
  <c r="I34"/>
  <c r="I212" s="1"/>
  <c r="J212" s="1"/>
  <c r="K212" s="1"/>
  <c r="H58" i="33"/>
  <c r="W58" i="39"/>
  <c r="I90" i="32"/>
  <c r="J90" s="1"/>
  <c r="Q90" i="39"/>
  <c r="I80" i="32"/>
  <c r="J80" s="1"/>
  <c r="Q80" i="39"/>
  <c r="I33" i="32"/>
  <c r="J33" s="1"/>
  <c r="Q33" i="39"/>
  <c r="H22" i="33"/>
  <c r="W22" i="39"/>
  <c r="H70" i="33"/>
  <c r="W70" i="39"/>
  <c r="I8" i="32"/>
  <c r="J8" s="1"/>
  <c r="Q8" i="39"/>
  <c r="H82" i="33"/>
  <c r="W82" i="39"/>
  <c r="I42" i="21"/>
  <c r="J42" s="1"/>
  <c r="K42" s="1"/>
  <c r="I68" i="32"/>
  <c r="J68" s="1"/>
  <c r="Q68" i="39"/>
  <c r="I21" i="32"/>
  <c r="J21" s="1"/>
  <c r="Q21" i="39"/>
  <c r="I18" i="32"/>
  <c r="J18" s="1"/>
  <c r="Q18" i="39"/>
  <c r="E150" i="19"/>
  <c r="E149" i="39"/>
  <c r="E149" i="27"/>
  <c r="E149" i="26"/>
  <c r="E149" i="28"/>
  <c r="E149" i="23"/>
  <c r="E149" i="22"/>
  <c r="E149" i="32"/>
  <c r="N149" i="39" s="1"/>
  <c r="E149" i="20"/>
  <c r="E149" i="33"/>
  <c r="W149" i="39" s="1"/>
  <c r="E149" i="21"/>
  <c r="I43" i="33"/>
  <c r="J43" s="1"/>
  <c r="Z43" i="39"/>
  <c r="I95" i="33"/>
  <c r="J95" s="1"/>
  <c r="Z95" i="39"/>
  <c r="I16" i="33"/>
  <c r="J16" s="1"/>
  <c r="Z16" i="39"/>
  <c r="I36" i="33"/>
  <c r="J36" s="1"/>
  <c r="Z36" i="39"/>
  <c r="I37" i="33"/>
  <c r="J37" s="1"/>
  <c r="Z37" i="39"/>
  <c r="I61" i="33"/>
  <c r="J61" s="1"/>
  <c r="Z61" i="39"/>
  <c r="I85" i="33"/>
  <c r="J85" s="1"/>
  <c r="Z85" i="39"/>
  <c r="J76" i="21"/>
  <c r="K76" s="1"/>
  <c r="I14" i="33"/>
  <c r="J14" s="1"/>
  <c r="Z14" i="39"/>
  <c r="I62" i="33"/>
  <c r="J62" s="1"/>
  <c r="Z62" i="39"/>
  <c r="I28" i="33"/>
  <c r="J28" s="1"/>
  <c r="Z28" i="39"/>
  <c r="I52" i="33"/>
  <c r="J52" s="1"/>
  <c r="Z52" i="39"/>
  <c r="I76" i="33"/>
  <c r="J76" s="1"/>
  <c r="Z76" i="39"/>
  <c r="I5" i="33"/>
  <c r="J5" s="1"/>
  <c r="Z5" i="39"/>
  <c r="I25" i="33"/>
  <c r="J25" s="1"/>
  <c r="Z25" i="39"/>
  <c r="I49" i="33"/>
  <c r="J49" s="1"/>
  <c r="Z49" i="39"/>
  <c r="I73" i="33"/>
  <c r="J73" s="1"/>
  <c r="Z73" i="39"/>
  <c r="I97" i="33"/>
  <c r="J97" s="1"/>
  <c r="Z97" i="39"/>
  <c r="I67" i="33"/>
  <c r="J67" s="1"/>
  <c r="Z67" i="39"/>
  <c r="I47" i="33"/>
  <c r="J47" s="1"/>
  <c r="Z47" i="39"/>
  <c r="I79" i="33"/>
  <c r="J79" s="1"/>
  <c r="Z79" i="39"/>
  <c r="I12" i="33"/>
  <c r="J12" s="1"/>
  <c r="Z12" i="39"/>
  <c r="I41" i="33"/>
  <c r="J41" s="1"/>
  <c r="Z41" i="39"/>
  <c r="I35" i="33"/>
  <c r="J35" s="1"/>
  <c r="Z35" i="39"/>
  <c r="I50" i="33"/>
  <c r="J50" s="1"/>
  <c r="Z50" i="39"/>
  <c r="I98" i="33"/>
  <c r="J98" s="1"/>
  <c r="Z98" i="39"/>
  <c r="I71" i="33"/>
  <c r="J71" s="1"/>
  <c r="Z71" i="39"/>
  <c r="I24" i="33"/>
  <c r="J24" s="1"/>
  <c r="Z24" i="39"/>
  <c r="I48" i="33"/>
  <c r="J48" s="1"/>
  <c r="Z48" i="39"/>
  <c r="I72" i="33"/>
  <c r="J72" s="1"/>
  <c r="Z72" i="39"/>
  <c r="I96" i="33"/>
  <c r="J96" s="1"/>
  <c r="Z96" i="39"/>
  <c r="I17" i="33"/>
  <c r="J17" s="1"/>
  <c r="Z17" i="39"/>
  <c r="I65" i="33"/>
  <c r="J65" s="1"/>
  <c r="Z65" i="39"/>
  <c r="I89" i="33"/>
  <c r="J89" s="1"/>
  <c r="Z89" i="39"/>
  <c r="H92" i="33"/>
  <c r="W92" i="39"/>
  <c r="H45" i="33"/>
  <c r="W45" i="39"/>
  <c r="H30" i="33"/>
  <c r="W30" i="39"/>
  <c r="H78" i="33"/>
  <c r="W78" i="39"/>
  <c r="H9" i="33"/>
  <c r="W9" i="39"/>
  <c r="I90" i="20"/>
  <c r="J90" s="1"/>
  <c r="K90" s="1"/>
  <c r="H32" i="33"/>
  <c r="W32" i="39"/>
  <c r="I22" i="32"/>
  <c r="J22" s="1"/>
  <c r="Q22" i="39"/>
  <c r="H56" i="33"/>
  <c r="W56" i="39"/>
  <c r="I57" i="32"/>
  <c r="J57" s="1"/>
  <c r="Q57" i="39"/>
  <c r="I18" i="20"/>
  <c r="J18" s="1"/>
  <c r="K18" s="1"/>
  <c r="I44" i="32"/>
  <c r="J44" s="1"/>
  <c r="Q44" i="39"/>
  <c r="H93" i="33"/>
  <c r="W93" i="39"/>
  <c r="H6" i="33"/>
  <c r="W6" i="39"/>
  <c r="H54" i="33"/>
  <c r="W54" i="39"/>
  <c r="I21" i="21"/>
  <c r="J21" s="1"/>
  <c r="K21" s="1"/>
  <c r="I69"/>
  <c r="I215" s="1"/>
  <c r="J215" s="1"/>
  <c r="K215" s="1"/>
  <c r="I10" i="32"/>
  <c r="J10" s="1"/>
  <c r="Q10" i="39"/>
  <c r="I42" i="20"/>
  <c r="I213" s="1"/>
  <c r="J213" s="1"/>
  <c r="K213" s="1"/>
  <c r="H90" i="33"/>
  <c r="W90" i="39"/>
  <c r="H80" i="33"/>
  <c r="W80" i="39"/>
  <c r="H33" i="33"/>
  <c r="W33" i="39"/>
  <c r="I46" i="32"/>
  <c r="J46" s="1"/>
  <c r="Q46" i="39"/>
  <c r="I94" i="32"/>
  <c r="J94" s="1"/>
  <c r="Q94" i="39"/>
  <c r="H8" i="33"/>
  <c r="W8" i="39"/>
  <c r="I34" i="32"/>
  <c r="J34" s="1"/>
  <c r="Q34" i="39"/>
  <c r="I21" i="20"/>
  <c r="J21" s="1"/>
  <c r="K21" s="1"/>
  <c r="H68" i="33"/>
  <c r="W68" i="39"/>
  <c r="I69" i="32"/>
  <c r="J69" s="1"/>
  <c r="Q69" i="39"/>
  <c r="H18" i="33"/>
  <c r="W18" i="39"/>
  <c r="I92" i="32"/>
  <c r="J92" s="1"/>
  <c r="Q92" i="39"/>
  <c r="I45" i="32"/>
  <c r="J45" s="1"/>
  <c r="Q45" i="39"/>
  <c r="I30" i="32"/>
  <c r="J30" s="1"/>
  <c r="Q30" i="39"/>
  <c r="I78" i="32"/>
  <c r="J78" s="1"/>
  <c r="Q78" i="39"/>
  <c r="I68" i="20"/>
  <c r="J68" s="1"/>
  <c r="K68" s="1"/>
  <c r="I66"/>
  <c r="J66" s="1"/>
  <c r="K66" s="1"/>
  <c r="I9" i="32"/>
  <c r="J9" s="1"/>
  <c r="Q9" i="39"/>
  <c r="H10" i="33"/>
  <c r="W10" i="39"/>
  <c r="I69" i="20"/>
  <c r="J69" s="1"/>
  <c r="K69" s="1"/>
  <c r="I20" i="32"/>
  <c r="J20" s="1"/>
  <c r="Q20" i="39"/>
  <c r="I42" i="32"/>
  <c r="J42" s="1"/>
  <c r="Q42" i="39"/>
  <c r="I32" i="32"/>
  <c r="J32" s="1"/>
  <c r="Q32" i="39"/>
  <c r="H81" i="33"/>
  <c r="W81" i="39"/>
  <c r="H46" i="33"/>
  <c r="W46" i="39"/>
  <c r="H94" i="33"/>
  <c r="W94" i="39"/>
  <c r="I57" i="21"/>
  <c r="J57" s="1"/>
  <c r="K57" s="1"/>
  <c r="I56" i="32"/>
  <c r="J56" s="1"/>
  <c r="Q56" i="39"/>
  <c r="H57" i="33"/>
  <c r="H214" s="1"/>
  <c r="M214" s="1"/>
  <c r="O214" s="1"/>
  <c r="W57" i="39"/>
  <c r="H34" i="33"/>
  <c r="W34" i="39"/>
  <c r="I18" i="21"/>
  <c r="J18" s="1"/>
  <c r="K18" s="1"/>
  <c r="I90"/>
  <c r="I217" s="1"/>
  <c r="J217" s="1"/>
  <c r="K217" s="1"/>
  <c r="H69" i="33"/>
  <c r="W69" i="39"/>
  <c r="I66" i="32"/>
  <c r="J66" s="1"/>
  <c r="Q66" i="39"/>
  <c r="I7" i="33"/>
  <c r="J7" s="1"/>
  <c r="Z7" i="39"/>
  <c r="I55" i="33"/>
  <c r="J55" s="1"/>
  <c r="Z55" i="39"/>
  <c r="I4" i="33"/>
  <c r="J4" s="1"/>
  <c r="Z4" i="39"/>
  <c r="I83" i="33"/>
  <c r="J83" s="1"/>
  <c r="Z83" i="39"/>
  <c r="I38" i="33"/>
  <c r="J38" s="1"/>
  <c r="Z38" i="39"/>
  <c r="I86" i="33"/>
  <c r="J86" s="1"/>
  <c r="Z86" i="39"/>
  <c r="I40" i="33"/>
  <c r="J40" s="1"/>
  <c r="Z40" i="39"/>
  <c r="I64" i="33"/>
  <c r="J64" s="1"/>
  <c r="Z64" i="39"/>
  <c r="I88" i="33"/>
  <c r="J88" s="1"/>
  <c r="Z88" i="39"/>
  <c r="I13" i="33"/>
  <c r="J13" s="1"/>
  <c r="Z13" i="39"/>
  <c r="I31" i="33"/>
  <c r="J31" s="1"/>
  <c r="Z31" i="39"/>
  <c r="I23" i="33"/>
  <c r="J23" s="1"/>
  <c r="Z23" i="39"/>
  <c r="I19" i="33"/>
  <c r="J19" s="1"/>
  <c r="Z19" i="39"/>
  <c r="I53" i="33"/>
  <c r="J53" s="1"/>
  <c r="Z53" i="39"/>
  <c r="I77" i="33"/>
  <c r="J77" s="1"/>
  <c r="Z77" i="39"/>
  <c r="I11" i="33"/>
  <c r="J11" s="1"/>
  <c r="Z11" i="39"/>
  <c r="I59" i="33"/>
  <c r="J59" s="1"/>
  <c r="Z59" i="39"/>
  <c r="I26" i="33"/>
  <c r="J26" s="1"/>
  <c r="Z26" i="39"/>
  <c r="I74" i="33"/>
  <c r="J74" s="1"/>
  <c r="Z74" i="39"/>
  <c r="I91" i="33"/>
  <c r="J91" s="1"/>
  <c r="Z91" i="39"/>
  <c r="I60" i="33"/>
  <c r="J60" s="1"/>
  <c r="Z60" i="39"/>
  <c r="I84" i="33"/>
  <c r="J84" s="1"/>
  <c r="Z84" i="39"/>
  <c r="I29" i="33"/>
  <c r="J29" s="1"/>
  <c r="Z29" i="39"/>
  <c r="F17" i="37"/>
  <c r="G39" i="9"/>
  <c r="J31" i="17"/>
  <c r="J32"/>
  <c r="F16" i="37"/>
  <c r="G38" i="9"/>
  <c r="I210" i="27"/>
  <c r="J210" s="1"/>
  <c r="K210" s="1"/>
  <c r="I216" i="23"/>
  <c r="J216" s="1"/>
  <c r="K216" s="1"/>
  <c r="I211" i="22"/>
  <c r="J211" s="1"/>
  <c r="K211" s="1"/>
  <c r="I212" i="23"/>
  <c r="J212" s="1"/>
  <c r="K212" s="1"/>
  <c r="I212" i="28"/>
  <c r="J212" s="1"/>
  <c r="K212" s="1"/>
  <c r="I215"/>
  <c r="J215" s="1"/>
  <c r="K215" s="1"/>
  <c r="H212" i="32"/>
  <c r="M212" s="1"/>
  <c r="O212" s="1"/>
  <c r="H217"/>
  <c r="M217" s="1"/>
  <c r="O217" s="1"/>
  <c r="H213"/>
  <c r="M213" s="1"/>
  <c r="O213" s="1"/>
  <c r="I211" i="28"/>
  <c r="J211" s="1"/>
  <c r="K211" s="1"/>
  <c r="I211" i="26"/>
  <c r="J211" s="1"/>
  <c r="K211" s="1"/>
  <c r="I214" i="28"/>
  <c r="J214" s="1"/>
  <c r="K214" s="1"/>
  <c r="I210" i="23"/>
  <c r="J210" s="1"/>
  <c r="K210" s="1"/>
  <c r="I217" i="22"/>
  <c r="J217" s="1"/>
  <c r="K217" s="1"/>
  <c r="D11" i="30"/>
  <c r="H215" i="32"/>
  <c r="M215" s="1"/>
  <c r="O215" s="1"/>
  <c r="I211" i="23"/>
  <c r="J211" s="1"/>
  <c r="K211" s="1"/>
  <c r="I210" i="26"/>
  <c r="J210" s="1"/>
  <c r="K210" s="1"/>
  <c r="I213" i="27"/>
  <c r="J213" s="1"/>
  <c r="K213" s="1"/>
  <c r="I214" i="22"/>
  <c r="J214" s="1"/>
  <c r="K214" s="1"/>
  <c r="H214" i="32"/>
  <c r="M214" s="1"/>
  <c r="O214" s="1"/>
  <c r="I210" i="28"/>
  <c r="J210" s="1"/>
  <c r="K210" s="1"/>
  <c r="I217" i="26"/>
  <c r="J217" s="1"/>
  <c r="K217" s="1"/>
  <c r="I214" i="23"/>
  <c r="J214" s="1"/>
  <c r="K214" s="1"/>
  <c r="I215" i="27"/>
  <c r="J215" s="1"/>
  <c r="K215" s="1"/>
  <c r="H211" i="32"/>
  <c r="M211" s="1"/>
  <c r="O211" s="1"/>
  <c r="I216" i="26"/>
  <c r="J216" s="1"/>
  <c r="K216" s="1"/>
  <c r="I215" i="23"/>
  <c r="J215" s="1"/>
  <c r="K215" s="1"/>
  <c r="I214" i="27"/>
  <c r="J214" s="1"/>
  <c r="K214" s="1"/>
  <c r="I213" i="26"/>
  <c r="J213" s="1"/>
  <c r="K213" s="1"/>
  <c r="I216" i="27"/>
  <c r="J216" s="1"/>
  <c r="K216" s="1"/>
  <c r="I215" i="22"/>
  <c r="J215" s="1"/>
  <c r="K215" s="1"/>
  <c r="H216" i="32"/>
  <c r="M216" s="1"/>
  <c r="O216" s="1"/>
  <c r="I215" i="26"/>
  <c r="J215" s="1"/>
  <c r="K215" s="1"/>
  <c r="I211" i="27"/>
  <c r="J211" s="1"/>
  <c r="K211" s="1"/>
  <c r="I214" i="26"/>
  <c r="J214" s="1"/>
  <c r="K214" s="1"/>
  <c r="I210" i="22"/>
  <c r="J210" s="1"/>
  <c r="K210" s="1"/>
  <c r="C133" i="39"/>
  <c r="C125"/>
  <c r="D133"/>
  <c r="D132"/>
  <c r="D131"/>
  <c r="D130"/>
  <c r="D129"/>
  <c r="D128"/>
  <c r="D127"/>
  <c r="D126"/>
  <c r="D125"/>
  <c r="D124"/>
  <c r="D123"/>
  <c r="C132"/>
  <c r="C131"/>
  <c r="C130"/>
  <c r="C129"/>
  <c r="C128"/>
  <c r="C127"/>
  <c r="C126"/>
  <c r="C124"/>
  <c r="C123"/>
  <c r="D122"/>
  <c r="D121"/>
  <c r="D120"/>
  <c r="D119"/>
  <c r="D118"/>
  <c r="D117"/>
  <c r="D116"/>
  <c r="D115"/>
  <c r="D114"/>
  <c r="D113"/>
  <c r="D112"/>
  <c r="D111"/>
  <c r="C114"/>
  <c r="C122"/>
  <c r="C121"/>
  <c r="C120"/>
  <c r="C119"/>
  <c r="C118"/>
  <c r="C117"/>
  <c r="C116"/>
  <c r="C115"/>
  <c r="C113"/>
  <c r="C112"/>
  <c r="C111"/>
  <c r="D110"/>
  <c r="D109"/>
  <c r="D108"/>
  <c r="D107"/>
  <c r="D106"/>
  <c r="D105"/>
  <c r="D104"/>
  <c r="D103"/>
  <c r="D102"/>
  <c r="D101"/>
  <c r="D100"/>
  <c r="D99"/>
  <c r="C99"/>
  <c r="C100"/>
  <c r="C101"/>
  <c r="C102"/>
  <c r="C103"/>
  <c r="C104"/>
  <c r="C105"/>
  <c r="C106"/>
  <c r="C107"/>
  <c r="C108"/>
  <c r="C109"/>
  <c r="C110"/>
  <c r="Q214" i="33" l="1"/>
  <c r="F30" i="34" s="1"/>
  <c r="F72"/>
  <c r="I213" i="21"/>
  <c r="J213" s="1"/>
  <c r="K213" s="1"/>
  <c r="Q215" i="32"/>
  <c r="E31" i="34" s="1"/>
  <c r="E73"/>
  <c r="Q217" i="32"/>
  <c r="E33" i="34" s="1"/>
  <c r="E75"/>
  <c r="Q212" i="32"/>
  <c r="E28" i="34" s="1"/>
  <c r="E70"/>
  <c r="Q216" i="32"/>
  <c r="E32" i="34" s="1"/>
  <c r="E74"/>
  <c r="Q211" i="32"/>
  <c r="E27" i="34" s="1"/>
  <c r="E69"/>
  <c r="Q214" i="32"/>
  <c r="E30" i="34" s="1"/>
  <c r="E72"/>
  <c r="Q213" i="32"/>
  <c r="E29" i="34" s="1"/>
  <c r="E71"/>
  <c r="I214" i="21"/>
  <c r="J214" s="1"/>
  <c r="K214" s="1"/>
  <c r="H211" i="33"/>
  <c r="M211" s="1"/>
  <c r="O211" s="1"/>
  <c r="H215"/>
  <c r="M215" s="1"/>
  <c r="O215" s="1"/>
  <c r="H210"/>
  <c r="M210" s="1"/>
  <c r="O210" s="1"/>
  <c r="H212"/>
  <c r="M212" s="1"/>
  <c r="O212" s="1"/>
  <c r="H217"/>
  <c r="M217" s="1"/>
  <c r="O217" s="1"/>
  <c r="J5" i="11"/>
  <c r="G68" i="38"/>
  <c r="H68"/>
  <c r="K5" i="11"/>
  <c r="I214" i="20"/>
  <c r="J214" s="1"/>
  <c r="K214" s="1"/>
  <c r="C6" i="37"/>
  <c r="D6" s="1"/>
  <c r="C17"/>
  <c r="D17" s="1"/>
  <c r="H213" i="33"/>
  <c r="M213" s="1"/>
  <c r="O213" s="1"/>
  <c r="H216"/>
  <c r="M216" s="1"/>
  <c r="O216" s="1"/>
  <c r="I217" i="20"/>
  <c r="J217" s="1"/>
  <c r="K217" s="1"/>
  <c r="I210"/>
  <c r="J210" s="1"/>
  <c r="K210" s="1"/>
  <c r="I211"/>
  <c r="J211" s="1"/>
  <c r="K211" s="1"/>
  <c r="J90" i="21"/>
  <c r="K90" s="1"/>
  <c r="I34" i="33"/>
  <c r="J34" s="1"/>
  <c r="Z34" i="39"/>
  <c r="I94" i="33"/>
  <c r="J94" s="1"/>
  <c r="Z94" i="39"/>
  <c r="I81" i="33"/>
  <c r="J81" s="1"/>
  <c r="Z81" i="39"/>
  <c r="I8" i="33"/>
  <c r="J8" s="1"/>
  <c r="Z8" i="39"/>
  <c r="I80" i="33"/>
  <c r="J80" s="1"/>
  <c r="Z80" i="39"/>
  <c r="J42" i="20"/>
  <c r="K42" s="1"/>
  <c r="J69" i="21"/>
  <c r="K69" s="1"/>
  <c r="I54" i="33"/>
  <c r="J54" s="1"/>
  <c r="Z54" i="39"/>
  <c r="I93" i="33"/>
  <c r="J93" s="1"/>
  <c r="Z93" i="39"/>
  <c r="I56" i="33"/>
  <c r="J56" s="1"/>
  <c r="Z56" i="39"/>
  <c r="I32" i="33"/>
  <c r="J32" s="1"/>
  <c r="Z32" i="39"/>
  <c r="I9" i="33"/>
  <c r="J9" s="1"/>
  <c r="Z9" i="39"/>
  <c r="I30" i="33"/>
  <c r="J30" s="1"/>
  <c r="Z30" i="39"/>
  <c r="I92" i="33"/>
  <c r="J92" s="1"/>
  <c r="Z92" i="39"/>
  <c r="I82" i="33"/>
  <c r="J82" s="1"/>
  <c r="Z82" i="39"/>
  <c r="I70" i="33"/>
  <c r="J70" s="1"/>
  <c r="Z70" i="39"/>
  <c r="J34" i="20"/>
  <c r="K34" s="1"/>
  <c r="I44" i="33"/>
  <c r="J44" s="1"/>
  <c r="Z44" i="39"/>
  <c r="I21" i="33"/>
  <c r="J21" s="1"/>
  <c r="Z21" i="39"/>
  <c r="I20" i="33"/>
  <c r="J20" s="1"/>
  <c r="Z20" i="39"/>
  <c r="I215" i="20"/>
  <c r="J215" s="1"/>
  <c r="K215" s="1"/>
  <c r="I211" i="21"/>
  <c r="J211" s="1"/>
  <c r="K211" s="1"/>
  <c r="I69" i="33"/>
  <c r="J69" s="1"/>
  <c r="Z69" i="39"/>
  <c r="I57" i="33"/>
  <c r="J57" s="1"/>
  <c r="Z57" i="39"/>
  <c r="I46" i="33"/>
  <c r="J46" s="1"/>
  <c r="Z46" i="39"/>
  <c r="I10" i="33"/>
  <c r="J10" s="1"/>
  <c r="Z10" i="39"/>
  <c r="I18" i="33"/>
  <c r="J18" s="1"/>
  <c r="Z18" i="39"/>
  <c r="I68" i="33"/>
  <c r="J68" s="1"/>
  <c r="Z68" i="39"/>
  <c r="I33" i="33"/>
  <c r="J33" s="1"/>
  <c r="Z33" i="39"/>
  <c r="I90" i="33"/>
  <c r="J90" s="1"/>
  <c r="Z90" i="39"/>
  <c r="I6" i="33"/>
  <c r="J6" s="1"/>
  <c r="Z6" i="39"/>
  <c r="I78" i="33"/>
  <c r="J78" s="1"/>
  <c r="Z78" i="39"/>
  <c r="I45" i="33"/>
  <c r="J45" s="1"/>
  <c r="Z45" i="39"/>
  <c r="E151" i="19"/>
  <c r="E150" i="39"/>
  <c r="E150" i="28"/>
  <c r="E150" i="23"/>
  <c r="E150" i="27"/>
  <c r="E150" i="26"/>
  <c r="E150" i="22"/>
  <c r="E150" i="32"/>
  <c r="N150" i="39" s="1"/>
  <c r="E150" i="21"/>
  <c r="E150" i="20"/>
  <c r="E150" i="33"/>
  <c r="W150" i="39" s="1"/>
  <c r="I22" i="33"/>
  <c r="J22" s="1"/>
  <c r="Z22" i="39"/>
  <c r="I58" i="33"/>
  <c r="J58" s="1"/>
  <c r="Z58" i="39"/>
  <c r="I66" i="33"/>
  <c r="J66" s="1"/>
  <c r="Z66" i="39"/>
  <c r="I42" i="33"/>
  <c r="J42" s="1"/>
  <c r="Z42" i="39"/>
  <c r="I214" i="33"/>
  <c r="J214" s="1"/>
  <c r="J56" i="11"/>
  <c r="K56"/>
  <c r="G57" i="9"/>
  <c r="G6" i="37"/>
  <c r="H6" s="1"/>
  <c r="G17"/>
  <c r="H17" s="1"/>
  <c r="G18"/>
  <c r="H18" s="1"/>
  <c r="I211" i="32"/>
  <c r="J211" s="1"/>
  <c r="I217"/>
  <c r="J217" s="1"/>
  <c r="I212" i="33"/>
  <c r="J212" s="1"/>
  <c r="I213" i="32"/>
  <c r="J213" s="1"/>
  <c r="I214"/>
  <c r="J214" s="1"/>
  <c r="I215"/>
  <c r="J215" s="1"/>
  <c r="I212"/>
  <c r="J212" s="1"/>
  <c r="I216"/>
  <c r="J216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C107" i="20"/>
  <c r="C107" i="22"/>
  <c r="H103" i="19"/>
  <c r="H103" i="39" s="1"/>
  <c r="C103" i="22"/>
  <c r="C103" i="26"/>
  <c r="C103" i="23"/>
  <c r="C103" i="27"/>
  <c r="C103" i="28"/>
  <c r="C103" i="20"/>
  <c r="C103" i="21"/>
  <c r="H99" i="19"/>
  <c r="H99" i="39" s="1"/>
  <c r="C99" i="21"/>
  <c r="C99" i="26"/>
  <c r="C99" i="23"/>
  <c r="C99" i="27"/>
  <c r="C99" i="28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C119" i="28"/>
  <c r="C119" i="20"/>
  <c r="C119" i="21"/>
  <c r="H114" i="19"/>
  <c r="H114" i="39" s="1"/>
  <c r="C114" i="20"/>
  <c r="C114" i="21"/>
  <c r="C114" i="22"/>
  <c r="C114" i="28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C127" i="27"/>
  <c r="C127" i="28"/>
  <c r="C127" i="20"/>
  <c r="C127" i="21"/>
  <c r="H131" i="19"/>
  <c r="C131" i="21"/>
  <c r="C131" i="26"/>
  <c r="C131" i="23"/>
  <c r="C131" i="27"/>
  <c r="C131" i="28"/>
  <c r="C131" i="20"/>
  <c r="C131" i="22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C118" i="21"/>
  <c r="C118" i="22"/>
  <c r="C118" i="27"/>
  <c r="C118" i="28"/>
  <c r="C118" i="26"/>
  <c r="C118" i="23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C130" i="23"/>
  <c r="D132" i="20"/>
  <c r="D132" i="22"/>
  <c r="D132" i="21"/>
  <c r="D132" i="26"/>
  <c r="D132" i="28"/>
  <c r="D132" i="23"/>
  <c r="D132" i="27"/>
  <c r="C102" i="20"/>
  <c r="C102" i="21"/>
  <c r="C102" i="22"/>
  <c r="C102" i="26"/>
  <c r="C102" i="27"/>
  <c r="C102" i="28"/>
  <c r="C102" i="23"/>
  <c r="I102" s="1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C116" i="20"/>
  <c r="C116" i="21"/>
  <c r="C116" i="22"/>
  <c r="C116" i="23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C123" i="23"/>
  <c r="C123" i="20"/>
  <c r="C123" i="22"/>
  <c r="H128" i="19"/>
  <c r="C128" i="20"/>
  <c r="C128" i="21"/>
  <c r="C128" i="22"/>
  <c r="C128" i="26"/>
  <c r="C128" i="23"/>
  <c r="C128" i="27"/>
  <c r="C128" i="28"/>
  <c r="H132" i="19"/>
  <c r="C132" i="20"/>
  <c r="C132" i="21"/>
  <c r="C132" i="22"/>
  <c r="C132" i="23"/>
  <c r="C132" i="27"/>
  <c r="C132" i="28"/>
  <c r="C132" i="26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C125" i="21"/>
  <c r="C125" i="26"/>
  <c r="C125" i="23"/>
  <c r="C125" i="27"/>
  <c r="C125" i="28"/>
  <c r="C125" i="22"/>
  <c r="C108" i="20"/>
  <c r="C108" i="21"/>
  <c r="C108" i="22"/>
  <c r="C108" i="26"/>
  <c r="C108" i="23"/>
  <c r="C108" i="27"/>
  <c r="C108" i="28"/>
  <c r="C100" i="20"/>
  <c r="C100" i="21"/>
  <c r="C100" i="22"/>
  <c r="C100" i="26"/>
  <c r="C100" i="23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C113" i="26"/>
  <c r="C113" i="23"/>
  <c r="C113" i="27"/>
  <c r="C113" i="28"/>
  <c r="C113" i="21"/>
  <c r="D113" i="22"/>
  <c r="D113" i="26"/>
  <c r="D113" i="23"/>
  <c r="D113" i="27"/>
  <c r="D113" i="21"/>
  <c r="D113" i="28"/>
  <c r="D113" i="20"/>
  <c r="C126"/>
  <c r="C126" i="21"/>
  <c r="C126" i="22"/>
  <c r="C126" i="23"/>
  <c r="C126" i="26"/>
  <c r="C126" i="27"/>
  <c r="C126" i="28"/>
  <c r="D128" i="20"/>
  <c r="D128" i="21"/>
  <c r="D128" i="22"/>
  <c r="D128" i="26"/>
  <c r="D128" i="28"/>
  <c r="D128" i="23"/>
  <c r="D128" i="27"/>
  <c r="C110" i="20"/>
  <c r="C110" i="21"/>
  <c r="C110" i="22"/>
  <c r="C110" i="23"/>
  <c r="C110" i="28"/>
  <c r="C110" i="26"/>
  <c r="C110" i="27"/>
  <c r="I110" s="1"/>
  <c r="C106" i="20"/>
  <c r="I106" s="1"/>
  <c r="C106" i="21"/>
  <c r="I106" s="1"/>
  <c r="C106" i="22"/>
  <c r="I106" s="1"/>
  <c r="C106" i="28"/>
  <c r="C106" i="26"/>
  <c r="C106" i="23"/>
  <c r="C106" i="27"/>
  <c r="H109" i="19"/>
  <c r="H109" i="39" s="1"/>
  <c r="C109" i="20"/>
  <c r="C109" i="21"/>
  <c r="I109" s="1"/>
  <c r="C109" i="26"/>
  <c r="I109" s="1"/>
  <c r="C109" i="23"/>
  <c r="I109" s="1"/>
  <c r="C109" i="27"/>
  <c r="I109" s="1"/>
  <c r="C109" i="28"/>
  <c r="C109" i="22"/>
  <c r="H105" i="19"/>
  <c r="H105" i="39" s="1"/>
  <c r="C105" i="20"/>
  <c r="C105" i="22"/>
  <c r="C105" i="26"/>
  <c r="C105" i="23"/>
  <c r="C105" i="27"/>
  <c r="C105" i="28"/>
  <c r="C105" i="21"/>
  <c r="H101" i="19"/>
  <c r="H101" i="39" s="1"/>
  <c r="C101" i="20"/>
  <c r="C101" i="21"/>
  <c r="C101" i="26"/>
  <c r="C101" i="23"/>
  <c r="C101" i="27"/>
  <c r="C101" i="28"/>
  <c r="C101" i="22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C112" i="22"/>
  <c r="C112" i="26"/>
  <c r="C112" i="23"/>
  <c r="C112" i="27"/>
  <c r="C112" i="28"/>
  <c r="H117" i="19"/>
  <c r="H117" i="39" s="1"/>
  <c r="C117" i="20"/>
  <c r="C117" i="21"/>
  <c r="C117" i="26"/>
  <c r="C117" i="23"/>
  <c r="C117" i="27"/>
  <c r="C117" i="28"/>
  <c r="C117" i="22"/>
  <c r="H121" i="19"/>
  <c r="H121" i="39" s="1"/>
  <c r="C121" i="20"/>
  <c r="C121" i="22"/>
  <c r="C121" i="26"/>
  <c r="C121" i="23"/>
  <c r="C121" i="27"/>
  <c r="C121" i="28"/>
  <c r="C121" i="21"/>
  <c r="I121" s="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I124" s="1"/>
  <c r="C124" i="21"/>
  <c r="C124" i="22"/>
  <c r="C124" i="23"/>
  <c r="C124" i="27"/>
  <c r="C124" i="28"/>
  <c r="C124" i="26"/>
  <c r="C129" i="20"/>
  <c r="C129" i="22"/>
  <c r="C129" i="26"/>
  <c r="C129" i="23"/>
  <c r="C129" i="27"/>
  <c r="C129" i="28"/>
  <c r="C129" i="2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C133" i="21"/>
  <c r="C133" i="26"/>
  <c r="C133" i="23"/>
  <c r="C133" i="27"/>
  <c r="C133" i="28"/>
  <c r="C133" i="22"/>
  <c r="H116" i="19"/>
  <c r="H116" i="39" s="1"/>
  <c r="H120" i="19"/>
  <c r="H120" i="39" s="1"/>
  <c r="H123"/>
  <c r="H108" i="19"/>
  <c r="H108" i="39" s="1"/>
  <c r="H104" i="19"/>
  <c r="H104" i="39" s="1"/>
  <c r="H106" i="19"/>
  <c r="H106" i="39" s="1"/>
  <c r="H125" i="19"/>
  <c r="H129"/>
  <c r="H133"/>
  <c r="H110"/>
  <c r="H110" i="39" s="1"/>
  <c r="H102" i="19"/>
  <c r="H102" i="39" s="1"/>
  <c r="H100" i="19"/>
  <c r="H100" i="39" s="1"/>
  <c r="H118" i="19"/>
  <c r="H118" i="39" s="1"/>
  <c r="H122" i="19"/>
  <c r="H122" i="39" s="1"/>
  <c r="H126" i="19"/>
  <c r="H130"/>
  <c r="I121" i="20" l="1"/>
  <c r="I101" i="21"/>
  <c r="I106" i="23"/>
  <c r="J106" s="1"/>
  <c r="K106" s="1"/>
  <c r="I110" i="28"/>
  <c r="J110" s="1"/>
  <c r="K110" s="1"/>
  <c r="I215" i="33"/>
  <c r="J215" s="1"/>
  <c r="I114" i="26"/>
  <c r="I217" i="33"/>
  <c r="J217" s="1"/>
  <c r="I213"/>
  <c r="J213" s="1"/>
  <c r="I133" i="27"/>
  <c r="I124"/>
  <c r="I121" i="28"/>
  <c r="J121" s="1"/>
  <c r="K121" s="1"/>
  <c r="I117"/>
  <c r="J117" s="1"/>
  <c r="K117" s="1"/>
  <c r="I112" i="21"/>
  <c r="I101" i="22"/>
  <c r="J101" s="1"/>
  <c r="K101" s="1"/>
  <c r="I101" i="26"/>
  <c r="J101" s="1"/>
  <c r="K101" s="1"/>
  <c r="I105" i="21"/>
  <c r="J105" s="1"/>
  <c r="K105" s="1"/>
  <c r="I109" i="22"/>
  <c r="I106" i="27"/>
  <c r="J106" s="1"/>
  <c r="K106" s="1"/>
  <c r="I110" i="26"/>
  <c r="J110" s="1"/>
  <c r="K110" s="1"/>
  <c r="I110" i="21"/>
  <c r="J110" s="1"/>
  <c r="K110" s="1"/>
  <c r="I113" i="28"/>
  <c r="J113" s="1"/>
  <c r="K113" s="1"/>
  <c r="I113" i="22"/>
  <c r="J113" s="1"/>
  <c r="K113" s="1"/>
  <c r="I108" i="26"/>
  <c r="J108" s="1"/>
  <c r="K108" s="1"/>
  <c r="I125"/>
  <c r="J125" s="1"/>
  <c r="K125" s="1"/>
  <c r="I132" i="23"/>
  <c r="I128" i="26"/>
  <c r="I123"/>
  <c r="J123" s="1"/>
  <c r="K123" s="1"/>
  <c r="I116" i="23"/>
  <c r="J116" s="1"/>
  <c r="K116" s="1"/>
  <c r="I102" i="26"/>
  <c r="J102" s="1"/>
  <c r="K102" s="1"/>
  <c r="I99" i="28"/>
  <c r="J99" s="1"/>
  <c r="K99" s="1"/>
  <c r="Q213" i="33"/>
  <c r="F29" i="34" s="1"/>
  <c r="F71"/>
  <c r="Q217" i="33"/>
  <c r="F33" i="34" s="1"/>
  <c r="F75"/>
  <c r="Q212" i="33"/>
  <c r="F28" i="34" s="1"/>
  <c r="F70"/>
  <c r="I211" i="33"/>
  <c r="J211" s="1"/>
  <c r="Q216"/>
  <c r="F32" i="34" s="1"/>
  <c r="F74"/>
  <c r="Q215" i="33"/>
  <c r="F31" i="34" s="1"/>
  <c r="F73"/>
  <c r="Q211" i="33"/>
  <c r="F27" i="34" s="1"/>
  <c r="F69"/>
  <c r="Q210" i="33"/>
  <c r="F26" i="34" s="1"/>
  <c r="F68"/>
  <c r="I210" i="33"/>
  <c r="J210" s="1"/>
  <c r="I111" i="21"/>
  <c r="I131" i="23"/>
  <c r="J131" s="1"/>
  <c r="K131" s="1"/>
  <c r="I127" i="21"/>
  <c r="J127" s="1"/>
  <c r="K127" s="1"/>
  <c r="I127" i="23"/>
  <c r="J127" s="1"/>
  <c r="K127" s="1"/>
  <c r="I119" i="27"/>
  <c r="J119" s="1"/>
  <c r="K119" s="1"/>
  <c r="I107" i="28"/>
  <c r="J107" s="1"/>
  <c r="K107" s="1"/>
  <c r="I122" i="22"/>
  <c r="J122" s="1"/>
  <c r="K122" s="1"/>
  <c r="I126" i="26"/>
  <c r="I132" i="20"/>
  <c r="J132" s="1"/>
  <c r="K132" s="1"/>
  <c r="I216" i="33"/>
  <c r="J216" s="1"/>
  <c r="I100" i="20"/>
  <c r="J100" s="1"/>
  <c r="K100" s="1"/>
  <c r="I125" i="22"/>
  <c r="J125" s="1"/>
  <c r="K125" s="1"/>
  <c r="I130" i="26"/>
  <c r="J130" s="1"/>
  <c r="K130" s="1"/>
  <c r="I124" i="22"/>
  <c r="J124" s="1"/>
  <c r="K124" s="1"/>
  <c r="I101" i="27"/>
  <c r="J101" s="1"/>
  <c r="K101" s="1"/>
  <c r="I106" i="26"/>
  <c r="J106" s="1"/>
  <c r="K106" s="1"/>
  <c r="I126" i="27"/>
  <c r="J126" s="1"/>
  <c r="K126" s="1"/>
  <c r="I102" i="28"/>
  <c r="J102" s="1"/>
  <c r="K102" s="1"/>
  <c r="I102" i="21"/>
  <c r="J102" s="1"/>
  <c r="K102" s="1"/>
  <c r="I118" i="26"/>
  <c r="J118" s="1"/>
  <c r="K118" s="1"/>
  <c r="I129" i="28"/>
  <c r="J129" s="1"/>
  <c r="K129" s="1"/>
  <c r="I100" i="23"/>
  <c r="J100" s="1"/>
  <c r="K100" s="1"/>
  <c r="I131" i="22"/>
  <c r="J131" s="1"/>
  <c r="K131" s="1"/>
  <c r="I99" i="21"/>
  <c r="J99" s="1"/>
  <c r="K99" s="1"/>
  <c r="I103" i="22"/>
  <c r="J103" s="1"/>
  <c r="K103" s="1"/>
  <c r="I104" i="23"/>
  <c r="J104" s="1"/>
  <c r="K104" s="1"/>
  <c r="I123" i="21"/>
  <c r="J123" s="1"/>
  <c r="K123" s="1"/>
  <c r="I133" i="23"/>
  <c r="J133" s="1"/>
  <c r="K133" s="1"/>
  <c r="I124"/>
  <c r="J124" s="1"/>
  <c r="K124" s="1"/>
  <c r="I117" i="20"/>
  <c r="J117" s="1"/>
  <c r="K117" s="1"/>
  <c r="I105" i="28"/>
  <c r="J105" s="1"/>
  <c r="K105" s="1"/>
  <c r="I109"/>
  <c r="J109" s="1"/>
  <c r="K109" s="1"/>
  <c r="I110" i="20"/>
  <c r="J110" s="1"/>
  <c r="K110" s="1"/>
  <c r="I126" i="22"/>
  <c r="J126" s="1"/>
  <c r="K126" s="1"/>
  <c r="I113" i="27"/>
  <c r="J113" s="1"/>
  <c r="K113" s="1"/>
  <c r="I100" i="26"/>
  <c r="J100" s="1"/>
  <c r="K100" s="1"/>
  <c r="I108" i="28"/>
  <c r="J108" s="1"/>
  <c r="K108" s="1"/>
  <c r="I125" i="21"/>
  <c r="J125" s="1"/>
  <c r="K125" s="1"/>
  <c r="I132" i="26"/>
  <c r="J132" s="1"/>
  <c r="K132" s="1"/>
  <c r="I123" i="22"/>
  <c r="J123" s="1"/>
  <c r="K123" s="1"/>
  <c r="I116" i="28"/>
  <c r="J116" s="1"/>
  <c r="K116" s="1"/>
  <c r="I116" i="22"/>
  <c r="J116" s="1"/>
  <c r="K116" s="1"/>
  <c r="I111" i="20"/>
  <c r="J111" s="1"/>
  <c r="K111" s="1"/>
  <c r="I131" i="26"/>
  <c r="J131" s="1"/>
  <c r="K131" s="1"/>
  <c r="I127" i="20"/>
  <c r="J127" s="1"/>
  <c r="K127" s="1"/>
  <c r="I127" i="26"/>
  <c r="J127" s="1"/>
  <c r="K127" s="1"/>
  <c r="I119" i="21"/>
  <c r="J119" s="1"/>
  <c r="K119" s="1"/>
  <c r="I119" i="23"/>
  <c r="J119" s="1"/>
  <c r="K119" s="1"/>
  <c r="I115" i="22"/>
  <c r="J115" s="1"/>
  <c r="K115" s="1"/>
  <c r="I99" i="27"/>
  <c r="I103"/>
  <c r="J103" s="1"/>
  <c r="K103" s="1"/>
  <c r="I122"/>
  <c r="J122" s="1"/>
  <c r="K122" s="1"/>
  <c r="I133" i="20"/>
  <c r="J133" s="1"/>
  <c r="K133" s="1"/>
  <c r="I129" i="22"/>
  <c r="J129" s="1"/>
  <c r="K129" s="1"/>
  <c r="I121"/>
  <c r="J121" s="1"/>
  <c r="K121" s="1"/>
  <c r="I117" i="21"/>
  <c r="J117" s="1"/>
  <c r="K117" s="1"/>
  <c r="I112" i="27"/>
  <c r="J112" s="1"/>
  <c r="K112" s="1"/>
  <c r="I120" i="23"/>
  <c r="J120" s="1"/>
  <c r="K120" s="1"/>
  <c r="I111"/>
  <c r="I115" i="27"/>
  <c r="J115" s="1"/>
  <c r="K115" s="1"/>
  <c r="I107" i="21"/>
  <c r="J107" s="1"/>
  <c r="K107" s="1"/>
  <c r="I122" i="26"/>
  <c r="J122" s="1"/>
  <c r="K122" s="1"/>
  <c r="L128" i="39"/>
  <c r="C140" i="32"/>
  <c r="I129" i="27"/>
  <c r="J129" s="1"/>
  <c r="K129" s="1"/>
  <c r="I121"/>
  <c r="J121" s="1"/>
  <c r="K121" s="1"/>
  <c r="I112" i="20"/>
  <c r="J112" s="1"/>
  <c r="K112" s="1"/>
  <c r="I101" i="28"/>
  <c r="J101" s="1"/>
  <c r="K101" s="1"/>
  <c r="I105" i="22"/>
  <c r="J105" s="1"/>
  <c r="K105" s="1"/>
  <c r="I126" i="28"/>
  <c r="J126" s="1"/>
  <c r="K126" s="1"/>
  <c r="I120" i="26"/>
  <c r="J120" s="1"/>
  <c r="K120" s="1"/>
  <c r="I111"/>
  <c r="I130" i="27"/>
  <c r="J130" s="1"/>
  <c r="K130" s="1"/>
  <c r="I118" i="22"/>
  <c r="J118" s="1"/>
  <c r="K118" s="1"/>
  <c r="I131" i="20"/>
  <c r="J131" s="1"/>
  <c r="K131" s="1"/>
  <c r="I114" i="22"/>
  <c r="I115" i="23"/>
  <c r="J115" s="1"/>
  <c r="K115" s="1"/>
  <c r="I122" i="21"/>
  <c r="J122" s="1"/>
  <c r="K122" s="1"/>
  <c r="L125" i="39"/>
  <c r="C137" i="32"/>
  <c r="L123" i="39"/>
  <c r="C135" i="32"/>
  <c r="C146"/>
  <c r="I133" i="22"/>
  <c r="J133" s="1"/>
  <c r="K133" s="1"/>
  <c r="I133" i="26"/>
  <c r="J133" s="1"/>
  <c r="K133" s="1"/>
  <c r="I129" i="23"/>
  <c r="J129" s="1"/>
  <c r="K129" s="1"/>
  <c r="I124" i="26"/>
  <c r="J124" s="1"/>
  <c r="K124" s="1"/>
  <c r="I121" i="23"/>
  <c r="J121" s="1"/>
  <c r="K121" s="1"/>
  <c r="I117"/>
  <c r="J117" s="1"/>
  <c r="K117" s="1"/>
  <c r="I112" i="26"/>
  <c r="J112" s="1"/>
  <c r="K112" s="1"/>
  <c r="I101" i="20"/>
  <c r="J101" s="1"/>
  <c r="K101" s="1"/>
  <c r="I105" i="27"/>
  <c r="J105" s="1"/>
  <c r="K105" s="1"/>
  <c r="I105" i="20"/>
  <c r="J105" s="1"/>
  <c r="K105" s="1"/>
  <c r="I109"/>
  <c r="J109" s="1"/>
  <c r="K109" s="1"/>
  <c r="I110" i="23"/>
  <c r="J110" s="1"/>
  <c r="K110" s="1"/>
  <c r="I126" i="21"/>
  <c r="J126" s="1"/>
  <c r="K126" s="1"/>
  <c r="I113" i="23"/>
  <c r="J113" s="1"/>
  <c r="K113" s="1"/>
  <c r="I100" i="28"/>
  <c r="J100" s="1"/>
  <c r="K100" s="1"/>
  <c r="I100" i="22"/>
  <c r="J100" s="1"/>
  <c r="K100" s="1"/>
  <c r="I108" i="27"/>
  <c r="J108" s="1"/>
  <c r="K108" s="1"/>
  <c r="I108" i="21"/>
  <c r="J108" s="1"/>
  <c r="K108" s="1"/>
  <c r="I125" i="27"/>
  <c r="J125" s="1"/>
  <c r="K125" s="1"/>
  <c r="I125" i="20"/>
  <c r="J125" s="1"/>
  <c r="K125" s="1"/>
  <c r="I132" i="28"/>
  <c r="J132" s="1"/>
  <c r="K132" s="1"/>
  <c r="I132" i="21"/>
  <c r="J132" s="1"/>
  <c r="K132" s="1"/>
  <c r="I128" i="27"/>
  <c r="J128" s="1"/>
  <c r="K128" s="1"/>
  <c r="I128" i="21"/>
  <c r="J128" s="1"/>
  <c r="K128" s="1"/>
  <c r="I123" i="20"/>
  <c r="J123" s="1"/>
  <c r="K123" s="1"/>
  <c r="I120" i="28"/>
  <c r="J120" s="1"/>
  <c r="K120" s="1"/>
  <c r="I120" i="22"/>
  <c r="J120" s="1"/>
  <c r="K120" s="1"/>
  <c r="I116" i="26"/>
  <c r="J116" s="1"/>
  <c r="K116" s="1"/>
  <c r="I116" i="21"/>
  <c r="J116" s="1"/>
  <c r="K116" s="1"/>
  <c r="I111" i="28"/>
  <c r="J111" s="1"/>
  <c r="K111" s="1"/>
  <c r="I111" i="22"/>
  <c r="J111" s="1"/>
  <c r="K111" s="1"/>
  <c r="I130" i="28"/>
  <c r="J130" s="1"/>
  <c r="K130" s="1"/>
  <c r="I118" i="21"/>
  <c r="J118" s="1"/>
  <c r="K118" s="1"/>
  <c r="I131" i="28"/>
  <c r="J131" s="1"/>
  <c r="K131" s="1"/>
  <c r="I131" i="21"/>
  <c r="J131" s="1"/>
  <c r="K131" s="1"/>
  <c r="I127" i="28"/>
  <c r="J127" s="1"/>
  <c r="K127" s="1"/>
  <c r="I127" i="22"/>
  <c r="J127" s="1"/>
  <c r="K127" s="1"/>
  <c r="I114" i="27"/>
  <c r="J114" s="1"/>
  <c r="K114" s="1"/>
  <c r="I114" i="21"/>
  <c r="J114" s="1"/>
  <c r="K114" s="1"/>
  <c r="I119" i="20"/>
  <c r="J119" s="1"/>
  <c r="K119" s="1"/>
  <c r="I119" i="26"/>
  <c r="J119" s="1"/>
  <c r="K119" s="1"/>
  <c r="I115" i="20"/>
  <c r="J115" s="1"/>
  <c r="K115" s="1"/>
  <c r="I115" i="26"/>
  <c r="J115" s="1"/>
  <c r="K115" s="1"/>
  <c r="I99" i="22"/>
  <c r="I99" i="23"/>
  <c r="I103" i="21"/>
  <c r="J103" s="1"/>
  <c r="K103" s="1"/>
  <c r="I103" i="23"/>
  <c r="J103" s="1"/>
  <c r="K103" s="1"/>
  <c r="I107" i="22"/>
  <c r="J107" s="1"/>
  <c r="K107" s="1"/>
  <c r="I107" i="23"/>
  <c r="I122"/>
  <c r="J122" s="1"/>
  <c r="K122" s="1"/>
  <c r="I122" i="20"/>
  <c r="J122" s="1"/>
  <c r="K122" s="1"/>
  <c r="I104" i="28"/>
  <c r="J104" s="1"/>
  <c r="K104" s="1"/>
  <c r="I104" i="22"/>
  <c r="J104" s="1"/>
  <c r="K104" s="1"/>
  <c r="L124" i="39"/>
  <c r="C136" i="32"/>
  <c r="L130" i="39"/>
  <c r="C142" i="32"/>
  <c r="I123" i="28"/>
  <c r="J123" s="1"/>
  <c r="K123" s="1"/>
  <c r="I105" i="26"/>
  <c r="J105" s="1"/>
  <c r="K105" s="1"/>
  <c r="I126" i="23"/>
  <c r="J126" s="1"/>
  <c r="K126" s="1"/>
  <c r="I120" i="20"/>
  <c r="I130" i="21"/>
  <c r="J130" s="1"/>
  <c r="K130" s="1"/>
  <c r="I118" i="27"/>
  <c r="J118" s="1"/>
  <c r="K118" s="1"/>
  <c r="I114" i="28"/>
  <c r="J114" s="1"/>
  <c r="K114" s="1"/>
  <c r="I103"/>
  <c r="J103" s="1"/>
  <c r="K103" s="1"/>
  <c r="I104" i="20"/>
  <c r="J104" s="1"/>
  <c r="K104" s="1"/>
  <c r="H111" i="33"/>
  <c r="Z111" i="39" s="1"/>
  <c r="V111"/>
  <c r="L131"/>
  <c r="C143" i="32"/>
  <c r="L126" i="39"/>
  <c r="C138" i="32"/>
  <c r="L132" i="39"/>
  <c r="C144" i="32"/>
  <c r="I129" i="20"/>
  <c r="J129" s="1"/>
  <c r="K129" s="1"/>
  <c r="I117" i="27"/>
  <c r="J117" s="1"/>
  <c r="K117" s="1"/>
  <c r="I112" i="23"/>
  <c r="J112" s="1"/>
  <c r="K112" s="1"/>
  <c r="I113" i="20"/>
  <c r="J113" s="1"/>
  <c r="K113" s="1"/>
  <c r="I108" i="22"/>
  <c r="J108" s="1"/>
  <c r="K108" s="1"/>
  <c r="I125" i="28"/>
  <c r="J125" s="1"/>
  <c r="K125" s="1"/>
  <c r="I132" i="22"/>
  <c r="J132" s="1"/>
  <c r="K132" s="1"/>
  <c r="I128" i="28"/>
  <c r="J128" s="1"/>
  <c r="K128" s="1"/>
  <c r="I128" i="22"/>
  <c r="J128" s="1"/>
  <c r="K128" s="1"/>
  <c r="I102"/>
  <c r="J102" s="1"/>
  <c r="K102" s="1"/>
  <c r="I130" i="20"/>
  <c r="J130" s="1"/>
  <c r="K130" s="1"/>
  <c r="I118" i="23"/>
  <c r="J118" s="1"/>
  <c r="K118" s="1"/>
  <c r="I107" i="27"/>
  <c r="J107" s="1"/>
  <c r="K107" s="1"/>
  <c r="I104" i="26"/>
  <c r="J104" s="1"/>
  <c r="K104" s="1"/>
  <c r="L133" i="39"/>
  <c r="C145" i="32"/>
  <c r="L129" i="39"/>
  <c r="C141" i="32"/>
  <c r="I133" i="28"/>
  <c r="J133" s="1"/>
  <c r="K133" s="1"/>
  <c r="I133" i="21"/>
  <c r="J133" s="1"/>
  <c r="K133" s="1"/>
  <c r="I129"/>
  <c r="J129" s="1"/>
  <c r="K129" s="1"/>
  <c r="I129" i="26"/>
  <c r="J129" s="1"/>
  <c r="K129" s="1"/>
  <c r="I124" i="28"/>
  <c r="J124" s="1"/>
  <c r="K124" s="1"/>
  <c r="I124" i="21"/>
  <c r="J124" s="1"/>
  <c r="K124" s="1"/>
  <c r="I121" i="26"/>
  <c r="J121" s="1"/>
  <c r="K121" s="1"/>
  <c r="I117" i="22"/>
  <c r="J117" s="1"/>
  <c r="K117" s="1"/>
  <c r="I117" i="26"/>
  <c r="J117" s="1"/>
  <c r="K117" s="1"/>
  <c r="I112" i="28"/>
  <c r="J112" s="1"/>
  <c r="K112" s="1"/>
  <c r="I112" i="22"/>
  <c r="J112" s="1"/>
  <c r="K112" s="1"/>
  <c r="I101" i="23"/>
  <c r="J101" s="1"/>
  <c r="K101" s="1"/>
  <c r="I105"/>
  <c r="J105" s="1"/>
  <c r="K105" s="1"/>
  <c r="I106" i="28"/>
  <c r="J106" s="1"/>
  <c r="K106" s="1"/>
  <c r="I110" i="22"/>
  <c r="J110" s="1"/>
  <c r="K110" s="1"/>
  <c r="I126" i="20"/>
  <c r="J126" s="1"/>
  <c r="K126" s="1"/>
  <c r="I113" i="21"/>
  <c r="I113" i="26"/>
  <c r="J113" s="1"/>
  <c r="K113" s="1"/>
  <c r="I100" i="27"/>
  <c r="J100" s="1"/>
  <c r="K100" s="1"/>
  <c r="I100" i="21"/>
  <c r="J100" s="1"/>
  <c r="K100" s="1"/>
  <c r="I108" i="23"/>
  <c r="J108" s="1"/>
  <c r="K108" s="1"/>
  <c r="I108" i="20"/>
  <c r="J108" s="1"/>
  <c r="K108" s="1"/>
  <c r="I125" i="23"/>
  <c r="J125" s="1"/>
  <c r="K125" s="1"/>
  <c r="I132" i="27"/>
  <c r="J132" s="1"/>
  <c r="K132" s="1"/>
  <c r="I128" i="23"/>
  <c r="I128" i="20"/>
  <c r="J128" s="1"/>
  <c r="K128" s="1"/>
  <c r="I123" i="23"/>
  <c r="J123" s="1"/>
  <c r="K123" s="1"/>
  <c r="I120" i="27"/>
  <c r="J120" s="1"/>
  <c r="K120" s="1"/>
  <c r="I120" i="21"/>
  <c r="I116" i="27"/>
  <c r="J116" s="1"/>
  <c r="K116" s="1"/>
  <c r="I116" i="20"/>
  <c r="J116" s="1"/>
  <c r="K116" s="1"/>
  <c r="I111" i="27"/>
  <c r="I102"/>
  <c r="J102" s="1"/>
  <c r="K102" s="1"/>
  <c r="I102" i="20"/>
  <c r="J102" s="1"/>
  <c r="K102" s="1"/>
  <c r="I130" i="23"/>
  <c r="J130" s="1"/>
  <c r="K130" s="1"/>
  <c r="I130" i="22"/>
  <c r="J130" s="1"/>
  <c r="K130" s="1"/>
  <c r="I118" i="28"/>
  <c r="J118" s="1"/>
  <c r="K118" s="1"/>
  <c r="I118" i="20"/>
  <c r="J118" s="1"/>
  <c r="K118" s="1"/>
  <c r="I131" i="27"/>
  <c r="J131" s="1"/>
  <c r="K131" s="1"/>
  <c r="I127"/>
  <c r="J127" s="1"/>
  <c r="K127" s="1"/>
  <c r="I114" i="23"/>
  <c r="J114" s="1"/>
  <c r="K114" s="1"/>
  <c r="I114" i="20"/>
  <c r="J114" s="1"/>
  <c r="K114" s="1"/>
  <c r="I119" i="28"/>
  <c r="J119" s="1"/>
  <c r="K119" s="1"/>
  <c r="I119" i="22"/>
  <c r="J119" s="1"/>
  <c r="K119" s="1"/>
  <c r="I115" i="28"/>
  <c r="J115" s="1"/>
  <c r="K115" s="1"/>
  <c r="I115" i="21"/>
  <c r="J115" s="1"/>
  <c r="K115" s="1"/>
  <c r="I99" i="20"/>
  <c r="I99" i="26"/>
  <c r="I103" i="20"/>
  <c r="J103" s="1"/>
  <c r="K103" s="1"/>
  <c r="I103" i="26"/>
  <c r="J103" s="1"/>
  <c r="K103" s="1"/>
  <c r="I107" i="20"/>
  <c r="J107" s="1"/>
  <c r="K107" s="1"/>
  <c r="I107" i="26"/>
  <c r="J107" s="1"/>
  <c r="K107" s="1"/>
  <c r="I122" i="28"/>
  <c r="J122" s="1"/>
  <c r="K122" s="1"/>
  <c r="I104" i="27"/>
  <c r="J104" s="1"/>
  <c r="K104" s="1"/>
  <c r="I104" i="21"/>
  <c r="J104" s="1"/>
  <c r="K104" s="1"/>
  <c r="I123" i="27"/>
  <c r="J123" s="1"/>
  <c r="K123" s="1"/>
  <c r="L127" i="39"/>
  <c r="C139" i="32"/>
  <c r="E152" i="19"/>
  <c r="E151" i="39"/>
  <c r="E151" i="28"/>
  <c r="E151" i="23"/>
  <c r="E151" i="27"/>
  <c r="E151" i="26"/>
  <c r="E151" i="22"/>
  <c r="E151" i="32"/>
  <c r="N151" i="39" s="1"/>
  <c r="E151" i="21"/>
  <c r="E151" i="20"/>
  <c r="E151" i="33"/>
  <c r="W151" i="39" s="1"/>
  <c r="J101" i="21"/>
  <c r="K101" s="1"/>
  <c r="J109"/>
  <c r="K109" s="1"/>
  <c r="J106"/>
  <c r="K106" s="1"/>
  <c r="J102" i="23"/>
  <c r="K102" s="1"/>
  <c r="I132" i="19"/>
  <c r="J132" s="1"/>
  <c r="H132" i="39"/>
  <c r="I124" i="19"/>
  <c r="J124" s="1"/>
  <c r="H124" i="39"/>
  <c r="I130" i="19"/>
  <c r="J130" s="1"/>
  <c r="H130" i="39"/>
  <c r="I129" i="19"/>
  <c r="J129" s="1"/>
  <c r="H129" i="39"/>
  <c r="I128" i="19"/>
  <c r="J128" s="1"/>
  <c r="H128" i="39"/>
  <c r="I133" i="19"/>
  <c r="J133" s="1"/>
  <c r="H133" i="39"/>
  <c r="I126" i="19"/>
  <c r="J126" s="1"/>
  <c r="H126" i="39"/>
  <c r="I125" i="19"/>
  <c r="J125" s="1"/>
  <c r="H125" i="39"/>
  <c r="I131" i="19"/>
  <c r="J131" s="1"/>
  <c r="H131" i="39"/>
  <c r="I127" i="19"/>
  <c r="J127" s="1"/>
  <c r="H127" i="39"/>
  <c r="J124" i="27"/>
  <c r="K124" s="1"/>
  <c r="H119" i="33"/>
  <c r="J121" i="20"/>
  <c r="K121" s="1"/>
  <c r="H101" i="33"/>
  <c r="J109" i="27"/>
  <c r="K109" s="1"/>
  <c r="J106" i="20"/>
  <c r="K106" s="1"/>
  <c r="H117" i="32"/>
  <c r="H105"/>
  <c r="H120"/>
  <c r="H103" i="33"/>
  <c r="H110" i="32"/>
  <c r="H115"/>
  <c r="H106"/>
  <c r="H110" i="33"/>
  <c r="H116"/>
  <c r="H107"/>
  <c r="H120"/>
  <c r="H108"/>
  <c r="H118"/>
  <c r="H109"/>
  <c r="J121" i="21"/>
  <c r="K121" s="1"/>
  <c r="J109" i="23"/>
  <c r="K109" s="1"/>
  <c r="J110" i="27"/>
  <c r="K110" s="1"/>
  <c r="H121" i="32"/>
  <c r="H112"/>
  <c r="H109"/>
  <c r="H99" i="33"/>
  <c r="H107" i="32"/>
  <c r="H113"/>
  <c r="H100"/>
  <c r="H108"/>
  <c r="H114" i="33"/>
  <c r="H119" i="32"/>
  <c r="H126"/>
  <c r="H124" i="33"/>
  <c r="H101" i="32"/>
  <c r="H128" i="33"/>
  <c r="H126"/>
  <c r="H122" i="32"/>
  <c r="H103"/>
  <c r="J133" i="27"/>
  <c r="K133" s="1"/>
  <c r="J124" i="20"/>
  <c r="K124" s="1"/>
  <c r="J112" i="21"/>
  <c r="K112" s="1"/>
  <c r="J109" i="22"/>
  <c r="K109" s="1"/>
  <c r="J109" i="26"/>
  <c r="K109" s="1"/>
  <c r="J106" i="22"/>
  <c r="K106" s="1"/>
  <c r="J132" i="23"/>
  <c r="K132" s="1"/>
  <c r="J128" i="26"/>
  <c r="K128" s="1"/>
  <c r="J120" i="20"/>
  <c r="K120" s="1"/>
  <c r="H117" i="33"/>
  <c r="H125"/>
  <c r="H116" i="32"/>
  <c r="H121" i="33"/>
  <c r="H118" i="32"/>
  <c r="H104"/>
  <c r="H123"/>
  <c r="Q123" i="39" s="1"/>
  <c r="H102" i="33"/>
  <c r="H114" i="32"/>
  <c r="H124"/>
  <c r="H125"/>
  <c r="H128"/>
  <c r="H123" i="33"/>
  <c r="Z123" i="39" s="1"/>
  <c r="J114" i="26"/>
  <c r="K114" s="1"/>
  <c r="J114" i="22"/>
  <c r="K114" s="1"/>
  <c r="H133" i="32"/>
  <c r="H129" i="33"/>
  <c r="H131" i="32"/>
  <c r="H130"/>
  <c r="H132"/>
  <c r="J126" i="26"/>
  <c r="K126" s="1"/>
  <c r="J113" i="21"/>
  <c r="K113" s="1"/>
  <c r="J128" i="23"/>
  <c r="K128" s="1"/>
  <c r="J120" i="21"/>
  <c r="K120" s="1"/>
  <c r="J107" i="23"/>
  <c r="K107" s="1"/>
  <c r="H133" i="33"/>
  <c r="H127"/>
  <c r="H129" i="32"/>
  <c r="H112" i="33"/>
  <c r="H104"/>
  <c r="H106"/>
  <c r="H131"/>
  <c r="H99" i="32"/>
  <c r="Q99" i="39" s="1"/>
  <c r="H130" i="33"/>
  <c r="H122"/>
  <c r="H113"/>
  <c r="H105"/>
  <c r="H100"/>
  <c r="H132"/>
  <c r="H111" i="32"/>
  <c r="Q111" i="39" s="1"/>
  <c r="H102" i="32"/>
  <c r="H127"/>
  <c r="H115" i="33"/>
  <c r="L138" i="39" l="1"/>
  <c r="C150" i="32"/>
  <c r="L136" i="39"/>
  <c r="C148" i="32"/>
  <c r="L135" i="39"/>
  <c r="C147" i="32"/>
  <c r="L139" i="39"/>
  <c r="C151" i="32"/>
  <c r="L145" i="39"/>
  <c r="C157" i="32"/>
  <c r="C156"/>
  <c r="L144" i="39"/>
  <c r="L143"/>
  <c r="C155" i="32"/>
  <c r="L141" i="39"/>
  <c r="C153" i="32"/>
  <c r="L146" i="39"/>
  <c r="C158" i="32"/>
  <c r="L140" i="39"/>
  <c r="C152" i="32"/>
  <c r="I111" i="33"/>
  <c r="J111" s="1"/>
  <c r="L142" i="39"/>
  <c r="C154" i="32"/>
  <c r="L137" i="39"/>
  <c r="C149" i="32"/>
  <c r="I113" i="33"/>
  <c r="J113" s="1"/>
  <c r="Z113" i="39"/>
  <c r="I104" i="32"/>
  <c r="J104" s="1"/>
  <c r="Q104" i="39"/>
  <c r="I121" i="32"/>
  <c r="J121" s="1"/>
  <c r="Q121" i="39"/>
  <c r="I122" i="33"/>
  <c r="J122" s="1"/>
  <c r="Z122" i="39"/>
  <c r="I124" i="32"/>
  <c r="J124" s="1"/>
  <c r="Q124" i="39"/>
  <c r="I114" i="32"/>
  <c r="J114" s="1"/>
  <c r="Q114" i="39"/>
  <c r="I118" i="32"/>
  <c r="J118" s="1"/>
  <c r="Q118" i="39"/>
  <c r="I117" i="33"/>
  <c r="J117" s="1"/>
  <c r="Z117" i="39"/>
  <c r="I122" i="32"/>
  <c r="J122" s="1"/>
  <c r="Q122" i="39"/>
  <c r="I124" i="33"/>
  <c r="J124" s="1"/>
  <c r="Z124" i="39"/>
  <c r="I126" i="32"/>
  <c r="J126" s="1"/>
  <c r="Q126" i="39"/>
  <c r="I108" i="32"/>
  <c r="J108" s="1"/>
  <c r="Q108" i="39"/>
  <c r="I99" i="33"/>
  <c r="J99" s="1"/>
  <c r="Z99" i="39"/>
  <c r="I109" i="33"/>
  <c r="J109" s="1"/>
  <c r="Z109" i="39"/>
  <c r="I115" i="32"/>
  <c r="J115" s="1"/>
  <c r="Q115" i="39"/>
  <c r="I105" i="32"/>
  <c r="J105" s="1"/>
  <c r="Q105" i="39"/>
  <c r="I131" i="33"/>
  <c r="J131" s="1"/>
  <c r="Z131" i="39"/>
  <c r="I101" i="32"/>
  <c r="J101" s="1"/>
  <c r="Q101" i="39"/>
  <c r="I114" i="33"/>
  <c r="J114" s="1"/>
  <c r="Z114" i="39"/>
  <c r="I120" i="33"/>
  <c r="J120" s="1"/>
  <c r="Z120" i="39"/>
  <c r="I106" i="32"/>
  <c r="J106" s="1"/>
  <c r="Q106" i="39"/>
  <c r="I127" i="32"/>
  <c r="J127" s="1"/>
  <c r="Q127" i="39"/>
  <c r="I127" i="33"/>
  <c r="J127" s="1"/>
  <c r="Z127" i="39"/>
  <c r="I102" i="32"/>
  <c r="J102" s="1"/>
  <c r="Q102" i="39"/>
  <c r="I133" i="33"/>
  <c r="J133" s="1"/>
  <c r="Z133" i="39"/>
  <c r="I132" i="32"/>
  <c r="J132" s="1"/>
  <c r="Q132" i="39"/>
  <c r="I102" i="33"/>
  <c r="J102" s="1"/>
  <c r="Z102" i="39"/>
  <c r="I121" i="33"/>
  <c r="J121" s="1"/>
  <c r="Z121" i="39"/>
  <c r="I126" i="33"/>
  <c r="J126" s="1"/>
  <c r="Z126" i="39"/>
  <c r="I119" i="32"/>
  <c r="J119" s="1"/>
  <c r="Q119" i="39"/>
  <c r="I100" i="32"/>
  <c r="J100" s="1"/>
  <c r="Q100" i="39"/>
  <c r="I109" i="32"/>
  <c r="J109" s="1"/>
  <c r="Q109" i="39"/>
  <c r="I118" i="33"/>
  <c r="J118" s="1"/>
  <c r="Z118" i="39"/>
  <c r="I116" i="33"/>
  <c r="J116" s="1"/>
  <c r="Z116" i="39"/>
  <c r="I110" i="32"/>
  <c r="J110" s="1"/>
  <c r="Q110" i="39"/>
  <c r="I117" i="32"/>
  <c r="J117" s="1"/>
  <c r="Q117" i="39"/>
  <c r="I119" i="33"/>
  <c r="J119" s="1"/>
  <c r="Z119" i="39"/>
  <c r="I115" i="33"/>
  <c r="J115" s="1"/>
  <c r="Z115" i="39"/>
  <c r="I129" i="32"/>
  <c r="J129" s="1"/>
  <c r="Q129" i="39"/>
  <c r="I131" i="32"/>
  <c r="J131" s="1"/>
  <c r="Q131" i="39"/>
  <c r="I125" i="32"/>
  <c r="J125" s="1"/>
  <c r="Q125" i="39"/>
  <c r="I125" i="33"/>
  <c r="J125" s="1"/>
  <c r="Z125" i="39"/>
  <c r="I103" i="32"/>
  <c r="J103" s="1"/>
  <c r="Q103" i="39"/>
  <c r="I107" i="32"/>
  <c r="J107" s="1"/>
  <c r="Q107" i="39"/>
  <c r="I120" i="32"/>
  <c r="J120" s="1"/>
  <c r="Q120" i="39"/>
  <c r="I101" i="33"/>
  <c r="J101" s="1"/>
  <c r="Z101" i="39"/>
  <c r="I132" i="33"/>
  <c r="J132" s="1"/>
  <c r="Z132" i="39"/>
  <c r="I106" i="33"/>
  <c r="J106" s="1"/>
  <c r="Z106" i="39"/>
  <c r="I100" i="33"/>
  <c r="J100" s="1"/>
  <c r="Z100" i="39"/>
  <c r="I130" i="33"/>
  <c r="J130" s="1"/>
  <c r="Z130" i="39"/>
  <c r="I104" i="33"/>
  <c r="J104" s="1"/>
  <c r="Z104" i="39"/>
  <c r="I129" i="33"/>
  <c r="J129" s="1"/>
  <c r="Z129" i="39"/>
  <c r="I105" i="33"/>
  <c r="J105" s="1"/>
  <c r="Z105" i="39"/>
  <c r="I112" i="33"/>
  <c r="J112" s="1"/>
  <c r="Z112" i="39"/>
  <c r="I130" i="32"/>
  <c r="J130" s="1"/>
  <c r="Q130" i="39"/>
  <c r="I133" i="32"/>
  <c r="J133" s="1"/>
  <c r="Q133" i="39"/>
  <c r="I128" i="32"/>
  <c r="J128" s="1"/>
  <c r="Q128" i="39"/>
  <c r="I116" i="32"/>
  <c r="J116" s="1"/>
  <c r="Q116" i="39"/>
  <c r="I128" i="33"/>
  <c r="J128" s="1"/>
  <c r="Z128" i="39"/>
  <c r="I113" i="32"/>
  <c r="J113" s="1"/>
  <c r="Q113" i="39"/>
  <c r="I112" i="32"/>
  <c r="J112" s="1"/>
  <c r="Q112" i="39"/>
  <c r="I108" i="33"/>
  <c r="J108" s="1"/>
  <c r="Z108" i="39"/>
  <c r="I107" i="33"/>
  <c r="J107" s="1"/>
  <c r="Z107" i="39"/>
  <c r="I110" i="33"/>
  <c r="J110" s="1"/>
  <c r="Z110" i="39"/>
  <c r="I103" i="33"/>
  <c r="J103" s="1"/>
  <c r="Z103" i="39"/>
  <c r="E153" i="19"/>
  <c r="E152" i="39"/>
  <c r="E152" i="27"/>
  <c r="E152" i="26"/>
  <c r="E152" i="22"/>
  <c r="E152" i="28"/>
  <c r="E152" i="23"/>
  <c r="E152" i="32"/>
  <c r="N152" i="39" s="1"/>
  <c r="E152" i="20"/>
  <c r="E152" i="33"/>
  <c r="W152" i="39" s="1"/>
  <c r="E152" i="21"/>
  <c r="B20" i="30"/>
  <c r="C138" i="19" s="1"/>
  <c r="I219" i="22"/>
  <c r="J219" s="1"/>
  <c r="K219" s="1"/>
  <c r="J111" i="27"/>
  <c r="K111" s="1"/>
  <c r="I219"/>
  <c r="J219" s="1"/>
  <c r="K219" s="1"/>
  <c r="H218" i="33"/>
  <c r="M218" s="1"/>
  <c r="O218" s="1"/>
  <c r="I219" i="28"/>
  <c r="J219" s="1"/>
  <c r="K219" s="1"/>
  <c r="I219" i="20"/>
  <c r="J219" s="1"/>
  <c r="K219" s="1"/>
  <c r="J111" i="21"/>
  <c r="K111" s="1"/>
  <c r="I219"/>
  <c r="J219" s="1"/>
  <c r="K219" s="1"/>
  <c r="I123" i="33"/>
  <c r="J123" s="1"/>
  <c r="J99" i="20"/>
  <c r="K99" s="1"/>
  <c r="I218"/>
  <c r="J218" s="1"/>
  <c r="K218" s="1"/>
  <c r="J99" i="27"/>
  <c r="K99" s="1"/>
  <c r="I218"/>
  <c r="J218" s="1"/>
  <c r="K218" s="1"/>
  <c r="I123" i="32"/>
  <c r="J123" s="1"/>
  <c r="J111" i="23"/>
  <c r="K111" s="1"/>
  <c r="I219"/>
  <c r="J219" s="1"/>
  <c r="K219" s="1"/>
  <c r="J99"/>
  <c r="K99" s="1"/>
  <c r="I218"/>
  <c r="J218" s="1"/>
  <c r="K218" s="1"/>
  <c r="I218" i="28"/>
  <c r="J218" s="1"/>
  <c r="K218" s="1"/>
  <c r="J111" i="26"/>
  <c r="K111" s="1"/>
  <c r="I219"/>
  <c r="J219" s="1"/>
  <c r="K219" s="1"/>
  <c r="I111" i="32"/>
  <c r="J111" s="1"/>
  <c r="H219"/>
  <c r="M219" s="1"/>
  <c r="O219" s="1"/>
  <c r="I99"/>
  <c r="J99" s="1"/>
  <c r="H218"/>
  <c r="M218" s="1"/>
  <c r="O218" s="1"/>
  <c r="J99" i="22"/>
  <c r="K99" s="1"/>
  <c r="I218"/>
  <c r="J218" s="1"/>
  <c r="K218" s="1"/>
  <c r="H219" i="33"/>
  <c r="M219" s="1"/>
  <c r="O219" s="1"/>
  <c r="I218" i="21"/>
  <c r="J218" s="1"/>
  <c r="K218" s="1"/>
  <c r="J99" i="26"/>
  <c r="K99" s="1"/>
  <c r="I218"/>
  <c r="J218" s="1"/>
  <c r="K218" s="1"/>
  <c r="Q219" i="33" l="1"/>
  <c r="F35" i="34" s="1"/>
  <c r="F77"/>
  <c r="Q218" i="33"/>
  <c r="F34" i="34" s="1"/>
  <c r="F76"/>
  <c r="Q218" i="32"/>
  <c r="E34" i="34" s="1"/>
  <c r="E76"/>
  <c r="Q219" i="32"/>
  <c r="E35" i="34" s="1"/>
  <c r="E77"/>
  <c r="L152" i="39"/>
  <c r="C164" i="32"/>
  <c r="C165"/>
  <c r="L153" i="39"/>
  <c r="L148"/>
  <c r="C160" i="32"/>
  <c r="L154" i="39"/>
  <c r="C166" i="32"/>
  <c r="L156" i="39"/>
  <c r="C168" i="32"/>
  <c r="L158" i="39"/>
  <c r="C170" i="32"/>
  <c r="L155" i="39"/>
  <c r="C167" i="32"/>
  <c r="L157" i="39"/>
  <c r="C169" i="32"/>
  <c r="L147" i="39"/>
  <c r="C159" i="32"/>
  <c r="L150" i="39"/>
  <c r="C162" i="32"/>
  <c r="L151" i="39"/>
  <c r="C163" i="32"/>
  <c r="L149" i="39"/>
  <c r="C161" i="32"/>
  <c r="E154" i="19"/>
  <c r="E153" i="39"/>
  <c r="E153" i="27"/>
  <c r="E153" i="26"/>
  <c r="E153" i="28"/>
  <c r="E153" i="23"/>
  <c r="E153" i="22"/>
  <c r="E153" i="32"/>
  <c r="N153" i="39" s="1"/>
  <c r="E153" i="21"/>
  <c r="E153" i="20"/>
  <c r="E153" i="33"/>
  <c r="W153" i="39" s="1"/>
  <c r="C140" i="19"/>
  <c r="C140" i="39" s="1"/>
  <c r="C146" i="33"/>
  <c r="U146" i="39" s="1"/>
  <c r="C138" i="20"/>
  <c r="C138" i="39"/>
  <c r="C141" i="19"/>
  <c r="C141" i="39" s="1"/>
  <c r="C134" i="20"/>
  <c r="C142" i="19"/>
  <c r="C142" i="39" s="1"/>
  <c r="C143" i="19"/>
  <c r="C143" i="39" s="1"/>
  <c r="C146" i="19"/>
  <c r="C146" i="39" s="1"/>
  <c r="C145" i="19"/>
  <c r="C145" i="22" s="1"/>
  <c r="C139" i="19"/>
  <c r="C139" i="39" s="1"/>
  <c r="C137" i="19"/>
  <c r="C137" i="39" s="1"/>
  <c r="C136" i="19"/>
  <c r="C136" i="22" s="1"/>
  <c r="C135" i="19"/>
  <c r="C135" i="39" s="1"/>
  <c r="C144" i="19"/>
  <c r="C144" i="39" s="1"/>
  <c r="C138" i="21"/>
  <c r="C138" i="28"/>
  <c r="C138" i="22"/>
  <c r="C138" i="26"/>
  <c r="C138" i="23"/>
  <c r="C138" i="27"/>
  <c r="I219" i="33"/>
  <c r="J219" s="1"/>
  <c r="I218" i="32"/>
  <c r="J218" s="1"/>
  <c r="I219"/>
  <c r="J219" s="1"/>
  <c r="I218" i="33"/>
  <c r="J218" s="1"/>
  <c r="L162" i="39" l="1"/>
  <c r="C174" i="32"/>
  <c r="L166" i="39"/>
  <c r="C178" i="32"/>
  <c r="L163" i="39"/>
  <c r="C175" i="32"/>
  <c r="L159" i="39"/>
  <c r="C171" i="32"/>
  <c r="L167" i="39"/>
  <c r="C179" i="32"/>
  <c r="L168" i="39"/>
  <c r="C180" i="32"/>
  <c r="L160" i="39"/>
  <c r="C172" i="32"/>
  <c r="L164" i="39"/>
  <c r="C176" i="32"/>
  <c r="L161" i="39"/>
  <c r="C173" i="32"/>
  <c r="L169" i="39"/>
  <c r="C181" i="32"/>
  <c r="L170" i="39"/>
  <c r="C182" i="32"/>
  <c r="L165" i="39"/>
  <c r="C177" i="32"/>
  <c r="E155" i="19"/>
  <c r="E154" i="39"/>
  <c r="E154" i="28"/>
  <c r="E154" i="23"/>
  <c r="E154" i="27"/>
  <c r="E154" i="22"/>
  <c r="E154" i="26"/>
  <c r="E154" i="32"/>
  <c r="N154" i="39" s="1"/>
  <c r="E154" i="20"/>
  <c r="E154" i="33"/>
  <c r="W154" i="39" s="1"/>
  <c r="E154" i="21"/>
  <c r="C139" i="33"/>
  <c r="U139" i="39" s="1"/>
  <c r="C135" i="33"/>
  <c r="U135" i="39" s="1"/>
  <c r="C142" i="22"/>
  <c r="C143" i="33"/>
  <c r="U143" i="39" s="1"/>
  <c r="C140" i="26"/>
  <c r="C140" i="23"/>
  <c r="C141" i="27"/>
  <c r="C135" i="22"/>
  <c r="C140" i="21"/>
  <c r="C141" i="23"/>
  <c r="C139"/>
  <c r="C135"/>
  <c r="C135" i="21"/>
  <c r="C141" i="22"/>
  <c r="C139" i="20"/>
  <c r="C137" i="33"/>
  <c r="U137" i="39" s="1"/>
  <c r="C137" i="27"/>
  <c r="C142" i="33"/>
  <c r="U142" i="39" s="1"/>
  <c r="C141" i="33"/>
  <c r="U141" i="39" s="1"/>
  <c r="C140" i="28"/>
  <c r="C140" i="27"/>
  <c r="C137" i="20"/>
  <c r="C141" i="28"/>
  <c r="C143" i="26"/>
  <c r="C139" i="28"/>
  <c r="C145" i="33"/>
  <c r="U145" i="39" s="1"/>
  <c r="C144" i="33"/>
  <c r="U144" i="39" s="1"/>
  <c r="C140" i="22"/>
  <c r="C140" i="20"/>
  <c r="C142" i="28"/>
  <c r="C137" i="26"/>
  <c r="C141" i="21"/>
  <c r="C139" i="22"/>
  <c r="C139" i="21"/>
  <c r="C135" i="20"/>
  <c r="C140" i="33"/>
  <c r="U140" i="39" s="1"/>
  <c r="C136" i="33"/>
  <c r="U136" i="39" s="1"/>
  <c r="C138" i="33"/>
  <c r="U138" i="39" s="1"/>
  <c r="C156" i="19"/>
  <c r="C156" i="39" s="1"/>
  <c r="C158" i="19"/>
  <c r="C158" i="28" s="1"/>
  <c r="C136" i="23"/>
  <c r="C142"/>
  <c r="C143" i="21"/>
  <c r="C142" i="20"/>
  <c r="C142" i="27"/>
  <c r="C137" i="28"/>
  <c r="C137" i="23"/>
  <c r="C143" i="20"/>
  <c r="C143" i="22"/>
  <c r="C143" i="27"/>
  <c r="C157" i="19"/>
  <c r="C157" i="22" s="1"/>
  <c r="C146" i="21"/>
  <c r="C142" i="26"/>
  <c r="C142" i="21"/>
  <c r="C137" i="22"/>
  <c r="C137" i="21"/>
  <c r="C141" i="26"/>
  <c r="C141" i="20"/>
  <c r="C143" i="23"/>
  <c r="C139" i="27"/>
  <c r="C139" i="26"/>
  <c r="C135"/>
  <c r="C143" i="28"/>
  <c r="C155" i="19"/>
  <c r="C155" i="26" s="1"/>
  <c r="C146" i="27"/>
  <c r="C150" i="19"/>
  <c r="C136" i="39"/>
  <c r="C145" i="27"/>
  <c r="C145" i="39"/>
  <c r="C144" i="28"/>
  <c r="C136" i="20"/>
  <c r="C149" i="19"/>
  <c r="C149" i="39" s="1"/>
  <c r="C146" i="20"/>
  <c r="C146" i="28"/>
  <c r="C136" i="26"/>
  <c r="C136" i="21"/>
  <c r="C145"/>
  <c r="C148" i="19"/>
  <c r="C148" i="26" s="1"/>
  <c r="C152" i="19"/>
  <c r="C152" i="23" s="1"/>
  <c r="C146" i="22"/>
  <c r="C145" i="28"/>
  <c r="C144" i="22"/>
  <c r="C144" i="20"/>
  <c r="C144" i="27"/>
  <c r="C144" i="21"/>
  <c r="C144" i="26"/>
  <c r="C144" i="23"/>
  <c r="C136" i="27"/>
  <c r="C153" i="19"/>
  <c r="C153" i="20" s="1"/>
  <c r="C145" i="26"/>
  <c r="C154" i="19"/>
  <c r="C154" i="39" s="1"/>
  <c r="C147" i="19"/>
  <c r="C147" i="27" s="1"/>
  <c r="C151" i="19"/>
  <c r="C136" i="28"/>
  <c r="C145" i="23"/>
  <c r="C146"/>
  <c r="C146" i="26"/>
  <c r="C145" i="20"/>
  <c r="C135" i="28"/>
  <c r="C135" i="27"/>
  <c r="L177" i="39" l="1"/>
  <c r="C189" i="32"/>
  <c r="L176" i="39"/>
  <c r="C188" i="32"/>
  <c r="L171" i="39"/>
  <c r="C183" i="32"/>
  <c r="C194"/>
  <c r="L182" i="39"/>
  <c r="L173"/>
  <c r="C185" i="32"/>
  <c r="L172" i="39"/>
  <c r="C184" i="32"/>
  <c r="L179" i="39"/>
  <c r="C191" i="32"/>
  <c r="L175" i="39"/>
  <c r="C187" i="32"/>
  <c r="C186"/>
  <c r="L174" i="39"/>
  <c r="L181"/>
  <c r="C193" i="32"/>
  <c r="L180" i="39"/>
  <c r="C192" i="32"/>
  <c r="L178" i="39"/>
  <c r="C190" i="32"/>
  <c r="E156" i="19"/>
  <c r="E155" i="39"/>
  <c r="E155" i="28"/>
  <c r="E155" i="23"/>
  <c r="E155" i="27"/>
  <c r="E155" i="26"/>
  <c r="E155" i="22"/>
  <c r="E155" i="32"/>
  <c r="N155" i="39" s="1"/>
  <c r="E155" i="33"/>
  <c r="W155" i="39" s="1"/>
  <c r="E155" i="21"/>
  <c r="E155" i="20"/>
  <c r="C158" i="39"/>
  <c r="C156" i="33"/>
  <c r="U156" i="39" s="1"/>
  <c r="C148" i="23"/>
  <c r="C152" i="33"/>
  <c r="U152" i="39" s="1"/>
  <c r="C157" i="28"/>
  <c r="C155"/>
  <c r="C154" i="33"/>
  <c r="U154" i="39" s="1"/>
  <c r="C157" i="27"/>
  <c r="C157" i="21"/>
  <c r="C156"/>
  <c r="C148"/>
  <c r="C148" i="28"/>
  <c r="C155" i="23"/>
  <c r="C153" i="33"/>
  <c r="U153" i="39" s="1"/>
  <c r="C156" i="22"/>
  <c r="C158"/>
  <c r="C157" i="23"/>
  <c r="C150" i="33"/>
  <c r="U150" i="39" s="1"/>
  <c r="C157" i="33"/>
  <c r="U157" i="39" s="1"/>
  <c r="C147" i="33"/>
  <c r="U147" i="39" s="1"/>
  <c r="C157" i="26"/>
  <c r="C155" i="33"/>
  <c r="U155" i="39" s="1"/>
  <c r="C162" i="19"/>
  <c r="C162" i="39" s="1"/>
  <c r="C148" i="33"/>
  <c r="U148" i="39" s="1"/>
  <c r="C153" i="21"/>
  <c r="C151" i="33"/>
  <c r="U151" i="39" s="1"/>
  <c r="C153" i="28"/>
  <c r="C149" i="33"/>
  <c r="U149" i="39" s="1"/>
  <c r="C158" i="33"/>
  <c r="U158" i="39" s="1"/>
  <c r="C158" i="23"/>
  <c r="C150" i="21"/>
  <c r="C150" i="27"/>
  <c r="C158" i="20"/>
  <c r="C147" i="26"/>
  <c r="C158" i="21"/>
  <c r="C158" i="26"/>
  <c r="C156"/>
  <c r="C156" i="20"/>
  <c r="C150" i="23"/>
  <c r="C147" i="28"/>
  <c r="C147" i="20"/>
  <c r="C150" i="22"/>
  <c r="C158" i="27"/>
  <c r="C156"/>
  <c r="C156" i="23"/>
  <c r="C147" i="22"/>
  <c r="C147" i="23"/>
  <c r="C155" i="27"/>
  <c r="C156" i="28"/>
  <c r="C155" i="22"/>
  <c r="C162" i="23"/>
  <c r="C150" i="20"/>
  <c r="C150" i="39"/>
  <c r="C150" i="28"/>
  <c r="C167" i="19"/>
  <c r="C167" i="28" s="1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/>
  <c r="C154" i="27"/>
  <c r="C150" i="26"/>
  <c r="C151" i="23"/>
  <c r="C147" i="21"/>
  <c r="C147" i="39"/>
  <c r="C155" i="21"/>
  <c r="C155" i="39"/>
  <c r="C155" i="20"/>
  <c r="C165" i="19"/>
  <c r="C165" i="20" s="1"/>
  <c r="C166" i="19"/>
  <c r="C166" i="26" s="1"/>
  <c r="C153" i="23"/>
  <c r="C153" i="27"/>
  <c r="C169" i="19"/>
  <c r="C169" i="27" s="1"/>
  <c r="C152" i="26"/>
  <c r="C151" i="22"/>
  <c r="C152"/>
  <c r="C148"/>
  <c r="C151" i="28"/>
  <c r="C159" i="19"/>
  <c r="C159" i="20" s="1"/>
  <c r="C151"/>
  <c r="C161" i="19"/>
  <c r="C161" i="22" s="1"/>
  <c r="C160" i="19"/>
  <c r="C160" i="26" s="1"/>
  <c r="C163" i="19"/>
  <c r="C163" i="20" s="1"/>
  <c r="C164" i="19"/>
  <c r="C164" i="28" s="1"/>
  <c r="C151" i="27"/>
  <c r="C168" i="19"/>
  <c r="C168" i="28" s="1"/>
  <c r="C170" i="19"/>
  <c r="C170" i="22" s="1"/>
  <c r="C153"/>
  <c r="C148" i="20"/>
  <c r="C152" i="21"/>
  <c r="C151"/>
  <c r="C152" i="28"/>
  <c r="C152" i="27"/>
  <c r="C154" i="20"/>
  <c r="C154" i="28"/>
  <c r="C149" i="23"/>
  <c r="C149" i="26"/>
  <c r="C160" i="21"/>
  <c r="L193" i="39" l="1"/>
  <c r="C205" i="32"/>
  <c r="L205" i="39" s="1"/>
  <c r="C196" i="32"/>
  <c r="L196" i="39" s="1"/>
  <c r="L184"/>
  <c r="L194"/>
  <c r="C206" i="32"/>
  <c r="L206" i="39" s="1"/>
  <c r="C204" i="32"/>
  <c r="L204" i="39" s="1"/>
  <c r="L192"/>
  <c r="C203" i="32"/>
  <c r="L203" i="39" s="1"/>
  <c r="L191"/>
  <c r="L185"/>
  <c r="C197" i="32"/>
  <c r="L197" i="39" s="1"/>
  <c r="L183"/>
  <c r="C195" i="32"/>
  <c r="L195" i="39" s="1"/>
  <c r="C201" i="32"/>
  <c r="L201" i="39" s="1"/>
  <c r="L189"/>
  <c r="L190"/>
  <c r="C202" i="32"/>
  <c r="L202" i="39" s="1"/>
  <c r="C199" i="32"/>
  <c r="L199" i="39" s="1"/>
  <c r="L187"/>
  <c r="C200" i="32"/>
  <c r="L200" i="39" s="1"/>
  <c r="L188"/>
  <c r="L186"/>
  <c r="C198" i="32"/>
  <c r="L198" i="39" s="1"/>
  <c r="E157" i="19"/>
  <c r="E156" i="39"/>
  <c r="E156" i="27"/>
  <c r="E156" i="22"/>
  <c r="E156" i="28"/>
  <c r="E156" i="23"/>
  <c r="E156" i="26"/>
  <c r="E156" i="32"/>
  <c r="N156" i="39" s="1"/>
  <c r="E156" i="21"/>
  <c r="E156" i="33"/>
  <c r="W156" i="39" s="1"/>
  <c r="E156" i="20"/>
  <c r="C162"/>
  <c r="C162" i="27"/>
  <c r="C166" i="22"/>
  <c r="C164"/>
  <c r="C159" i="27"/>
  <c r="C162" i="26"/>
  <c r="C166" i="20"/>
  <c r="C160" i="22"/>
  <c r="C162" i="21"/>
  <c r="C163" i="26"/>
  <c r="C167" i="27"/>
  <c r="C170" i="33"/>
  <c r="U170" i="39" s="1"/>
  <c r="C161" i="33"/>
  <c r="U161" i="39" s="1"/>
  <c r="C163" i="33"/>
  <c r="U163" i="39" s="1"/>
  <c r="C165" i="33"/>
  <c r="U165" i="39" s="1"/>
  <c r="C162" i="22"/>
  <c r="C168" i="27"/>
  <c r="C162" i="28"/>
  <c r="C168" i="33"/>
  <c r="U168" i="39" s="1"/>
  <c r="C166" i="33"/>
  <c r="U166" i="39" s="1"/>
  <c r="C162" i="33"/>
  <c r="U162" i="39" s="1"/>
  <c r="C164" i="33"/>
  <c r="U164" i="39" s="1"/>
  <c r="C168" i="23"/>
  <c r="C163" i="28"/>
  <c r="C163" i="27"/>
  <c r="C160" i="33"/>
  <c r="U160" i="39" s="1"/>
  <c r="C168" i="21"/>
  <c r="C163" i="22"/>
  <c r="C163" i="21"/>
  <c r="C159" i="23"/>
  <c r="C169" i="33"/>
  <c r="U169" i="39" s="1"/>
  <c r="C167" i="33"/>
  <c r="U167" i="39" s="1"/>
  <c r="C160" i="23"/>
  <c r="C180" i="19"/>
  <c r="C180" i="21" s="1"/>
  <c r="C159" i="33"/>
  <c r="U159" i="39" s="1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/>
  <c r="C171" i="26" s="1"/>
  <c r="C165" i="21"/>
  <c r="C179" i="19"/>
  <c r="C179" i="28" s="1"/>
  <c r="C182" i="19"/>
  <c r="C182" i="28" s="1"/>
  <c r="C161" i="23"/>
  <c r="C165" i="27"/>
  <c r="C169" i="28"/>
  <c r="C165"/>
  <c r="C164" i="20"/>
  <c r="C161"/>
  <c r="C170"/>
  <c r="C169" i="23"/>
  <c r="C169" i="21"/>
  <c r="C161"/>
  <c r="C165" i="26"/>
  <c r="C169" i="20"/>
  <c r="C161" i="28"/>
  <c r="C181" i="19"/>
  <c r="C181" i="26" s="1"/>
  <c r="C174" i="19"/>
  <c r="C174" i="28" s="1"/>
  <c r="C177" i="19"/>
  <c r="C173"/>
  <c r="C173" i="28" s="1"/>
  <c r="C170" i="23"/>
  <c r="C161" i="26"/>
  <c r="C176" i="19"/>
  <c r="C176" i="23" s="1"/>
  <c r="C172" i="19"/>
  <c r="C172" i="39" s="1"/>
  <c r="C165" i="22"/>
  <c r="C170" i="27"/>
  <c r="C172" i="20" l="1"/>
  <c r="E158" i="19"/>
  <c r="E157" i="39"/>
  <c r="E157" i="27"/>
  <c r="E157" i="26"/>
  <c r="E157" i="28"/>
  <c r="E157" i="23"/>
  <c r="E157" i="22"/>
  <c r="E157" i="32"/>
  <c r="N157" i="39" s="1"/>
  <c r="E157" i="21"/>
  <c r="E157" i="33"/>
  <c r="W157" i="39" s="1"/>
  <c r="E157" i="20"/>
  <c r="C178"/>
  <c r="C180" i="28"/>
  <c r="C178" i="23"/>
  <c r="C178" i="21"/>
  <c r="C179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C172" i="33"/>
  <c r="U172" i="39" s="1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C173" i="33"/>
  <c r="U173" i="39" s="1"/>
  <c r="C172" i="22"/>
  <c r="C181" i="21"/>
  <c r="C171" i="33"/>
  <c r="U171" i="39" s="1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/>
  <c r="C183" i="19"/>
  <c r="C183" i="28" s="1"/>
  <c r="C182" i="27"/>
  <c r="C175" i="28"/>
  <c r="C177" i="27"/>
  <c r="C176"/>
  <c r="C174" i="23"/>
  <c r="C182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/>
  <c r="C172" i="21"/>
  <c r="C172" i="23"/>
  <c r="H80" i="9"/>
  <c r="C185" i="20" l="1"/>
  <c r="C186" i="27"/>
  <c r="E159" i="19"/>
  <c r="E158" i="39"/>
  <c r="E158" i="28"/>
  <c r="E158" i="23"/>
  <c r="E158" i="27"/>
  <c r="E158" i="26"/>
  <c r="E158" i="22"/>
  <c r="E158" i="32"/>
  <c r="N158" i="39" s="1"/>
  <c r="E158" i="33"/>
  <c r="W158" i="39" s="1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/>
  <c r="C183" i="23"/>
  <c r="C187" i="28"/>
  <c r="C188" i="20"/>
  <c r="C187" i="23"/>
  <c r="C191" i="21"/>
  <c r="C184" i="20"/>
  <c r="C183" i="21"/>
  <c r="C187" i="20"/>
  <c r="C191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60" i="19"/>
  <c r="E159" i="39"/>
  <c r="E159" i="28"/>
  <c r="E159" i="23"/>
  <c r="E159" i="27"/>
  <c r="E159" i="26"/>
  <c r="E159" i="22"/>
  <c r="E159" i="32"/>
  <c r="N159" i="39" s="1"/>
  <c r="E159" i="20"/>
  <c r="E159" i="33"/>
  <c r="W159" i="39" s="1"/>
  <c r="E159" i="21"/>
  <c r="C200" i="33"/>
  <c r="U200" i="39" s="1"/>
  <c r="C202" i="27"/>
  <c r="C195" i="26"/>
  <c r="C195" i="28"/>
  <c r="C197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/>
  <c r="C198" i="28"/>
  <c r="C202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/>
  <c r="C205" i="26"/>
  <c r="C203"/>
  <c r="C201"/>
  <c r="C199" i="23"/>
  <c r="C199" i="39"/>
  <c r="C196" i="20"/>
  <c r="C196" i="39"/>
  <c r="C198" i="22"/>
  <c r="C198" i="39"/>
  <c r="C199" i="21"/>
  <c r="C199" i="27"/>
  <c r="C199" i="28"/>
  <c r="C199" i="22"/>
  <c r="C199" i="20"/>
  <c r="C206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1" i="19" l="1"/>
  <c r="E160" i="39"/>
  <c r="E160" i="27"/>
  <c r="E160" i="28"/>
  <c r="E160" i="23"/>
  <c r="E160" i="26"/>
  <c r="E160" i="22"/>
  <c r="E160" i="32"/>
  <c r="N160" i="39" s="1"/>
  <c r="E160" i="20"/>
  <c r="E160" i="33"/>
  <c r="W160" i="39" s="1"/>
  <c r="E160" i="21"/>
  <c r="E162" i="19" l="1"/>
  <c r="E161" i="39"/>
  <c r="E161" i="27"/>
  <c r="E161" i="26"/>
  <c r="E161" i="28"/>
  <c r="E161" i="23"/>
  <c r="E161" i="22"/>
  <c r="E161" i="32"/>
  <c r="N161" i="39" s="1"/>
  <c r="E161" i="33"/>
  <c r="W161" i="39" s="1"/>
  <c r="E161" i="21"/>
  <c r="E161" i="20"/>
  <c r="E163" i="19" l="1"/>
  <c r="E162" i="39"/>
  <c r="E162" i="28"/>
  <c r="E162" i="23"/>
  <c r="E162" i="27"/>
  <c r="E162" i="26"/>
  <c r="E162" i="22"/>
  <c r="E162" i="32"/>
  <c r="N162" i="39" s="1"/>
  <c r="E162" i="21"/>
  <c r="E162" i="33"/>
  <c r="W162" i="39" s="1"/>
  <c r="E162" i="20"/>
  <c r="E164" i="19" l="1"/>
  <c r="E163" i="39"/>
  <c r="E163" i="28"/>
  <c r="E163" i="23"/>
  <c r="E163" i="27"/>
  <c r="E163" i="26"/>
  <c r="E163" i="22"/>
  <c r="E163" i="32"/>
  <c r="N163" i="39" s="1"/>
  <c r="E163" i="33"/>
  <c r="W163" i="39" s="1"/>
  <c r="E163" i="21"/>
  <c r="E163" i="20"/>
  <c r="E165" i="19" l="1"/>
  <c r="E164" i="39"/>
  <c r="E164" i="27"/>
  <c r="E164" i="22"/>
  <c r="E164" i="23"/>
  <c r="E164" i="26"/>
  <c r="E164" i="28"/>
  <c r="E164" i="32"/>
  <c r="N164" i="39" s="1"/>
  <c r="E164" i="20"/>
  <c r="E164" i="33"/>
  <c r="W164" i="39" s="1"/>
  <c r="E164" i="21"/>
  <c r="E166" i="19" l="1"/>
  <c r="E165" i="39"/>
  <c r="E165" i="27"/>
  <c r="E165" i="26"/>
  <c r="E165" i="28"/>
  <c r="E165" i="23"/>
  <c r="E165" i="22"/>
  <c r="E165" i="32"/>
  <c r="N165" i="39" s="1"/>
  <c r="E165" i="33"/>
  <c r="W165" i="39" s="1"/>
  <c r="E165" i="20"/>
  <c r="E165" i="21"/>
  <c r="E167" i="19" l="1"/>
  <c r="E166" i="39"/>
  <c r="E166" i="28"/>
  <c r="E166" i="23"/>
  <c r="E166" i="26"/>
  <c r="E166" i="22"/>
  <c r="E166" i="27"/>
  <c r="E166" i="32"/>
  <c r="N166" i="39" s="1"/>
  <c r="E166" i="21"/>
  <c r="E166" i="20"/>
  <c r="E166" i="33"/>
  <c r="W166" i="39" s="1"/>
  <c r="E168" i="19" l="1"/>
  <c r="E167" i="39"/>
  <c r="E167" i="28"/>
  <c r="E167" i="23"/>
  <c r="E167" i="27"/>
  <c r="E167" i="26"/>
  <c r="E167" i="22"/>
  <c r="E167" i="32"/>
  <c r="N167" i="39" s="1"/>
  <c r="E167" i="21"/>
  <c r="E167" i="33"/>
  <c r="W167" i="39" s="1"/>
  <c r="E167" i="20"/>
  <c r="E169" i="19" l="1"/>
  <c r="E168" i="39"/>
  <c r="E168" i="27"/>
  <c r="E168" i="26"/>
  <c r="E168" i="22"/>
  <c r="E168" i="28"/>
  <c r="E168" i="23"/>
  <c r="E168" i="32"/>
  <c r="N168" i="39" s="1"/>
  <c r="E168" i="33"/>
  <c r="W168" i="39" s="1"/>
  <c r="E168" i="21"/>
  <c r="E168" i="20"/>
  <c r="E170" i="19" l="1"/>
  <c r="E169" i="39"/>
  <c r="E169" i="27"/>
  <c r="E169" i="26"/>
  <c r="E169" i="28"/>
  <c r="E169" i="23"/>
  <c r="E169" i="22"/>
  <c r="E169" i="32"/>
  <c r="N169" i="39" s="1"/>
  <c r="E169" i="33"/>
  <c r="W169" i="39" s="1"/>
  <c r="E169" i="21"/>
  <c r="E169" i="20"/>
  <c r="E171" i="19" l="1"/>
  <c r="E170" i="39"/>
  <c r="E170" i="28"/>
  <c r="E170" i="23"/>
  <c r="E170" i="27"/>
  <c r="E170" i="22"/>
  <c r="E170" i="26"/>
  <c r="E170" i="32"/>
  <c r="N170" i="39" s="1"/>
  <c r="E170" i="20"/>
  <c r="E170" i="33"/>
  <c r="W170" i="39" s="1"/>
  <c r="E170" i="21"/>
  <c r="E172" i="19" l="1"/>
  <c r="E171" i="39"/>
  <c r="E171" i="28"/>
  <c r="E171" i="23"/>
  <c r="E171" i="27"/>
  <c r="E171" i="26"/>
  <c r="E171" i="22"/>
  <c r="E171" i="32"/>
  <c r="N171" i="39" s="1"/>
  <c r="E171" i="21"/>
  <c r="E171" i="33"/>
  <c r="W171" i="39" s="1"/>
  <c r="E171" i="20"/>
  <c r="E173" i="19" l="1"/>
  <c r="E172" i="39"/>
  <c r="E172" i="27"/>
  <c r="E172" i="22"/>
  <c r="E172" i="28"/>
  <c r="E172" i="23"/>
  <c r="E172" i="26"/>
  <c r="E172" i="32"/>
  <c r="N172" i="39" s="1"/>
  <c r="E172" i="20"/>
  <c r="E172" i="33"/>
  <c r="W172" i="39" s="1"/>
  <c r="E172" i="21"/>
  <c r="E174" i="19" l="1"/>
  <c r="E173" i="39"/>
  <c r="E173" i="27"/>
  <c r="E173" i="26"/>
  <c r="E173" i="28"/>
  <c r="E173" i="23"/>
  <c r="E173" i="22"/>
  <c r="E173" i="32"/>
  <c r="N173" i="39" s="1"/>
  <c r="E173" i="21"/>
  <c r="E173" i="20"/>
  <c r="E173" i="33"/>
  <c r="W173" i="39" s="1"/>
  <c r="E175" i="19" l="1"/>
  <c r="E174" i="39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6" i="19" l="1"/>
  <c r="E175" i="39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7" i="19" l="1"/>
  <c r="E176" i="39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8" i="19" l="1"/>
  <c r="E177" i="39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9" i="19" l="1"/>
  <c r="E178" i="39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/>
  <c r="V56"/>
  <c r="V7"/>
  <c r="E180" i="19" l="1"/>
  <c r="E179" i="39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s="1"/>
  <c r="V51"/>
  <c r="V61" s="1"/>
  <c r="V63"/>
  <c r="E181" i="19" l="1"/>
  <c r="E180" i="39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2" i="19" l="1"/>
  <c r="E181" i="39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s="1"/>
  <c r="H210"/>
  <c r="M210" s="1"/>
  <c r="O210" s="1"/>
  <c r="Q210" l="1"/>
  <c r="E26" i="34" s="1"/>
  <c r="E68"/>
  <c r="E183" i="19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s="1"/>
  <c r="H210" i="19"/>
  <c r="C7" i="9" s="1"/>
  <c r="H211" i="19"/>
  <c r="C8" i="9" s="1"/>
  <c r="H212" i="19"/>
  <c r="C9" i="9" s="1"/>
  <c r="H213" i="19"/>
  <c r="C10" i="9" s="1"/>
  <c r="H214" i="19"/>
  <c r="C11" i="9" s="1"/>
  <c r="H215" i="19"/>
  <c r="C12" i="9" s="1"/>
  <c r="H216" i="19"/>
  <c r="C13" i="9" s="1"/>
  <c r="H217" i="19"/>
  <c r="C14" i="9" s="1"/>
  <c r="M217" i="19" l="1"/>
  <c r="M216"/>
  <c r="M214"/>
  <c r="M210"/>
  <c r="M213"/>
  <c r="M212"/>
  <c r="M215"/>
  <c r="M211"/>
  <c r="E184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/>
  <c r="G8"/>
  <c r="G7"/>
  <c r="G6"/>
  <c r="G5"/>
  <c r="G4"/>
  <c r="G3"/>
  <c r="G2"/>
  <c r="O211" i="19" l="1"/>
  <c r="O212"/>
  <c r="O210"/>
  <c r="O216"/>
  <c r="O215"/>
  <c r="O213"/>
  <c r="O214"/>
  <c r="O217"/>
  <c r="F308" i="37"/>
  <c r="E185" i="19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D52" i="34" l="1"/>
  <c r="Q213" i="19"/>
  <c r="D10" i="34" s="1"/>
  <c r="E6" i="38" s="1"/>
  <c r="D49" i="34"/>
  <c r="Q210" i="19"/>
  <c r="D7" i="34" s="1"/>
  <c r="B6" i="38" s="1"/>
  <c r="D53" i="34"/>
  <c r="Q214" i="19"/>
  <c r="D11" i="34" s="1"/>
  <c r="F6" i="38" s="1"/>
  <c r="F6" i="11" s="1"/>
  <c r="D54" i="34"/>
  <c r="Q215" i="19"/>
  <c r="D12" i="34" s="1"/>
  <c r="G6" i="38" s="1"/>
  <c r="D55" i="34"/>
  <c r="Q216" i="19"/>
  <c r="D13" i="34" s="1"/>
  <c r="H6" i="38" s="1"/>
  <c r="H6" i="11" s="1"/>
  <c r="D51" i="34"/>
  <c r="Q212" i="19"/>
  <c r="D9" i="34" s="1"/>
  <c r="D6" i="38" s="1"/>
  <c r="D6" i="11" s="1"/>
  <c r="D56" i="34"/>
  <c r="Q217" i="19"/>
  <c r="D14" i="34" s="1"/>
  <c r="I6" i="38" s="1"/>
  <c r="D50" i="34"/>
  <c r="Q211" i="19"/>
  <c r="D8" i="34" s="1"/>
  <c r="C6" i="38" s="1"/>
  <c r="C6" i="11" s="1"/>
  <c r="E186" i="19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E69" i="38"/>
  <c r="D26" i="34"/>
  <c r="E6" i="11"/>
  <c r="D32" i="34" l="1"/>
  <c r="D29"/>
  <c r="D27"/>
  <c r="D33"/>
  <c r="D30"/>
  <c r="D28"/>
  <c r="D31"/>
  <c r="D70"/>
  <c r="D73"/>
  <c r="D69"/>
  <c r="D75"/>
  <c r="D74"/>
  <c r="D72"/>
  <c r="D68"/>
  <c r="D71"/>
  <c r="I6" i="11"/>
  <c r="F69" i="38"/>
  <c r="G6" i="11"/>
  <c r="D69" i="38"/>
  <c r="E187" i="19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B6" i="11"/>
  <c r="E188" i="19" l="1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E189" i="19" l="1"/>
  <c r="E188" i="39"/>
  <c r="E188" i="27"/>
  <c r="E188" i="22"/>
  <c r="E188" i="28"/>
  <c r="E188" i="23"/>
  <c r="E188" i="26"/>
  <c r="E188" i="32"/>
  <c r="N188" i="39" s="1"/>
  <c r="E188" i="20"/>
  <c r="E188" i="21"/>
  <c r="E188" i="33"/>
  <c r="W188" i="39" s="1"/>
  <c r="E190" i="19" l="1"/>
  <c r="E189" i="39"/>
  <c r="E189" i="27"/>
  <c r="E189" i="26"/>
  <c r="E189" i="28"/>
  <c r="E189" i="23"/>
  <c r="E189" i="22"/>
  <c r="E189" i="32"/>
  <c r="N189" i="39" s="1"/>
  <c r="E189" i="21"/>
  <c r="E189" i="20"/>
  <c r="E189" i="33"/>
  <c r="W189" i="39" s="1"/>
  <c r="E191" i="19" l="1"/>
  <c r="E190" i="39"/>
  <c r="E190" i="28"/>
  <c r="E190" i="23"/>
  <c r="E190" i="27"/>
  <c r="E190" i="26"/>
  <c r="E190" i="22"/>
  <c r="E190" i="32"/>
  <c r="N190" i="39" s="1"/>
  <c r="E190" i="21"/>
  <c r="E190" i="20"/>
  <c r="E190" i="33"/>
  <c r="W190" i="39" s="1"/>
  <c r="E192" i="19" l="1"/>
  <c r="E191" i="39"/>
  <c r="E191" i="28"/>
  <c r="E191" i="23"/>
  <c r="E191" i="27"/>
  <c r="E191" i="26"/>
  <c r="E191" i="22"/>
  <c r="E191" i="32"/>
  <c r="N191" i="39" s="1"/>
  <c r="E191" i="33"/>
  <c r="W191" i="39" s="1"/>
  <c r="E191" i="20"/>
  <c r="E191" i="21"/>
  <c r="E193" i="19" l="1"/>
  <c r="E192" i="39"/>
  <c r="E192" i="27"/>
  <c r="E192" i="28"/>
  <c r="E192" i="23"/>
  <c r="E192" i="26"/>
  <c r="E192" i="22"/>
  <c r="E192" i="32"/>
  <c r="N192" i="39" s="1"/>
  <c r="E192" i="33"/>
  <c r="W192" i="39" s="1"/>
  <c r="E192" i="21"/>
  <c r="E192" i="20"/>
  <c r="E194" i="19" l="1"/>
  <c r="E193" i="39"/>
  <c r="E193" i="27"/>
  <c r="E193" i="26"/>
  <c r="E193" i="28"/>
  <c r="E193" i="23"/>
  <c r="E193" i="22"/>
  <c r="E193" i="32"/>
  <c r="N193" i="39" s="1"/>
  <c r="E193" i="33"/>
  <c r="W193" i="39" s="1"/>
  <c r="E193" i="20"/>
  <c r="E193" i="21"/>
  <c r="H29" i="17"/>
  <c r="G29"/>
  <c r="H28"/>
  <c r="G28"/>
  <c r="H27"/>
  <c r="G27"/>
  <c r="H26"/>
  <c r="G26"/>
  <c r="H25"/>
  <c r="G25"/>
  <c r="H24"/>
  <c r="G24"/>
  <c r="H23"/>
  <c r="G23"/>
  <c r="F30"/>
  <c r="E30"/>
  <c r="D30"/>
  <c r="B28"/>
  <c r="B26"/>
  <c r="I30" i="9"/>
  <c r="I2" i="17"/>
  <c r="G2"/>
  <c r="E1" i="18" s="1"/>
  <c r="F2" i="17"/>
  <c r="D1" i="18" s="1"/>
  <c r="E2" i="17"/>
  <c r="C1" i="18" s="1"/>
  <c r="D2" i="17"/>
  <c r="B1" i="18" s="1"/>
  <c r="C2" i="17"/>
  <c r="B2"/>
  <c r="H42" l="1"/>
  <c r="H38" i="44" s="1"/>
  <c r="E195" i="19"/>
  <c r="E194" i="39"/>
  <c r="E194" i="28"/>
  <c r="E194" i="23"/>
  <c r="E194" i="27"/>
  <c r="E194" i="22"/>
  <c r="E194" i="26"/>
  <c r="E194" i="32"/>
  <c r="N194" i="39" s="1"/>
  <c r="E194" i="33"/>
  <c r="W194" i="39" s="1"/>
  <c r="E194" i="21"/>
  <c r="E194" i="20"/>
  <c r="G42" i="17"/>
  <c r="B25"/>
  <c r="B27"/>
  <c r="B29"/>
  <c r="B30"/>
  <c r="E28"/>
  <c r="D23"/>
  <c r="F23"/>
  <c r="E25"/>
  <c r="D24"/>
  <c r="F24"/>
  <c r="D25"/>
  <c r="F25"/>
  <c r="D26"/>
  <c r="D27"/>
  <c r="F27"/>
  <c r="D28"/>
  <c r="F28"/>
  <c r="D29"/>
  <c r="F29"/>
  <c r="E23"/>
  <c r="E24"/>
  <c r="E26"/>
  <c r="E29"/>
  <c r="J5"/>
  <c r="J6"/>
  <c r="J7"/>
  <c r="K7" s="1"/>
  <c r="J9"/>
  <c r="F26"/>
  <c r="E27"/>
  <c r="J3"/>
  <c r="J4"/>
  <c r="J8"/>
  <c r="J10"/>
  <c r="I80" i="9"/>
  <c r="A16"/>
  <c r="A15"/>
  <c r="A38" s="1"/>
  <c r="A14"/>
  <c r="A13"/>
  <c r="A12"/>
  <c r="A11"/>
  <c r="A10"/>
  <c r="A9"/>
  <c r="A8"/>
  <c r="A7"/>
  <c r="O14"/>
  <c r="O13"/>
  <c r="O12"/>
  <c r="O11"/>
  <c r="O10"/>
  <c r="M14"/>
  <c r="M13"/>
  <c r="M12"/>
  <c r="M11"/>
  <c r="M10"/>
  <c r="M9"/>
  <c r="M8"/>
  <c r="M7"/>
  <c r="K14"/>
  <c r="K13"/>
  <c r="K12"/>
  <c r="K11"/>
  <c r="K10"/>
  <c r="K9"/>
  <c r="K8"/>
  <c r="L14"/>
  <c r="L13"/>
  <c r="L12"/>
  <c r="L11"/>
  <c r="L10"/>
  <c r="L9"/>
  <c r="L8"/>
  <c r="L7"/>
  <c r="J14"/>
  <c r="J13"/>
  <c r="J12"/>
  <c r="J11"/>
  <c r="J10"/>
  <c r="J9"/>
  <c r="J8"/>
  <c r="I14"/>
  <c r="I13"/>
  <c r="I12"/>
  <c r="I11"/>
  <c r="I10"/>
  <c r="H40" i="17" l="1"/>
  <c r="H158" i="37" s="1"/>
  <c r="K6" i="17"/>
  <c r="K10"/>
  <c r="K11"/>
  <c r="K8"/>
  <c r="K5"/>
  <c r="K9"/>
  <c r="C63" i="37"/>
  <c r="I35" i="9"/>
  <c r="B285" i="37"/>
  <c r="D60"/>
  <c r="B27" i="18"/>
  <c r="H27"/>
  <c r="G27" s="1"/>
  <c r="J32" i="9"/>
  <c r="B289" i="37"/>
  <c r="D64"/>
  <c r="B31" i="18"/>
  <c r="J36" i="9"/>
  <c r="H31" i="18"/>
  <c r="G31" s="1"/>
  <c r="D285" i="37"/>
  <c r="D299" s="1"/>
  <c r="F60"/>
  <c r="D27" i="18"/>
  <c r="L32" i="9"/>
  <c r="D289" i="37"/>
  <c r="D303" s="1"/>
  <c r="F64"/>
  <c r="D31" i="18"/>
  <c r="L36" i="9"/>
  <c r="C286" i="37"/>
  <c r="C300" s="1"/>
  <c r="E61"/>
  <c r="C28" i="18"/>
  <c r="K33" i="9"/>
  <c r="C290" i="37"/>
  <c r="C304" s="1"/>
  <c r="E65"/>
  <c r="K37" i="9"/>
  <c r="K56" s="1"/>
  <c r="C32" i="18"/>
  <c r="E286" i="37"/>
  <c r="E300" s="1"/>
  <c r="G61"/>
  <c r="E28" i="18"/>
  <c r="M33" i="9"/>
  <c r="E290" i="37"/>
  <c r="E304" s="1"/>
  <c r="G65"/>
  <c r="E32" i="18"/>
  <c r="M37" i="9"/>
  <c r="M56" s="1"/>
  <c r="O36"/>
  <c r="I64" i="37"/>
  <c r="C64"/>
  <c r="I36" i="9"/>
  <c r="B286" i="37"/>
  <c r="D61"/>
  <c r="H28" i="18"/>
  <c r="G28" s="1"/>
  <c r="J33" i="9"/>
  <c r="B28" i="18"/>
  <c r="B290" i="37"/>
  <c r="D65"/>
  <c r="H32" i="18"/>
  <c r="G32" s="1"/>
  <c r="J37" i="9"/>
  <c r="J56" s="1"/>
  <c r="B32" i="18"/>
  <c r="D286" i="37"/>
  <c r="D300" s="1"/>
  <c r="F61"/>
  <c r="L33" i="9"/>
  <c r="D28" i="18"/>
  <c r="D290" i="37"/>
  <c r="D304" s="1"/>
  <c r="F65"/>
  <c r="D32" i="18"/>
  <c r="L37" i="9"/>
  <c r="L56" s="1"/>
  <c r="C287" i="37"/>
  <c r="C301" s="1"/>
  <c r="E62"/>
  <c r="C29" i="18"/>
  <c r="K34" i="9"/>
  <c r="E283" i="37"/>
  <c r="E297" s="1"/>
  <c r="G58"/>
  <c r="E25" i="18"/>
  <c r="M30" i="9"/>
  <c r="E287" i="37"/>
  <c r="E301" s="1"/>
  <c r="G62"/>
  <c r="E29" i="18"/>
  <c r="M34" i="9"/>
  <c r="M52" s="1"/>
  <c r="O33"/>
  <c r="O51" s="1"/>
  <c r="I61" i="37"/>
  <c r="O37" i="9"/>
  <c r="O55" s="1"/>
  <c r="I65" i="37"/>
  <c r="C61"/>
  <c r="I33" i="9"/>
  <c r="C65" i="37"/>
  <c r="I37" i="9"/>
  <c r="I56" s="1"/>
  <c r="B287" i="37"/>
  <c r="D62"/>
  <c r="B29" i="18"/>
  <c r="H29"/>
  <c r="G29" s="1"/>
  <c r="J34" i="9"/>
  <c r="D283" i="37"/>
  <c r="D297" s="1"/>
  <c r="F58"/>
  <c r="D25" i="18"/>
  <c r="L30" i="9"/>
  <c r="D287" i="37"/>
  <c r="D301" s="1"/>
  <c r="F62"/>
  <c r="D29" i="18"/>
  <c r="L34" i="9"/>
  <c r="C284" i="37"/>
  <c r="C298" s="1"/>
  <c r="E59"/>
  <c r="C26" i="18"/>
  <c r="K31" i="9"/>
  <c r="C288" i="37"/>
  <c r="C302" s="1"/>
  <c r="E63"/>
  <c r="K35" i="9"/>
  <c r="C30" i="18"/>
  <c r="E284" i="37"/>
  <c r="E298" s="1"/>
  <c r="G59"/>
  <c r="E26" i="18"/>
  <c r="M31" i="9"/>
  <c r="E288" i="37"/>
  <c r="E302" s="1"/>
  <c r="G63"/>
  <c r="M35" i="9"/>
  <c r="E30" i="18"/>
  <c r="O34" i="9"/>
  <c r="I62" i="37"/>
  <c r="C62"/>
  <c r="I34" i="9"/>
  <c r="B284" i="37"/>
  <c r="D59"/>
  <c r="H26" i="18"/>
  <c r="G26" s="1"/>
  <c r="J31" i="9"/>
  <c r="B26" i="18"/>
  <c r="B288" i="37"/>
  <c r="D63"/>
  <c r="H30" i="18"/>
  <c r="G30" s="1"/>
  <c r="J35" i="9"/>
  <c r="B30" i="18"/>
  <c r="D284" i="37"/>
  <c r="D298" s="1"/>
  <c r="F59"/>
  <c r="L31" i="9"/>
  <c r="D26" i="18"/>
  <c r="D288" i="37"/>
  <c r="D302" s="1"/>
  <c r="F63"/>
  <c r="L35" i="9"/>
  <c r="D30" i="18"/>
  <c r="C285" i="37"/>
  <c r="C299" s="1"/>
  <c r="E60"/>
  <c r="K32" i="9"/>
  <c r="C27" i="18"/>
  <c r="C289" i="37"/>
  <c r="C303" s="1"/>
  <c r="E64"/>
  <c r="C31" i="18"/>
  <c r="K36" i="9"/>
  <c r="E285" i="37"/>
  <c r="E299" s="1"/>
  <c r="G60"/>
  <c r="M32" i="9"/>
  <c r="E27" i="18"/>
  <c r="E289" i="37"/>
  <c r="E303" s="1"/>
  <c r="G64"/>
  <c r="M36" i="9"/>
  <c r="E31" i="18"/>
  <c r="O35" i="9"/>
  <c r="O53" s="1"/>
  <c r="I63" i="37"/>
  <c r="G40" i="17"/>
  <c r="G38" i="44"/>
  <c r="H37"/>
  <c r="H45" s="1"/>
  <c r="H14" i="17"/>
  <c r="E196" i="19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D42" i="17"/>
  <c r="D38" i="44" s="1"/>
  <c r="E42" i="17"/>
  <c r="E38" i="44" s="1"/>
  <c r="B42" i="17"/>
  <c r="J23"/>
  <c r="F42"/>
  <c r="F38" i="44" s="1"/>
  <c r="F15" i="37"/>
  <c r="J29" i="17"/>
  <c r="J30"/>
  <c r="F11" i="37"/>
  <c r="J25" i="17"/>
  <c r="F13" i="37"/>
  <c r="J27" i="17"/>
  <c r="F10" i="37"/>
  <c r="J24" i="17"/>
  <c r="F9" i="37"/>
  <c r="F14"/>
  <c r="J28" i="17"/>
  <c r="F12" i="37"/>
  <c r="J26" i="17"/>
  <c r="F8" i="37"/>
  <c r="D7" i="30"/>
  <c r="D5"/>
  <c r="D8"/>
  <c r="D3"/>
  <c r="D6"/>
  <c r="D9"/>
  <c r="D10"/>
  <c r="D4"/>
  <c r="N53" i="9"/>
  <c r="J7"/>
  <c r="K7"/>
  <c r="I49"/>
  <c r="A32"/>
  <c r="A36"/>
  <c r="I50"/>
  <c r="N52"/>
  <c r="N54"/>
  <c r="N55"/>
  <c r="A37"/>
  <c r="A31"/>
  <c r="I51"/>
  <c r="I52"/>
  <c r="A33"/>
  <c r="H14"/>
  <c r="P14" s="1"/>
  <c r="P37" s="1"/>
  <c r="H13"/>
  <c r="P13" s="1"/>
  <c r="P36" s="1"/>
  <c r="H12"/>
  <c r="P12" s="1"/>
  <c r="P35" s="1"/>
  <c r="H11"/>
  <c r="P11" s="1"/>
  <c r="P34" s="1"/>
  <c r="H10"/>
  <c r="P10" s="1"/>
  <c r="P33" s="1"/>
  <c r="H9"/>
  <c r="P9" s="1"/>
  <c r="P32" s="1"/>
  <c r="H8"/>
  <c r="P8" s="1"/>
  <c r="P31" s="1"/>
  <c r="H7"/>
  <c r="B217" i="19"/>
  <c r="B216"/>
  <c r="B215"/>
  <c r="B214"/>
  <c r="B213"/>
  <c r="B212"/>
  <c r="B211"/>
  <c r="B210"/>
  <c r="I98"/>
  <c r="I97"/>
  <c r="I96"/>
  <c r="I95"/>
  <c r="I94"/>
  <c r="I93"/>
  <c r="I91"/>
  <c r="I90"/>
  <c r="I88"/>
  <c r="I86"/>
  <c r="I85"/>
  <c r="I83"/>
  <c r="I81"/>
  <c r="I79"/>
  <c r="I77"/>
  <c r="I75"/>
  <c r="I73"/>
  <c r="I71"/>
  <c r="I69"/>
  <c r="I67"/>
  <c r="I65"/>
  <c r="I61"/>
  <c r="I59"/>
  <c r="I57"/>
  <c r="I55"/>
  <c r="I53"/>
  <c r="I49"/>
  <c r="I47"/>
  <c r="I45"/>
  <c r="I43"/>
  <c r="I41"/>
  <c r="I37"/>
  <c r="I35"/>
  <c r="I33"/>
  <c r="I31"/>
  <c r="I30"/>
  <c r="I29"/>
  <c r="J29" s="1"/>
  <c r="I28"/>
  <c r="J28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4"/>
  <c r="J14" s="1"/>
  <c r="I13"/>
  <c r="J13" s="1"/>
  <c r="I12"/>
  <c r="J12" s="1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H15" i="17" l="1"/>
  <c r="M49" i="9"/>
  <c r="I53"/>
  <c r="P7"/>
  <c r="P30" s="1"/>
  <c r="O52"/>
  <c r="M50"/>
  <c r="L49"/>
  <c r="I54"/>
  <c r="L50"/>
  <c r="C55" i="34"/>
  <c r="C56"/>
  <c r="C49"/>
  <c r="C53"/>
  <c r="C51"/>
  <c r="C52"/>
  <c r="C50"/>
  <c r="C54"/>
  <c r="G11" i="9"/>
  <c r="G34" s="1"/>
  <c r="B62" i="37"/>
  <c r="H34" i="9"/>
  <c r="C87" i="37"/>
  <c r="F19" i="38"/>
  <c r="F19" i="11" s="1"/>
  <c r="F23" i="38"/>
  <c r="F23" i="11" s="1"/>
  <c r="D87" i="37"/>
  <c r="C86"/>
  <c r="E19" i="38"/>
  <c r="E19" i="11" s="1"/>
  <c r="G90" i="37"/>
  <c r="I38" i="38"/>
  <c r="H33"/>
  <c r="F89" i="37"/>
  <c r="B59"/>
  <c r="H31" i="9"/>
  <c r="G85" i="37"/>
  <c r="D38" i="38"/>
  <c r="D38" i="11" s="1"/>
  <c r="G84" i="37"/>
  <c r="C38" i="38"/>
  <c r="C38" i="11" s="1"/>
  <c r="C28" i="38"/>
  <c r="C28" i="11" s="1"/>
  <c r="E84" i="37"/>
  <c r="C90"/>
  <c r="I19" i="38"/>
  <c r="I86" i="37"/>
  <c r="E48" i="38"/>
  <c r="E48" i="11" s="1"/>
  <c r="G286" i="37"/>
  <c r="G300" s="1"/>
  <c r="B300"/>
  <c r="D89"/>
  <c r="H23" i="38"/>
  <c r="C88" i="37"/>
  <c r="G19" i="38"/>
  <c r="B60" i="37"/>
  <c r="H32" i="9"/>
  <c r="H50" s="1"/>
  <c r="B61" i="37"/>
  <c r="H33" i="9"/>
  <c r="B65" i="37"/>
  <c r="H37" i="9"/>
  <c r="B283" i="37"/>
  <c r="D58"/>
  <c r="J30" i="9"/>
  <c r="G89" i="37"/>
  <c r="H38" i="38"/>
  <c r="H28"/>
  <c r="E89" i="37"/>
  <c r="G33" i="38"/>
  <c r="F88" i="37"/>
  <c r="C23" i="38"/>
  <c r="C23" i="11" s="1"/>
  <c r="D84" i="37"/>
  <c r="G88"/>
  <c r="G38" i="38"/>
  <c r="G28"/>
  <c r="E88" i="37"/>
  <c r="F33" i="38"/>
  <c r="F33" i="11" s="1"/>
  <c r="F87" i="37"/>
  <c r="I89"/>
  <c r="H48" i="38"/>
  <c r="B58" i="37"/>
  <c r="H30" i="9"/>
  <c r="H49" s="1"/>
  <c r="D88" i="37"/>
  <c r="G23" i="38"/>
  <c r="B298" i="37"/>
  <c r="G284"/>
  <c r="G298" s="1"/>
  <c r="G83"/>
  <c r="G182" s="1"/>
  <c r="B38" i="38"/>
  <c r="B38" i="11" s="1"/>
  <c r="I33" i="38"/>
  <c r="F90" i="37"/>
  <c r="D86"/>
  <c r="E23" i="38"/>
  <c r="E23" i="11" s="1"/>
  <c r="M51" i="9"/>
  <c r="I28" i="38"/>
  <c r="E90" i="37"/>
  <c r="D85"/>
  <c r="D23" i="38"/>
  <c r="D23" i="11" s="1"/>
  <c r="G12" i="9"/>
  <c r="G35" s="1"/>
  <c r="G53" s="1"/>
  <c r="B63" i="37"/>
  <c r="H35" i="9"/>
  <c r="H53" s="1"/>
  <c r="D28" i="38"/>
  <c r="D28" i="11" s="1"/>
  <c r="E85" i="37"/>
  <c r="C33" i="38"/>
  <c r="C33" i="11" s="1"/>
  <c r="F84" i="37"/>
  <c r="G288"/>
  <c r="G302" s="1"/>
  <c r="B302"/>
  <c r="B33" i="38"/>
  <c r="B33" i="11" s="1"/>
  <c r="F83" i="37"/>
  <c r="F182" s="1"/>
  <c r="G287"/>
  <c r="G301" s="1"/>
  <c r="B301"/>
  <c r="D90"/>
  <c r="I23" i="38"/>
  <c r="C89" i="37"/>
  <c r="H19" i="38"/>
  <c r="B299" i="37"/>
  <c r="G285"/>
  <c r="G299" s="1"/>
  <c r="B64"/>
  <c r="H36" i="9"/>
  <c r="I55"/>
  <c r="C283" i="37"/>
  <c r="C297" s="1"/>
  <c r="E58"/>
  <c r="C25" i="18"/>
  <c r="K30" i="9"/>
  <c r="K49" s="1"/>
  <c r="I88" i="37"/>
  <c r="G48" i="38"/>
  <c r="I87" i="37"/>
  <c r="F48" i="38"/>
  <c r="F48" i="11" s="1"/>
  <c r="M53" i="9"/>
  <c r="I90" i="37"/>
  <c r="I48" i="38"/>
  <c r="G87" i="37"/>
  <c r="F38" i="38"/>
  <c r="F38" i="11" s="1"/>
  <c r="F28" i="38"/>
  <c r="F28" i="11" s="1"/>
  <c r="E87" i="37"/>
  <c r="E33" i="38"/>
  <c r="E33" i="11" s="1"/>
  <c r="F86" i="37"/>
  <c r="G290"/>
  <c r="G304" s="1"/>
  <c r="B304"/>
  <c r="G86"/>
  <c r="E38" i="38"/>
  <c r="E38" i="11" s="1"/>
  <c r="E28" i="38"/>
  <c r="E28" i="11" s="1"/>
  <c r="E86" i="37"/>
  <c r="D33" i="38"/>
  <c r="D33" i="11" s="1"/>
  <c r="F85" i="37"/>
  <c r="G289"/>
  <c r="G303" s="1"/>
  <c r="B303"/>
  <c r="E217" i="19"/>
  <c r="E213"/>
  <c r="E216"/>
  <c r="E212"/>
  <c r="E219"/>
  <c r="E215"/>
  <c r="E211"/>
  <c r="E218"/>
  <c r="E214"/>
  <c r="H46" i="44"/>
  <c r="H55"/>
  <c r="H65" s="1"/>
  <c r="S44" i="37" s="1"/>
  <c r="H44" s="1"/>
  <c r="B38" i="44"/>
  <c r="B40" i="17"/>
  <c r="G37" i="44"/>
  <c r="G45" s="1"/>
  <c r="G14" i="17"/>
  <c r="E197" i="19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2" i="37"/>
  <c r="H12" s="1"/>
  <c r="G11"/>
  <c r="H11" s="1"/>
  <c r="G13"/>
  <c r="H13" s="1"/>
  <c r="G5"/>
  <c r="H5" s="1"/>
  <c r="J42" i="17"/>
  <c r="G15" i="37"/>
  <c r="H15" s="1"/>
  <c r="G16"/>
  <c r="H16" s="1"/>
  <c r="G14"/>
  <c r="H14" s="1"/>
  <c r="G10"/>
  <c r="H10" s="1"/>
  <c r="G158"/>
  <c r="I17"/>
  <c r="I12"/>
  <c r="I9"/>
  <c r="I14"/>
  <c r="I11"/>
  <c r="I15"/>
  <c r="G9"/>
  <c r="H9" s="1"/>
  <c r="I10"/>
  <c r="I16"/>
  <c r="I13"/>
  <c r="I18"/>
  <c r="D20" i="30"/>
  <c r="M55" i="9"/>
  <c r="I101" i="19"/>
  <c r="J101" s="1"/>
  <c r="I103"/>
  <c r="J103" s="1"/>
  <c r="I105"/>
  <c r="J105" s="1"/>
  <c r="I107"/>
  <c r="J107" s="1"/>
  <c r="I109"/>
  <c r="J109" s="1"/>
  <c r="I100"/>
  <c r="J100" s="1"/>
  <c r="I108"/>
  <c r="J108" s="1"/>
  <c r="I102"/>
  <c r="J102" s="1"/>
  <c r="I104"/>
  <c r="J104" s="1"/>
  <c r="I106"/>
  <c r="J106" s="1"/>
  <c r="I110"/>
  <c r="J110" s="1"/>
  <c r="B25" i="18"/>
  <c r="H25"/>
  <c r="G25" s="1"/>
  <c r="C7" i="34"/>
  <c r="B11" i="9"/>
  <c r="C11" i="34"/>
  <c r="F5" i="38" s="1"/>
  <c r="C214" i="19"/>
  <c r="D214" s="1"/>
  <c r="C213"/>
  <c r="D213" s="1"/>
  <c r="C10" i="34"/>
  <c r="E5" i="38" s="1"/>
  <c r="C14" i="34"/>
  <c r="I5" i="38" s="1"/>
  <c r="C217" i="19"/>
  <c r="D217" s="1"/>
  <c r="B9" i="9"/>
  <c r="D9" s="1"/>
  <c r="E9" s="1"/>
  <c r="C212" i="19"/>
  <c r="D212" s="1"/>
  <c r="C9" i="34"/>
  <c r="D5" i="38" s="1"/>
  <c r="C13" i="34"/>
  <c r="H5" i="38" s="1"/>
  <c r="C216" i="19"/>
  <c r="D216" s="1"/>
  <c r="J55" i="9"/>
  <c r="B8"/>
  <c r="D8" s="1"/>
  <c r="E8" s="1"/>
  <c r="C8" i="34"/>
  <c r="C5" i="38" s="1"/>
  <c r="C211" i="19"/>
  <c r="D211" s="1"/>
  <c r="C215"/>
  <c r="D215" s="1"/>
  <c r="C12" i="34"/>
  <c r="G5" i="38" s="1"/>
  <c r="J52" i="9"/>
  <c r="K51"/>
  <c r="G9"/>
  <c r="N50"/>
  <c r="G13"/>
  <c r="K50"/>
  <c r="O54"/>
  <c r="G10"/>
  <c r="G33" s="1"/>
  <c r="J53"/>
  <c r="G7"/>
  <c r="G30" s="1"/>
  <c r="G14"/>
  <c r="G37" s="1"/>
  <c r="G56" s="1"/>
  <c r="G8"/>
  <c r="G31" s="1"/>
  <c r="N51"/>
  <c r="J51"/>
  <c r="M54"/>
  <c r="L51"/>
  <c r="J31" i="19"/>
  <c r="J33"/>
  <c r="J35"/>
  <c r="J37"/>
  <c r="J41"/>
  <c r="J43"/>
  <c r="J45"/>
  <c r="J47"/>
  <c r="J49"/>
  <c r="J53"/>
  <c r="J55"/>
  <c r="J57"/>
  <c r="J59"/>
  <c r="J61"/>
  <c r="J65"/>
  <c r="J67"/>
  <c r="J69"/>
  <c r="J71"/>
  <c r="J73"/>
  <c r="J75"/>
  <c r="J77"/>
  <c r="J79"/>
  <c r="J81"/>
  <c r="J83"/>
  <c r="J86"/>
  <c r="J88"/>
  <c r="J91"/>
  <c r="I3"/>
  <c r="J3" s="1"/>
  <c r="I15"/>
  <c r="J15" s="1"/>
  <c r="I27"/>
  <c r="J27" s="1"/>
  <c r="I32"/>
  <c r="J32" s="1"/>
  <c r="I34"/>
  <c r="J34" s="1"/>
  <c r="I36"/>
  <c r="J36" s="1"/>
  <c r="I38"/>
  <c r="J38" s="1"/>
  <c r="I39"/>
  <c r="J39" s="1"/>
  <c r="I40"/>
  <c r="J40" s="1"/>
  <c r="I42"/>
  <c r="J42" s="1"/>
  <c r="I44"/>
  <c r="J44" s="1"/>
  <c r="I46"/>
  <c r="J46" s="1"/>
  <c r="I48"/>
  <c r="J48" s="1"/>
  <c r="I50"/>
  <c r="J50" s="1"/>
  <c r="I51"/>
  <c r="J51" s="1"/>
  <c r="I52"/>
  <c r="J52" s="1"/>
  <c r="I54"/>
  <c r="J54" s="1"/>
  <c r="I56"/>
  <c r="J56" s="1"/>
  <c r="I58"/>
  <c r="J58" s="1"/>
  <c r="I60"/>
  <c r="J60" s="1"/>
  <c r="I62"/>
  <c r="J62" s="1"/>
  <c r="I63"/>
  <c r="J63" s="1"/>
  <c r="I64"/>
  <c r="J64" s="1"/>
  <c r="I66"/>
  <c r="J66" s="1"/>
  <c r="I68"/>
  <c r="J68" s="1"/>
  <c r="I70"/>
  <c r="J70" s="1"/>
  <c r="I72"/>
  <c r="J72" s="1"/>
  <c r="I74"/>
  <c r="J74" s="1"/>
  <c r="I76"/>
  <c r="J76" s="1"/>
  <c r="I78"/>
  <c r="J78" s="1"/>
  <c r="I80"/>
  <c r="J80" s="1"/>
  <c r="I82"/>
  <c r="J82" s="1"/>
  <c r="I84"/>
  <c r="J84" s="1"/>
  <c r="I87"/>
  <c r="J87" s="1"/>
  <c r="I89"/>
  <c r="J89" s="1"/>
  <c r="I92"/>
  <c r="J92" s="1"/>
  <c r="J30"/>
  <c r="J85"/>
  <c r="J90"/>
  <c r="J93"/>
  <c r="J94"/>
  <c r="J95"/>
  <c r="J96"/>
  <c r="J97"/>
  <c r="J98"/>
  <c r="L54" i="9"/>
  <c r="L53"/>
  <c r="A35"/>
  <c r="A34"/>
  <c r="L55"/>
  <c r="Y47" i="11"/>
  <c r="X47"/>
  <c r="W47"/>
  <c r="A46"/>
  <c r="Y44"/>
  <c r="X44"/>
  <c r="W44"/>
  <c r="Y43"/>
  <c r="X43"/>
  <c r="W43"/>
  <c r="Y42"/>
  <c r="X42"/>
  <c r="W42"/>
  <c r="A41"/>
  <c r="Y39"/>
  <c r="X39"/>
  <c r="W39"/>
  <c r="M42" i="38" l="1"/>
  <c r="H168" i="37"/>
  <c r="G15" i="17"/>
  <c r="H16"/>
  <c r="C73" i="34"/>
  <c r="E54"/>
  <c r="F54" s="1"/>
  <c r="C71"/>
  <c r="E52"/>
  <c r="F52" s="1"/>
  <c r="C75"/>
  <c r="E56"/>
  <c r="F56" s="1"/>
  <c r="C72"/>
  <c r="E53"/>
  <c r="F53" s="1"/>
  <c r="C69"/>
  <c r="E50"/>
  <c r="F50" s="1"/>
  <c r="C70"/>
  <c r="E51"/>
  <c r="F51" s="1"/>
  <c r="C68"/>
  <c r="E49"/>
  <c r="F49" s="1"/>
  <c r="C74"/>
  <c r="E55"/>
  <c r="F55" s="1"/>
  <c r="B89" i="37"/>
  <c r="J64"/>
  <c r="H15" i="38"/>
  <c r="F106" i="37"/>
  <c r="F183"/>
  <c r="F198" s="1"/>
  <c r="E184"/>
  <c r="E107"/>
  <c r="I33" i="11"/>
  <c r="Y33" s="1"/>
  <c r="F95" i="38"/>
  <c r="I188" i="37"/>
  <c r="I111"/>
  <c r="B297"/>
  <c r="G283"/>
  <c r="G297" s="1"/>
  <c r="D81" i="38"/>
  <c r="G19" i="11"/>
  <c r="W19" s="1"/>
  <c r="E183" i="37"/>
  <c r="B84"/>
  <c r="C15" i="38"/>
  <c r="J59" i="37"/>
  <c r="B87"/>
  <c r="F15" i="38"/>
  <c r="J62" i="37"/>
  <c r="F184"/>
  <c r="F199" s="1"/>
  <c r="F107"/>
  <c r="E185"/>
  <c r="E108"/>
  <c r="D184"/>
  <c r="D107"/>
  <c r="G187"/>
  <c r="G110"/>
  <c r="C110"/>
  <c r="C187"/>
  <c r="G185"/>
  <c r="G108"/>
  <c r="E109"/>
  <c r="E186"/>
  <c r="I48" i="11"/>
  <c r="Y48" s="1"/>
  <c r="F110" i="38"/>
  <c r="I109" i="37"/>
  <c r="I186"/>
  <c r="I110"/>
  <c r="I187"/>
  <c r="H54" i="9"/>
  <c r="D189" i="37"/>
  <c r="D112"/>
  <c r="D113"/>
  <c r="I28" i="11"/>
  <c r="F90" i="38"/>
  <c r="F189" i="37"/>
  <c r="F112"/>
  <c r="F113"/>
  <c r="G23" i="11"/>
  <c r="W23" s="1"/>
  <c r="D85" i="38"/>
  <c r="E110"/>
  <c r="H48" i="11"/>
  <c r="G33"/>
  <c r="W33" s="1"/>
  <c r="D95" i="38"/>
  <c r="H28" i="11"/>
  <c r="X28" s="1"/>
  <c r="E90" i="38"/>
  <c r="G188" i="37"/>
  <c r="G203" s="1"/>
  <c r="G111"/>
  <c r="B23" i="38"/>
  <c r="B23" i="11" s="1"/>
  <c r="D83" i="37"/>
  <c r="D182" s="1"/>
  <c r="H55" i="9"/>
  <c r="H56"/>
  <c r="J61" i="37"/>
  <c r="E15" i="38"/>
  <c r="B86" i="37"/>
  <c r="D188"/>
  <c r="D111"/>
  <c r="C189"/>
  <c r="C112"/>
  <c r="C113"/>
  <c r="G106"/>
  <c r="G183"/>
  <c r="G198" s="1"/>
  <c r="H33" i="11"/>
  <c r="X33" s="1"/>
  <c r="E95" i="38"/>
  <c r="G189" i="37"/>
  <c r="G112"/>
  <c r="G113"/>
  <c r="D186"/>
  <c r="D109"/>
  <c r="H52" i="9"/>
  <c r="G36"/>
  <c r="G54" s="1"/>
  <c r="I189" i="37"/>
  <c r="I112"/>
  <c r="I113"/>
  <c r="E81" i="38"/>
  <c r="H19" i="11"/>
  <c r="D187" i="37"/>
  <c r="D110"/>
  <c r="E187"/>
  <c r="E202" s="1"/>
  <c r="E110"/>
  <c r="D100" i="38"/>
  <c r="G38" i="11"/>
  <c r="D183" i="37"/>
  <c r="D198" s="1"/>
  <c r="J65"/>
  <c r="I15" i="38"/>
  <c r="B90" i="37"/>
  <c r="C188"/>
  <c r="C111"/>
  <c r="B88"/>
  <c r="J63"/>
  <c r="G15" i="38"/>
  <c r="G28" i="11"/>
  <c r="D90" i="38"/>
  <c r="I108" i="37"/>
  <c r="I185"/>
  <c r="F108"/>
  <c r="F185"/>
  <c r="G186"/>
  <c r="G109"/>
  <c r="G48" i="11"/>
  <c r="W48" s="1"/>
  <c r="D110" i="38"/>
  <c r="B28"/>
  <c r="B28" i="11" s="1"/>
  <c r="E83" i="37"/>
  <c r="E182" s="1"/>
  <c r="F85" i="38"/>
  <c r="I23" i="11"/>
  <c r="Y23" s="1"/>
  <c r="E189" i="37"/>
  <c r="E112"/>
  <c r="E113"/>
  <c r="D185"/>
  <c r="D108"/>
  <c r="B83"/>
  <c r="B182" s="1"/>
  <c r="B15" i="38"/>
  <c r="J58" i="37"/>
  <c r="F186"/>
  <c r="F109"/>
  <c r="F110"/>
  <c r="F187"/>
  <c r="F202" s="1"/>
  <c r="E188"/>
  <c r="E111"/>
  <c r="E100" i="38"/>
  <c r="H38" i="11"/>
  <c r="H51" i="9"/>
  <c r="B85" i="37"/>
  <c r="D15" i="38"/>
  <c r="J60" i="37"/>
  <c r="H23" i="11"/>
  <c r="X23" s="1"/>
  <c r="E85" i="38"/>
  <c r="F81"/>
  <c r="I19" i="11"/>
  <c r="G107" i="37"/>
  <c r="G184"/>
  <c r="F188"/>
  <c r="F111"/>
  <c r="I38" i="11"/>
  <c r="F100" i="38"/>
  <c r="C185" i="37"/>
  <c r="C200" s="1"/>
  <c r="C108"/>
  <c r="C186"/>
  <c r="C109"/>
  <c r="B5" i="38"/>
  <c r="B5" i="11" s="1"/>
  <c r="C26" i="34"/>
  <c r="I5" i="11"/>
  <c r="Y5" s="1"/>
  <c r="F68" i="38"/>
  <c r="I7"/>
  <c r="F70" s="1"/>
  <c r="C5" i="11"/>
  <c r="C7" i="38"/>
  <c r="D5" i="11"/>
  <c r="D7" i="38"/>
  <c r="F5" i="11"/>
  <c r="F7" i="38"/>
  <c r="E5" i="11"/>
  <c r="E7" i="38"/>
  <c r="G5" i="11"/>
  <c r="W5" s="1"/>
  <c r="D68" i="38"/>
  <c r="G7"/>
  <c r="D70" s="1"/>
  <c r="H5" i="11"/>
  <c r="X5" s="1"/>
  <c r="E68" i="38"/>
  <c r="H7"/>
  <c r="E70" s="1"/>
  <c r="G46" i="44"/>
  <c r="G47" s="1"/>
  <c r="G48" s="1"/>
  <c r="G49" s="1"/>
  <c r="G50" s="1"/>
  <c r="G55"/>
  <c r="H47"/>
  <c r="H56"/>
  <c r="B37"/>
  <c r="B45" s="1"/>
  <c r="B55" s="1"/>
  <c r="B14" i="17"/>
  <c r="B158" i="37"/>
  <c r="J40" i="17"/>
  <c r="J37" i="44" s="1"/>
  <c r="J38"/>
  <c r="E198" i="19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33" i="17"/>
  <c r="B11" i="37"/>
  <c r="C29" i="34"/>
  <c r="B9" i="37"/>
  <c r="C27" i="34"/>
  <c r="B8" i="37"/>
  <c r="B10"/>
  <c r="C28" i="34"/>
  <c r="B15" i="37"/>
  <c r="C33" i="34"/>
  <c r="B12" i="37"/>
  <c r="C30" i="34"/>
  <c r="B13" i="37"/>
  <c r="C31" i="34"/>
  <c r="B14" i="37"/>
  <c r="C32" i="34"/>
  <c r="G34" i="17"/>
  <c r="F11" i="9"/>
  <c r="D11"/>
  <c r="E11" s="1"/>
  <c r="H218" i="19"/>
  <c r="C15" i="9" s="1"/>
  <c r="I99" i="19"/>
  <c r="J99" s="1"/>
  <c r="I122"/>
  <c r="J122" s="1"/>
  <c r="I121"/>
  <c r="J121" s="1"/>
  <c r="I120"/>
  <c r="J120" s="1"/>
  <c r="I119"/>
  <c r="J119" s="1"/>
  <c r="F8" i="9"/>
  <c r="F9"/>
  <c r="X56" i="11"/>
  <c r="Y56"/>
  <c r="X48"/>
  <c r="W56"/>
  <c r="E11" i="34"/>
  <c r="F11" s="1"/>
  <c r="I215" i="19"/>
  <c r="J215" s="1"/>
  <c r="E12" i="34"/>
  <c r="F12" s="1"/>
  <c r="E8"/>
  <c r="F8" s="1"/>
  <c r="B7" i="9"/>
  <c r="F7" s="1"/>
  <c r="E7" i="34"/>
  <c r="F7" s="1"/>
  <c r="E9"/>
  <c r="F9" s="1"/>
  <c r="E14"/>
  <c r="F14" s="1"/>
  <c r="B13" i="9"/>
  <c r="E13" i="34"/>
  <c r="F13" s="1"/>
  <c r="B10" i="9"/>
  <c r="E10" i="34"/>
  <c r="F10" s="1"/>
  <c r="N49" i="9"/>
  <c r="N62" s="1"/>
  <c r="K55"/>
  <c r="A30"/>
  <c r="B12"/>
  <c r="I211" i="19"/>
  <c r="J211" s="1"/>
  <c r="K54" i="9"/>
  <c r="J54" s="1"/>
  <c r="B14"/>
  <c r="I217" i="19"/>
  <c r="Z22" i="11"/>
  <c r="J49" i="9"/>
  <c r="J50"/>
  <c r="L52"/>
  <c r="Y37" i="11"/>
  <c r="X37"/>
  <c r="W37"/>
  <c r="A36"/>
  <c r="Y34"/>
  <c r="X34"/>
  <c r="W34"/>
  <c r="X32"/>
  <c r="W32"/>
  <c r="A31"/>
  <c r="Y29"/>
  <c r="X29"/>
  <c r="W29"/>
  <c r="W28"/>
  <c r="Z27"/>
  <c r="Y27"/>
  <c r="X27"/>
  <c r="W27"/>
  <c r="A26"/>
  <c r="Y22"/>
  <c r="A21"/>
  <c r="Y18"/>
  <c r="X18"/>
  <c r="W18"/>
  <c r="A17"/>
  <c r="Y14"/>
  <c r="A13"/>
  <c r="X6"/>
  <c r="W6"/>
  <c r="C201" i="37" l="1"/>
  <c r="E201"/>
  <c r="D201"/>
  <c r="D203"/>
  <c r="E200"/>
  <c r="G16" i="17"/>
  <c r="F201" i="37"/>
  <c r="H17" i="17"/>
  <c r="M218" i="19"/>
  <c r="B7" i="38"/>
  <c r="G200" i="37"/>
  <c r="G199"/>
  <c r="B107"/>
  <c r="B184"/>
  <c r="B187"/>
  <c r="B110"/>
  <c r="B112"/>
  <c r="B189"/>
  <c r="B113"/>
  <c r="E15" i="11"/>
  <c r="E52" i="38"/>
  <c r="B109" i="37"/>
  <c r="B186"/>
  <c r="J109"/>
  <c r="C52" i="38"/>
  <c r="C15" i="11"/>
  <c r="B111" i="37"/>
  <c r="B188"/>
  <c r="I52" i="38"/>
  <c r="I15" i="11"/>
  <c r="Y15" s="1"/>
  <c r="F77" i="38"/>
  <c r="D199" i="37"/>
  <c r="B106"/>
  <c r="B183"/>
  <c r="B198" s="1"/>
  <c r="I203"/>
  <c r="F203"/>
  <c r="D52" i="38"/>
  <c r="D15" i="11"/>
  <c r="E203" i="37"/>
  <c r="B9" i="38"/>
  <c r="J83" i="37"/>
  <c r="J182"/>
  <c r="D200"/>
  <c r="F200"/>
  <c r="G9" i="38"/>
  <c r="J187" i="37"/>
  <c r="J88"/>
  <c r="D106"/>
  <c r="D202"/>
  <c r="B185"/>
  <c r="B200" s="1"/>
  <c r="B108"/>
  <c r="D204"/>
  <c r="D205"/>
  <c r="I202"/>
  <c r="F114" i="38"/>
  <c r="G202" i="37"/>
  <c r="F52" i="38"/>
  <c r="F15" i="11"/>
  <c r="J84" i="37"/>
  <c r="J183"/>
  <c r="C9" i="38"/>
  <c r="E106" i="37"/>
  <c r="J188"/>
  <c r="J203" s="1"/>
  <c r="J89"/>
  <c r="H9" i="38"/>
  <c r="B15" i="11"/>
  <c r="B52" i="38"/>
  <c r="I201" i="37"/>
  <c r="I200"/>
  <c r="I204"/>
  <c r="I205"/>
  <c r="E9" i="38"/>
  <c r="J185" i="37"/>
  <c r="J200" s="1"/>
  <c r="J86"/>
  <c r="G55" i="9"/>
  <c r="J184" i="37"/>
  <c r="J199" s="1"/>
  <c r="J85"/>
  <c r="D9" i="38"/>
  <c r="E204" i="37"/>
  <c r="E205"/>
  <c r="G201"/>
  <c r="G15" i="11"/>
  <c r="W15" s="1"/>
  <c r="D77" i="38"/>
  <c r="D114" s="1"/>
  <c r="G52"/>
  <c r="I9"/>
  <c r="J189" i="37"/>
  <c r="J90"/>
  <c r="G204"/>
  <c r="G205"/>
  <c r="C204"/>
  <c r="C205"/>
  <c r="F204"/>
  <c r="F205"/>
  <c r="C203"/>
  <c r="C202"/>
  <c r="F9" i="38"/>
  <c r="J186" i="37"/>
  <c r="J201" s="1"/>
  <c r="J87"/>
  <c r="E198"/>
  <c r="E199"/>
  <c r="H52" i="38"/>
  <c r="H15" i="11"/>
  <c r="X15" s="1"/>
  <c r="E77" i="38"/>
  <c r="E114" s="1"/>
  <c r="H66" i="44"/>
  <c r="S45" i="37" s="1"/>
  <c r="H45" s="1"/>
  <c r="B33" i="17"/>
  <c r="C10" i="37"/>
  <c r="D10" s="1"/>
  <c r="H48" i="44"/>
  <c r="H57"/>
  <c r="B56"/>
  <c r="B65"/>
  <c r="M44" i="37" s="1"/>
  <c r="J55" i="44"/>
  <c r="G56"/>
  <c r="G65"/>
  <c r="R44" i="37" s="1"/>
  <c r="G44" s="1"/>
  <c r="B15" i="17"/>
  <c r="B46" i="44"/>
  <c r="J45"/>
  <c r="E199" i="19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4" i="37"/>
  <c r="D14" s="1"/>
  <c r="C12"/>
  <c r="D12" s="1"/>
  <c r="C9"/>
  <c r="D9" s="1"/>
  <c r="F53" i="11"/>
  <c r="C53"/>
  <c r="B53"/>
  <c r="C5" i="37"/>
  <c r="D5" s="1"/>
  <c r="C13"/>
  <c r="D13" s="1"/>
  <c r="C15"/>
  <c r="D15" s="1"/>
  <c r="C16"/>
  <c r="D16" s="1"/>
  <c r="E13"/>
  <c r="E11"/>
  <c r="E16"/>
  <c r="E12"/>
  <c r="E9"/>
  <c r="E14"/>
  <c r="E17"/>
  <c r="E15"/>
  <c r="E10"/>
  <c r="C11"/>
  <c r="D11" s="1"/>
  <c r="G35" i="17"/>
  <c r="D53" i="11"/>
  <c r="E53"/>
  <c r="F13" i="9"/>
  <c r="D13"/>
  <c r="E13" s="1"/>
  <c r="F12"/>
  <c r="D12"/>
  <c r="E12" s="1"/>
  <c r="F14"/>
  <c r="D14"/>
  <c r="E14" s="1"/>
  <c r="F10"/>
  <c r="D10"/>
  <c r="E10" s="1"/>
  <c r="H219" i="19"/>
  <c r="C16" i="9" s="1"/>
  <c r="I112" i="19"/>
  <c r="J112" s="1"/>
  <c r="I116"/>
  <c r="J116" s="1"/>
  <c r="I113"/>
  <c r="J113" s="1"/>
  <c r="I117"/>
  <c r="J117" s="1"/>
  <c r="I114"/>
  <c r="J114" s="1"/>
  <c r="I118"/>
  <c r="J118" s="1"/>
  <c r="I115"/>
  <c r="J115" s="1"/>
  <c r="I111"/>
  <c r="J111" s="1"/>
  <c r="I218"/>
  <c r="J218" s="1"/>
  <c r="AA27" i="11"/>
  <c r="G50" i="9"/>
  <c r="W22" i="11"/>
  <c r="X22"/>
  <c r="I53"/>
  <c r="Y53" s="1"/>
  <c r="Y24"/>
  <c r="H53"/>
  <c r="X53" s="1"/>
  <c r="X24"/>
  <c r="Y32"/>
  <c r="Z32"/>
  <c r="W38"/>
  <c r="X38"/>
  <c r="W14"/>
  <c r="X14"/>
  <c r="X19"/>
  <c r="Y19"/>
  <c r="G53"/>
  <c r="W53" s="1"/>
  <c r="W24"/>
  <c r="AA32"/>
  <c r="G51" i="9"/>
  <c r="G52"/>
  <c r="E63" i="11"/>
  <c r="K52" i="9"/>
  <c r="K53"/>
  <c r="U44" i="37" l="1"/>
  <c r="J108"/>
  <c r="J106"/>
  <c r="J110"/>
  <c r="B202"/>
  <c r="H18" i="17"/>
  <c r="M37" i="38"/>
  <c r="G168" i="37"/>
  <c r="B2" i="41"/>
  <c r="N42" i="38"/>
  <c r="H169" i="37"/>
  <c r="J111"/>
  <c r="J198"/>
  <c r="G17" i="17"/>
  <c r="B44" i="37"/>
  <c r="D15" i="9"/>
  <c r="E15" s="1"/>
  <c r="O218" i="19"/>
  <c r="M219"/>
  <c r="D57" i="38"/>
  <c r="D57" i="11" s="1"/>
  <c r="D9"/>
  <c r="H57" i="38"/>
  <c r="H57" i="11" s="1"/>
  <c r="X57" s="1"/>
  <c r="H9"/>
  <c r="X9" s="1"/>
  <c r="E72" i="38"/>
  <c r="F9" i="11"/>
  <c r="F57" i="38"/>
  <c r="F57" i="11" s="1"/>
  <c r="J112" i="37"/>
  <c r="J113"/>
  <c r="J107"/>
  <c r="B57" i="38"/>
  <c r="B57" i="11" s="1"/>
  <c r="B9"/>
  <c r="D62" i="38"/>
  <c r="B203" i="37"/>
  <c r="B204"/>
  <c r="B205"/>
  <c r="B199"/>
  <c r="J204"/>
  <c r="J205"/>
  <c r="E57" i="38"/>
  <c r="E57" i="11" s="1"/>
  <c r="E9"/>
  <c r="B62" i="38"/>
  <c r="C57"/>
  <c r="C57" i="11" s="1"/>
  <c r="C9"/>
  <c r="F62" i="38"/>
  <c r="J202" i="37"/>
  <c r="B201"/>
  <c r="E62" i="38"/>
  <c r="F72"/>
  <c r="I57"/>
  <c r="I57" i="11" s="1"/>
  <c r="I9"/>
  <c r="Y9" s="1"/>
  <c r="G57" i="38"/>
  <c r="G57" i="11" s="1"/>
  <c r="W57" s="1"/>
  <c r="G9"/>
  <c r="W9" s="1"/>
  <c r="D72" i="38"/>
  <c r="I62"/>
  <c r="H67" i="44"/>
  <c r="S46" i="37" s="1"/>
  <c r="H46" s="1"/>
  <c r="J65" i="44"/>
  <c r="G66"/>
  <c r="R45" i="37" s="1"/>
  <c r="G45" s="1"/>
  <c r="G57" i="44"/>
  <c r="B57"/>
  <c r="B66"/>
  <c r="M45" i="37" s="1"/>
  <c r="J56" i="44"/>
  <c r="H49"/>
  <c r="H58"/>
  <c r="B47"/>
  <c r="J46"/>
  <c r="B16" i="17"/>
  <c r="J15"/>
  <c r="B34"/>
  <c r="E200" i="19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G36" i="17"/>
  <c r="H52" i="11"/>
  <c r="X52" s="1"/>
  <c r="X62" s="1"/>
  <c r="I219" i="19"/>
  <c r="J219" s="1"/>
  <c r="C218"/>
  <c r="D218" s="1"/>
  <c r="AA22" i="11"/>
  <c r="G52"/>
  <c r="C219" i="19"/>
  <c r="D219" s="1"/>
  <c r="D63" i="11"/>
  <c r="C63" s="1"/>
  <c r="B63" s="1"/>
  <c r="C52"/>
  <c r="B52" s="1"/>
  <c r="Z18"/>
  <c r="U45" i="37" l="1"/>
  <c r="H62" i="38"/>
  <c r="H19" i="17"/>
  <c r="M14" i="38"/>
  <c r="B168" i="37"/>
  <c r="J168" s="1"/>
  <c r="J158" s="1"/>
  <c r="G18" i="17"/>
  <c r="M37" i="11"/>
  <c r="J99" i="38"/>
  <c r="O42"/>
  <c r="H170" i="37"/>
  <c r="N37" i="38"/>
  <c r="G169" i="37"/>
  <c r="B3" i="41"/>
  <c r="B45" i="37"/>
  <c r="D57" i="34"/>
  <c r="Q218" i="19"/>
  <c r="D15" i="34" s="1"/>
  <c r="J6" i="38" s="1"/>
  <c r="J6" i="11" s="1"/>
  <c r="J7" s="1"/>
  <c r="D16" i="9"/>
  <c r="E16" s="1"/>
  <c r="O219" i="19"/>
  <c r="C62" i="38"/>
  <c r="G62"/>
  <c r="H68" i="44"/>
  <c r="S47" i="37" s="1"/>
  <c r="H47" s="1"/>
  <c r="J66" i="44"/>
  <c r="H50"/>
  <c r="H60" s="1"/>
  <c r="H59"/>
  <c r="G58"/>
  <c r="G67"/>
  <c r="R46" i="37" s="1"/>
  <c r="G46" s="1"/>
  <c r="B58" i="44"/>
  <c r="J57"/>
  <c r="B67"/>
  <c r="M46" i="37" s="1"/>
  <c r="B17" i="17"/>
  <c r="J16"/>
  <c r="K16" s="1"/>
  <c r="B35"/>
  <c r="B48" i="44"/>
  <c r="J47"/>
  <c r="E201" i="19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G37" i="17"/>
  <c r="F52" i="11"/>
  <c r="E52" s="1"/>
  <c r="D52" s="1"/>
  <c r="D62" s="1"/>
  <c r="W52"/>
  <c r="W62" s="1"/>
  <c r="C62"/>
  <c r="B62"/>
  <c r="E15" i="34" l="1"/>
  <c r="F15" s="1"/>
  <c r="D34"/>
  <c r="U46" i="37"/>
  <c r="J7" i="38"/>
  <c r="G70" s="1"/>
  <c r="N14"/>
  <c r="B169" i="37"/>
  <c r="J169" s="1"/>
  <c r="B46"/>
  <c r="P42" i="38"/>
  <c r="H171" i="37"/>
  <c r="G19" i="17"/>
  <c r="M14" i="11"/>
  <c r="J76" i="38"/>
  <c r="O37"/>
  <c r="G170" i="37"/>
  <c r="B4" i="41"/>
  <c r="K99" i="38"/>
  <c r="N37" i="11"/>
  <c r="G69" i="38"/>
  <c r="D58" i="34"/>
  <c r="Q219" i="19"/>
  <c r="D16" i="34" s="1"/>
  <c r="K6" i="38" s="1"/>
  <c r="K7" s="1"/>
  <c r="H70" s="1"/>
  <c r="D76" i="34"/>
  <c r="E57"/>
  <c r="F57" s="1"/>
  <c r="H69" i="44"/>
  <c r="S48" i="37" s="1"/>
  <c r="H48" s="1"/>
  <c r="H70" i="44"/>
  <c r="S49" i="37" s="1"/>
  <c r="H49" s="1"/>
  <c r="J67" i="44"/>
  <c r="G59"/>
  <c r="G68"/>
  <c r="R47" i="37" s="1"/>
  <c r="G47" s="1"/>
  <c r="B68" i="44"/>
  <c r="M47" i="37" s="1"/>
  <c r="B47" s="1"/>
  <c r="J58" i="44"/>
  <c r="B59"/>
  <c r="B49"/>
  <c r="J48"/>
  <c r="B18" i="17"/>
  <c r="J17"/>
  <c r="K17" s="1"/>
  <c r="B36"/>
  <c r="E202" i="19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D35" i="34"/>
  <c r="AA18" i="11"/>
  <c r="R42" i="38" l="1"/>
  <c r="H173" i="37"/>
  <c r="U47"/>
  <c r="O14" i="38"/>
  <c r="B170" i="37"/>
  <c r="J170" s="1"/>
  <c r="P37" i="38"/>
  <c r="G171" i="37"/>
  <c r="B5" i="41"/>
  <c r="Q42" i="38"/>
  <c r="H172" i="37"/>
  <c r="P14" i="38"/>
  <c r="M76" s="1"/>
  <c r="B171" i="37"/>
  <c r="J171" s="1"/>
  <c r="K76" i="38"/>
  <c r="N14" i="11"/>
  <c r="E16" i="34"/>
  <c r="F16" s="1"/>
  <c r="H69" i="38"/>
  <c r="K6" i="11"/>
  <c r="K7" s="1"/>
  <c r="D77" i="34"/>
  <c r="E58"/>
  <c r="F58" s="1"/>
  <c r="J68" i="44"/>
  <c r="B69"/>
  <c r="M48" i="37" s="1"/>
  <c r="J59" i="44"/>
  <c r="B60"/>
  <c r="G60"/>
  <c r="G69"/>
  <c r="R48" i="37" s="1"/>
  <c r="G48" s="1"/>
  <c r="B19" i="17"/>
  <c r="J18"/>
  <c r="K18" s="1"/>
  <c r="B37"/>
  <c r="B50" i="44"/>
  <c r="J50" s="1"/>
  <c r="J49"/>
  <c r="P14" i="11"/>
  <c r="E203" i="19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Y38" i="11"/>
  <c r="F63"/>
  <c r="Y57"/>
  <c r="J217" i="19"/>
  <c r="Y28" i="11"/>
  <c r="O14" l="1"/>
  <c r="L76" i="38"/>
  <c r="Q37"/>
  <c r="G172" i="37"/>
  <c r="B6" i="41"/>
  <c r="U48" i="37"/>
  <c r="B48"/>
  <c r="G70" i="44"/>
  <c r="R49" i="37" s="1"/>
  <c r="G49" s="1"/>
  <c r="J60" i="44"/>
  <c r="B70"/>
  <c r="M49" i="37" s="1"/>
  <c r="J69" i="44"/>
  <c r="J19" i="17"/>
  <c r="K19" s="1"/>
  <c r="E204" i="19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G63" i="11"/>
  <c r="W58"/>
  <c r="W63" s="1"/>
  <c r="I7"/>
  <c r="Y6"/>
  <c r="I63"/>
  <c r="Y58"/>
  <c r="Y63" s="1"/>
  <c r="H63"/>
  <c r="X58"/>
  <c r="X63" s="1"/>
  <c r="I52"/>
  <c r="R37" i="38" l="1"/>
  <c r="G173" i="37"/>
  <c r="B7" i="41"/>
  <c r="Q14" i="38"/>
  <c r="B172" i="37"/>
  <c r="J172" s="1"/>
  <c r="U49"/>
  <c r="B49"/>
  <c r="J70" i="44"/>
  <c r="E205" i="19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H7" i="11"/>
  <c r="Y7"/>
  <c r="I62"/>
  <c r="H62" s="1"/>
  <c r="G62" s="1"/>
  <c r="F62" s="1"/>
  <c r="E62" s="1"/>
  <c r="Y52"/>
  <c r="Y62" s="1"/>
  <c r="N76" i="38" l="1"/>
  <c r="Q14" i="11"/>
  <c r="Z14" s="1"/>
  <c r="R14" i="38"/>
  <c r="B173" i="37"/>
  <c r="J173" s="1"/>
  <c r="E206" i="19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G7" i="11"/>
  <c r="X7"/>
  <c r="R14" l="1"/>
  <c r="AA14" s="1"/>
  <c r="O76" i="38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F7" i="11"/>
  <c r="E7" s="1"/>
  <c r="D7" s="1"/>
  <c r="C7" s="1"/>
  <c r="B7" s="1"/>
  <c r="W7"/>
  <c r="N60" i="9" l="1"/>
  <c r="I51" i="11"/>
  <c r="H51"/>
  <c r="C51"/>
  <c r="C61" s="1"/>
  <c r="B51"/>
  <c r="B61" s="1"/>
  <c r="F51"/>
  <c r="F61" s="1"/>
  <c r="E51"/>
  <c r="E61" s="1"/>
  <c r="D51"/>
  <c r="D61" s="1"/>
  <c r="G51"/>
  <c r="D7" i="9"/>
  <c r="E7" s="1"/>
  <c r="A39"/>
  <c r="H208" i="37" l="1"/>
  <c r="H218" s="1"/>
  <c r="H74" i="44" s="1"/>
  <c r="N41" i="9"/>
  <c r="I61" i="11"/>
  <c r="Y51"/>
  <c r="Y61" s="1"/>
  <c r="G61"/>
  <c r="W51"/>
  <c r="W61" s="1"/>
  <c r="H61"/>
  <c r="X51"/>
  <c r="X61" s="1"/>
  <c r="N42" i="9" l="1"/>
  <c r="N43" l="1"/>
  <c r="N44" l="1"/>
  <c r="N45" l="1"/>
  <c r="I213" i="19"/>
  <c r="J213" s="1"/>
  <c r="I216"/>
  <c r="J216" s="1"/>
  <c r="I210"/>
  <c r="J210" s="1"/>
  <c r="I214"/>
  <c r="J214" s="1"/>
  <c r="I212"/>
  <c r="J212" s="1"/>
  <c r="N46" i="9" l="1"/>
  <c r="O56"/>
  <c r="O57" l="1"/>
  <c r="G10" i="18" l="1"/>
  <c r="G33" s="1"/>
  <c r="G11" l="1"/>
  <c r="G34" s="1"/>
  <c r="B17" i="9" l="1"/>
  <c r="E220" i="19"/>
  <c r="C220"/>
  <c r="D220" s="1"/>
  <c r="C17" i="34"/>
  <c r="L5" i="38" s="1"/>
  <c r="L5" i="11" l="1"/>
  <c r="I68" i="38"/>
  <c r="C36" i="34"/>
  <c r="B18" i="37"/>
  <c r="E18" l="1"/>
  <c r="C18"/>
  <c r="J70" i="38" l="1"/>
  <c r="J68"/>
  <c r="D18" i="37"/>
  <c r="K68" i="38" l="1"/>
  <c r="K70"/>
  <c r="L68"/>
  <c r="L70" l="1"/>
  <c r="M68"/>
  <c r="N68" l="1"/>
  <c r="M70"/>
  <c r="N70" l="1"/>
  <c r="O68"/>
  <c r="O70" l="1"/>
  <c r="N65" i="9" l="1"/>
  <c r="H33" i="17"/>
  <c r="H34" l="1"/>
  <c r="N66" i="9"/>
  <c r="M47" i="11"/>
  <c r="I33" i="17"/>
  <c r="H35"/>
  <c r="N67" i="9"/>
  <c r="N81"/>
  <c r="H241" i="37"/>
  <c r="J14" i="17"/>
  <c r="K14" l="1"/>
  <c r="K15"/>
  <c r="J44" i="37"/>
  <c r="M56" i="38" s="1"/>
  <c r="H243" i="37"/>
  <c r="N83" i="9"/>
  <c r="I34" i="17"/>
  <c r="N47" i="11"/>
  <c r="J109" i="38"/>
  <c r="F20" i="37"/>
  <c r="J34" i="17"/>
  <c r="M56" i="11"/>
  <c r="F19" i="37"/>
  <c r="J33" i="17"/>
  <c r="H36"/>
  <c r="N68" i="9"/>
  <c r="H242" i="37"/>
  <c r="N82" i="9"/>
  <c r="M104" i="38" l="1"/>
  <c r="P42" i="11"/>
  <c r="J45" i="37"/>
  <c r="N56" i="38" s="1"/>
  <c r="N56" i="11" s="1"/>
  <c r="H244" i="37"/>
  <c r="N84" i="9"/>
  <c r="I35" i="17"/>
  <c r="O47" i="11"/>
  <c r="G20" i="37"/>
  <c r="H20" s="1"/>
  <c r="I20"/>
  <c r="K109" i="38"/>
  <c r="H37" i="17"/>
  <c r="N69" i="9"/>
  <c r="G19" i="37"/>
  <c r="H19" s="1"/>
  <c r="I19"/>
  <c r="N104" i="38" l="1"/>
  <c r="Q42" i="11"/>
  <c r="Z42" s="1"/>
  <c r="J46" i="37"/>
  <c r="O56" i="38" s="1"/>
  <c r="O56" i="11" s="1"/>
  <c r="I36" i="17"/>
  <c r="P47" i="11"/>
  <c r="N70" i="9"/>
  <c r="J35" i="17"/>
  <c r="F21" i="37"/>
  <c r="L109" i="38"/>
  <c r="H245" i="37"/>
  <c r="N85" i="9"/>
  <c r="O104" i="38" l="1"/>
  <c r="R42" i="11"/>
  <c r="AA42" s="1"/>
  <c r="J47" i="37"/>
  <c r="P56" i="38" s="1"/>
  <c r="P56" i="11" s="1"/>
  <c r="J36" i="17"/>
  <c r="F22" i="37"/>
  <c r="I21"/>
  <c r="G21"/>
  <c r="H21" s="1"/>
  <c r="H246"/>
  <c r="N86" i="9"/>
  <c r="I37" i="17"/>
  <c r="Q47" i="11"/>
  <c r="M109" i="38"/>
  <c r="J48" i="37" l="1"/>
  <c r="Q56" i="38" s="1"/>
  <c r="Q56" i="11" s="1"/>
  <c r="Z56" s="1"/>
  <c r="N109" i="38"/>
  <c r="F23" i="37"/>
  <c r="J37" i="17"/>
  <c r="J49" i="37"/>
  <c r="R56" i="38" s="1"/>
  <c r="R47" i="11"/>
  <c r="G22" i="37"/>
  <c r="H22" s="1"/>
  <c r="I22"/>
  <c r="Z47" i="11"/>
  <c r="R56" l="1"/>
  <c r="AA56" s="1"/>
  <c r="F24" i="37"/>
  <c r="I23"/>
  <c r="G23"/>
  <c r="H23" s="1"/>
  <c r="O109" i="38"/>
  <c r="AA47" i="11"/>
  <c r="I24" i="37" l="1"/>
  <c r="G24"/>
  <c r="H24" s="1"/>
  <c r="H17" i="9" l="1"/>
  <c r="C220" i="20"/>
  <c r="D220" s="1"/>
  <c r="E220"/>
  <c r="H40" i="9" l="1"/>
  <c r="H58" s="1"/>
  <c r="H62" s="1"/>
  <c r="H60" s="1"/>
  <c r="B68" i="37"/>
  <c r="B208" l="1"/>
  <c r="H41" i="9"/>
  <c r="L15" i="38"/>
  <c r="B93" i="37"/>
  <c r="H65" i="9" l="1"/>
  <c r="H42"/>
  <c r="B115" i="37"/>
  <c r="B116" s="1"/>
  <c r="B192"/>
  <c r="B218" s="1"/>
  <c r="B74" i="44" s="1"/>
  <c r="I77" i="38"/>
  <c r="L15" i="11"/>
  <c r="B241" i="37" l="1"/>
  <c r="H81" i="9"/>
  <c r="B207" i="37"/>
  <c r="B209" s="1"/>
  <c r="H66" i="9"/>
  <c r="H43"/>
  <c r="B242" i="37" l="1"/>
  <c r="H82" i="9"/>
  <c r="H67"/>
  <c r="H44"/>
  <c r="H45" l="1"/>
  <c r="H68"/>
  <c r="H83"/>
  <c r="B243" i="37"/>
  <c r="B244" l="1"/>
  <c r="H84" i="9"/>
  <c r="H46"/>
  <c r="H69"/>
  <c r="H70" l="1"/>
  <c r="B245" i="37"/>
  <c r="H85" i="9"/>
  <c r="B246" i="37" l="1"/>
  <c r="H86" i="9"/>
  <c r="C220" i="21"/>
  <c r="D220"/>
  <c r="E220"/>
  <c r="I17" i="9"/>
  <c r="I40" l="1"/>
  <c r="I58" s="1"/>
  <c r="I62" s="1"/>
  <c r="I60" s="1"/>
  <c r="C68" i="37"/>
  <c r="L19" i="38" s="1"/>
  <c r="C93" i="37" l="1"/>
  <c r="C115" s="1"/>
  <c r="C116" s="1"/>
  <c r="C208"/>
  <c r="I41" i="9"/>
  <c r="I81" i="38"/>
  <c r="L19" i="11"/>
  <c r="C192" i="37" l="1"/>
  <c r="C218" s="1"/>
  <c r="C74" i="44" s="1"/>
  <c r="I42" i="9"/>
  <c r="I43" s="1"/>
  <c r="I65"/>
  <c r="I66"/>
  <c r="C207" i="37" l="1"/>
  <c r="C209" s="1"/>
  <c r="I81" i="9"/>
  <c r="C241" i="37"/>
  <c r="I82" i="9"/>
  <c r="C242" i="37"/>
  <c r="I67" i="9"/>
  <c r="I44"/>
  <c r="I45" l="1"/>
  <c r="I68"/>
  <c r="C243" i="37"/>
  <c r="I83" i="9"/>
  <c r="I69" l="1"/>
  <c r="I46"/>
  <c r="I84"/>
  <c r="C244" i="37"/>
  <c r="I70" i="9" l="1"/>
  <c r="I85"/>
  <c r="C245" i="37"/>
  <c r="C246" l="1"/>
  <c r="I86" i="9"/>
  <c r="C220" i="22"/>
  <c r="D220"/>
  <c r="E220"/>
  <c r="J17" i="9"/>
  <c r="B35" i="18" l="1"/>
  <c r="B45" s="1"/>
  <c r="B43" s="1"/>
  <c r="B308" i="37" s="1"/>
  <c r="J40" i="9"/>
  <c r="J58" s="1"/>
  <c r="J62" s="1"/>
  <c r="J60" s="1"/>
  <c r="B293" i="37"/>
  <c r="D68"/>
  <c r="B307" l="1"/>
  <c r="B309" s="1"/>
  <c r="D208"/>
  <c r="J41" i="9"/>
  <c r="D93" i="37"/>
  <c r="L23" i="38"/>
  <c r="J65" i="9" l="1"/>
  <c r="J42"/>
  <c r="I85" i="38"/>
  <c r="L23" i="11"/>
  <c r="D115" i="37"/>
  <c r="D116" s="1"/>
  <c r="D192"/>
  <c r="D218" s="1"/>
  <c r="D74" i="44" s="1"/>
  <c r="J66" i="9" l="1"/>
  <c r="J43"/>
  <c r="D207" i="37"/>
  <c r="D209" s="1"/>
  <c r="D241"/>
  <c r="J81" i="9"/>
  <c r="D242" i="37" l="1"/>
  <c r="J82" i="9"/>
  <c r="J44"/>
  <c r="J67"/>
  <c r="J68" l="1"/>
  <c r="J45"/>
  <c r="D243" i="37"/>
  <c r="J83" i="9"/>
  <c r="J46" l="1"/>
  <c r="J69"/>
  <c r="D244" i="37"/>
  <c r="J84" i="9"/>
  <c r="J70" l="1"/>
  <c r="D245" i="37"/>
  <c r="J85" i="9"/>
  <c r="D246" i="37" l="1"/>
  <c r="J86" i="9"/>
  <c r="C220" i="26"/>
  <c r="D220"/>
  <c r="E220"/>
  <c r="L17" i="9"/>
  <c r="F68" i="37" l="1"/>
  <c r="D35" i="18"/>
  <c r="L40" i="9"/>
  <c r="D293" i="37"/>
  <c r="D307" s="1"/>
  <c r="D309" s="1"/>
  <c r="D45" i="18" l="1"/>
  <c r="D43" s="1"/>
  <c r="L58" i="9"/>
  <c r="L62" s="1"/>
  <c r="L60" s="1"/>
  <c r="L33" i="38"/>
  <c r="F93" i="37"/>
  <c r="F208" l="1"/>
  <c r="D308"/>
  <c r="I95" i="38"/>
  <c r="L33" i="11"/>
  <c r="L41" i="9"/>
  <c r="F115" i="37"/>
  <c r="F116" s="1"/>
  <c r="F192"/>
  <c r="F218" l="1"/>
  <c r="F74" i="44" s="1"/>
  <c r="L42" i="9"/>
  <c r="L65"/>
  <c r="F207" i="37"/>
  <c r="F209" s="1"/>
  <c r="F241" l="1"/>
  <c r="L81" i="9"/>
  <c r="L43"/>
  <c r="L66"/>
  <c r="F242" i="37" l="1"/>
  <c r="L82" i="9"/>
  <c r="L44"/>
  <c r="L67"/>
  <c r="F243" i="37" l="1"/>
  <c r="L83" i="9"/>
  <c r="L68"/>
  <c r="L45"/>
  <c r="L46" l="1"/>
  <c r="L69"/>
  <c r="F244" i="37"/>
  <c r="L84" i="9"/>
  <c r="L70" l="1"/>
  <c r="F246" i="37" s="1"/>
  <c r="F245"/>
  <c r="L85" i="9"/>
  <c r="C220" i="23"/>
  <c r="D220" s="1"/>
  <c r="E220"/>
  <c r="K17" i="9"/>
  <c r="C35" i="18"/>
  <c r="C45" s="1"/>
  <c r="C43" s="1"/>
  <c r="L86" i="9" l="1"/>
  <c r="C308" i="37"/>
  <c r="C293"/>
  <c r="E68"/>
  <c r="K40" i="9"/>
  <c r="K58" l="1"/>
  <c r="E93" i="37"/>
  <c r="L28" i="38"/>
  <c r="C307" i="37"/>
  <c r="C309" s="1"/>
  <c r="K62" i="9" l="1"/>
  <c r="K60"/>
  <c r="E115" i="37"/>
  <c r="E116" s="1"/>
  <c r="E192"/>
  <c r="I90" i="38"/>
  <c r="L28" i="11"/>
  <c r="E208" i="37" l="1"/>
  <c r="E218" s="1"/>
  <c r="E74" i="44" s="1"/>
  <c r="K41" i="9"/>
  <c r="E207" i="37"/>
  <c r="E209" s="1"/>
  <c r="K65" i="9" l="1"/>
  <c r="K42"/>
  <c r="E241" i="37" l="1"/>
  <c r="K81" i="9"/>
  <c r="K43"/>
  <c r="K66"/>
  <c r="K82" l="1"/>
  <c r="E242" i="37"/>
  <c r="K44" i="9"/>
  <c r="K67"/>
  <c r="E243" i="37" l="1"/>
  <c r="K83" i="9"/>
  <c r="K68"/>
  <c r="K45"/>
  <c r="K46" l="1"/>
  <c r="K69"/>
  <c r="E244" i="37"/>
  <c r="K84" i="9"/>
  <c r="M17"/>
  <c r="M40" s="1"/>
  <c r="C220" i="27"/>
  <c r="D220"/>
  <c r="E220"/>
  <c r="E35" i="18" l="1"/>
  <c r="E45" s="1"/>
  <c r="E43" s="1"/>
  <c r="H35"/>
  <c r="G35" s="1"/>
  <c r="G45" s="1"/>
  <c r="G43" s="1"/>
  <c r="K85" i="9"/>
  <c r="E245" i="37"/>
  <c r="K70" i="9"/>
  <c r="M58"/>
  <c r="M62" s="1"/>
  <c r="M60" s="1"/>
  <c r="E293" i="37"/>
  <c r="G68"/>
  <c r="G208" l="1"/>
  <c r="E246"/>
  <c r="K86" i="9"/>
  <c r="E308" i="37"/>
  <c r="G308"/>
  <c r="M41" i="9"/>
  <c r="L38" i="38"/>
  <c r="G93" i="37"/>
  <c r="E307"/>
  <c r="E309" s="1"/>
  <c r="G293"/>
  <c r="G307" s="1"/>
  <c r="G309" s="1"/>
  <c r="M65" i="9" l="1"/>
  <c r="M81" s="1"/>
  <c r="M42"/>
  <c r="G192" i="37"/>
  <c r="G115"/>
  <c r="G116" s="1"/>
  <c r="I100" i="38"/>
  <c r="L38" i="11"/>
  <c r="G207" i="37" l="1"/>
  <c r="G209" s="1"/>
  <c r="M43" i="9"/>
  <c r="M66"/>
  <c r="M82" s="1"/>
  <c r="M44" l="1"/>
  <c r="M67"/>
  <c r="M83" s="1"/>
  <c r="M45" l="1"/>
  <c r="M68"/>
  <c r="M84" s="1"/>
  <c r="M69" l="1"/>
  <c r="M85" s="1"/>
  <c r="M46"/>
  <c r="O17"/>
  <c r="P17" s="1"/>
  <c r="P40" s="1"/>
  <c r="C220" i="28"/>
  <c r="D220"/>
  <c r="E220"/>
  <c r="M70" i="9" l="1"/>
  <c r="M86" s="1"/>
  <c r="I68" i="37"/>
  <c r="G17" i="9"/>
  <c r="O40"/>
  <c r="O58" l="1"/>
  <c r="O62" s="1"/>
  <c r="O60" s="1"/>
  <c r="F17"/>
  <c r="G40"/>
  <c r="G58" s="1"/>
  <c r="G62" s="1"/>
  <c r="G60" s="1"/>
  <c r="I93" i="37"/>
  <c r="L48" i="38"/>
  <c r="J68" i="37"/>
  <c r="I208" l="1"/>
  <c r="O41" i="9"/>
  <c r="I115" i="37"/>
  <c r="I116" s="1"/>
  <c r="I192"/>
  <c r="L52" i="38"/>
  <c r="I110"/>
  <c r="I114" s="1"/>
  <c r="L48" i="11"/>
  <c r="L52" s="1"/>
  <c r="J93" i="37"/>
  <c r="J115" s="1"/>
  <c r="J116" s="1"/>
  <c r="J192"/>
  <c r="L9" i="38"/>
  <c r="I218" i="37" l="1"/>
  <c r="I74" i="44" s="1"/>
  <c r="O65" i="9"/>
  <c r="O42"/>
  <c r="J207" i="37"/>
  <c r="J209" s="1"/>
  <c r="G65" i="9"/>
  <c r="I207" i="37"/>
  <c r="I209" s="1"/>
  <c r="I72" i="38"/>
  <c r="L9" i="11"/>
  <c r="L57" i="38"/>
  <c r="L57" i="11" s="1"/>
  <c r="L62" s="1"/>
  <c r="P41" i="9" l="1"/>
  <c r="N97"/>
  <c r="H97"/>
  <c r="I97"/>
  <c r="J97"/>
  <c r="L97"/>
  <c r="K97"/>
  <c r="O97"/>
  <c r="I241" i="37"/>
  <c r="O81" i="9"/>
  <c r="P81" s="1"/>
  <c r="O43"/>
  <c r="O67" s="1"/>
  <c r="O66"/>
  <c r="I242" i="37"/>
  <c r="L62" i="38"/>
  <c r="O44" i="9"/>
  <c r="P97" l="1"/>
  <c r="O82"/>
  <c r="P82" s="1"/>
  <c r="G66"/>
  <c r="P42" s="1"/>
  <c r="O68"/>
  <c r="O45"/>
  <c r="I243" i="37"/>
  <c r="G67" i="9"/>
  <c r="P43" s="1"/>
  <c r="O83"/>
  <c r="O46" l="1"/>
  <c r="O69"/>
  <c r="I244" i="37"/>
  <c r="G68" i="9"/>
  <c r="P44" s="1"/>
  <c r="O84"/>
  <c r="P83"/>
  <c r="P84" l="1"/>
  <c r="O70"/>
  <c r="I245" i="37"/>
  <c r="G69" i="9"/>
  <c r="P45" s="1"/>
  <c r="O85"/>
  <c r="P85" l="1"/>
  <c r="I246" i="37"/>
  <c r="O86" i="9"/>
  <c r="G70"/>
  <c r="P46" s="1"/>
  <c r="P86" l="1"/>
  <c r="C220" i="32"/>
  <c r="D220" s="1"/>
  <c r="E220"/>
  <c r="C220" i="33"/>
  <c r="D220" s="1"/>
  <c r="E220"/>
  <c r="C219" i="37" l="1"/>
  <c r="C75" i="44" s="1"/>
  <c r="D219" i="37"/>
  <c r="E219"/>
  <c r="F219"/>
  <c r="F75" i="44" s="1"/>
  <c r="H219" i="37"/>
  <c r="I219"/>
  <c r="F220"/>
  <c r="F76" i="44" s="1"/>
  <c r="B219" i="37"/>
  <c r="B75" i="44" s="1"/>
  <c r="P51" i="38"/>
  <c r="P61" s="1"/>
  <c r="Q51"/>
  <c r="Q61" s="1"/>
  <c r="R51"/>
  <c r="R61" s="1"/>
  <c r="L99"/>
  <c r="M99"/>
  <c r="M113" s="1"/>
  <c r="N99"/>
  <c r="N113" s="1"/>
  <c r="O99"/>
  <c r="O113" s="1"/>
  <c r="O37" i="11"/>
  <c r="P37"/>
  <c r="P51" s="1"/>
  <c r="P61" s="1"/>
  <c r="Q37"/>
  <c r="R37"/>
  <c r="AA37" s="1"/>
  <c r="B220" i="37" l="1"/>
  <c r="B76" i="44" s="1"/>
  <c r="F221" i="37"/>
  <c r="F77" i="44" s="1"/>
  <c r="I220" i="37"/>
  <c r="I75" i="44"/>
  <c r="D220" i="37"/>
  <c r="D75" i="44"/>
  <c r="H220" i="37"/>
  <c r="H75" i="44"/>
  <c r="B221" i="37"/>
  <c r="C220"/>
  <c r="E220"/>
  <c r="E75" i="44"/>
  <c r="R51" i="11"/>
  <c r="AA51" s="1"/>
  <c r="AA61" s="1"/>
  <c r="Q51"/>
  <c r="Z37"/>
  <c r="F222" i="37" l="1"/>
  <c r="F223" s="1"/>
  <c r="F79" i="44" s="1"/>
  <c r="C76"/>
  <c r="C221" i="37"/>
  <c r="B222"/>
  <c r="B77" i="44"/>
  <c r="D221" i="37"/>
  <c r="D76" i="44"/>
  <c r="F78"/>
  <c r="E221" i="37"/>
  <c r="E76" i="44"/>
  <c r="H221" i="37"/>
  <c r="H76" i="44"/>
  <c r="I221" i="37"/>
  <c r="I76" i="44"/>
  <c r="R61" i="11"/>
  <c r="Z51"/>
  <c r="Z61" s="1"/>
  <c r="Q61"/>
  <c r="J51" i="38"/>
  <c r="J61" s="1"/>
  <c r="K51"/>
  <c r="K61" s="1"/>
  <c r="L51"/>
  <c r="L61" s="1"/>
  <c r="M51"/>
  <c r="M61" s="1"/>
  <c r="N51"/>
  <c r="N61" s="1"/>
  <c r="O51"/>
  <c r="O61" s="1"/>
  <c r="G104"/>
  <c r="G113" s="1"/>
  <c r="H104"/>
  <c r="H113" s="1"/>
  <c r="I104"/>
  <c r="J104"/>
  <c r="K104"/>
  <c r="L104"/>
  <c r="L113" s="1"/>
  <c r="I113"/>
  <c r="J113"/>
  <c r="K113"/>
  <c r="J42" i="11"/>
  <c r="J51" s="1"/>
  <c r="J61" s="1"/>
  <c r="K42"/>
  <c r="K51" s="1"/>
  <c r="K61" s="1"/>
  <c r="L42"/>
  <c r="L51" s="1"/>
  <c r="L61" s="1"/>
  <c r="M42"/>
  <c r="M51" s="1"/>
  <c r="M61" s="1"/>
  <c r="N42"/>
  <c r="N51" s="1"/>
  <c r="N61" s="1"/>
  <c r="O42"/>
  <c r="O51" s="1"/>
  <c r="O61" s="1"/>
  <c r="C222" i="37" l="1"/>
  <c r="C77" i="44"/>
  <c r="H222" i="37"/>
  <c r="H77" i="44"/>
  <c r="B223" i="37"/>
  <c r="B79" i="44" s="1"/>
  <c r="B78"/>
  <c r="I222" i="37"/>
  <c r="I77" i="44"/>
  <c r="E77"/>
  <c r="E222" i="37"/>
  <c r="D222"/>
  <c r="D77" i="44"/>
  <c r="E223" i="37" l="1"/>
  <c r="E79" i="44" s="1"/>
  <c r="E78"/>
  <c r="D78"/>
  <c r="D223" i="37"/>
  <c r="D79" i="44" s="1"/>
  <c r="I223" i="37"/>
  <c r="I79" i="44" s="1"/>
  <c r="I78"/>
  <c r="H223" i="37"/>
  <c r="H79" i="44" s="1"/>
  <c r="H78"/>
  <c r="C223" i="37"/>
  <c r="C79" i="44" s="1"/>
  <c r="C78"/>
  <c r="K18" i="42"/>
  <c r="L18"/>
  <c r="M18"/>
  <c r="N18"/>
  <c r="O18"/>
  <c r="K19"/>
  <c r="L19"/>
  <c r="M19"/>
  <c r="N19"/>
  <c r="O19"/>
  <c r="D134" i="32"/>
  <c r="H134"/>
  <c r="I134"/>
  <c r="J134"/>
  <c r="D135"/>
  <c r="H135"/>
  <c r="D136"/>
  <c r="H136"/>
  <c r="D137"/>
  <c r="H137"/>
  <c r="D138"/>
  <c r="H138"/>
  <c r="D139"/>
  <c r="H139"/>
  <c r="D140"/>
  <c r="H140"/>
  <c r="D141"/>
  <c r="H141"/>
  <c r="D142"/>
  <c r="H142"/>
  <c r="D143"/>
  <c r="H143"/>
  <c r="D144"/>
  <c r="H144"/>
  <c r="D145"/>
  <c r="H145"/>
  <c r="D146"/>
  <c r="H146"/>
  <c r="D147"/>
  <c r="H147"/>
  <c r="D148"/>
  <c r="H148"/>
  <c r="D149"/>
  <c r="H149"/>
  <c r="D150"/>
  <c r="H150"/>
  <c r="D151"/>
  <c r="H151"/>
  <c r="D152"/>
  <c r="H152"/>
  <c r="D153"/>
  <c r="H153"/>
  <c r="D154"/>
  <c r="H154"/>
  <c r="D155"/>
  <c r="H155"/>
  <c r="D156"/>
  <c r="H156"/>
  <c r="D157"/>
  <c r="H157"/>
  <c r="D158"/>
  <c r="H158"/>
  <c r="D159"/>
  <c r="H159"/>
  <c r="D160"/>
  <c r="H160"/>
  <c r="D161"/>
  <c r="H161"/>
  <c r="D162"/>
  <c r="H162"/>
  <c r="D163"/>
  <c r="H163"/>
  <c r="D164"/>
  <c r="H164"/>
  <c r="D165"/>
  <c r="H165"/>
  <c r="D166"/>
  <c r="H166"/>
  <c r="D167"/>
  <c r="H167"/>
  <c r="D168"/>
  <c r="H168"/>
  <c r="D169"/>
  <c r="H169"/>
  <c r="D170"/>
  <c r="H170"/>
  <c r="D171"/>
  <c r="H171"/>
  <c r="D172"/>
  <c r="H172"/>
  <c r="D173"/>
  <c r="H173"/>
  <c r="D174"/>
  <c r="H174"/>
  <c r="D175"/>
  <c r="H175"/>
  <c r="D176"/>
  <c r="H176"/>
  <c r="D177"/>
  <c r="H177"/>
  <c r="D178"/>
  <c r="H178"/>
  <c r="D179"/>
  <c r="H179"/>
  <c r="D180"/>
  <c r="H180"/>
  <c r="D181"/>
  <c r="H181"/>
  <c r="D182"/>
  <c r="H182"/>
  <c r="D183"/>
  <c r="H183"/>
  <c r="D184"/>
  <c r="H184"/>
  <c r="D185"/>
  <c r="H185"/>
  <c r="D186"/>
  <c r="H186"/>
  <c r="D187"/>
  <c r="H187"/>
  <c r="D188"/>
  <c r="H188"/>
  <c r="D189"/>
  <c r="H189"/>
  <c r="D190"/>
  <c r="H190"/>
  <c r="D191"/>
  <c r="H191"/>
  <c r="D192"/>
  <c r="H192"/>
  <c r="D193"/>
  <c r="H193"/>
  <c r="D194"/>
  <c r="H194"/>
  <c r="D195"/>
  <c r="H195"/>
  <c r="D196"/>
  <c r="H196"/>
  <c r="D197"/>
  <c r="H197"/>
  <c r="D198"/>
  <c r="H198"/>
  <c r="D199"/>
  <c r="H199"/>
  <c r="D200"/>
  <c r="H200"/>
  <c r="D201"/>
  <c r="H201"/>
  <c r="D202"/>
  <c r="H202"/>
  <c r="D203"/>
  <c r="H203"/>
  <c r="D204"/>
  <c r="H204"/>
  <c r="D205"/>
  <c r="H205"/>
  <c r="D206"/>
  <c r="H206"/>
  <c r="H208"/>
  <c r="H220"/>
  <c r="I220"/>
  <c r="J220"/>
  <c r="M220"/>
  <c r="O220"/>
  <c r="Q220"/>
  <c r="B221"/>
  <c r="C221"/>
  <c r="D221"/>
  <c r="E221"/>
  <c r="H221"/>
  <c r="I221"/>
  <c r="J221"/>
  <c r="M221"/>
  <c r="O221"/>
  <c r="P221"/>
  <c r="Q221"/>
  <c r="B222"/>
  <c r="C222"/>
  <c r="D222"/>
  <c r="E222"/>
  <c r="H222"/>
  <c r="I222"/>
  <c r="J222"/>
  <c r="L222"/>
  <c r="M222"/>
  <c r="N222"/>
  <c r="O222"/>
  <c r="P222"/>
  <c r="Q222"/>
  <c r="B223"/>
  <c r="C223"/>
  <c r="D223"/>
  <c r="E223"/>
  <c r="H223"/>
  <c r="I223"/>
  <c r="J223"/>
  <c r="L223"/>
  <c r="M223"/>
  <c r="N223"/>
  <c r="O223"/>
  <c r="P223"/>
  <c r="Q223"/>
  <c r="B224"/>
  <c r="C224"/>
  <c r="D224"/>
  <c r="E224"/>
  <c r="H224"/>
  <c r="I224"/>
  <c r="J224"/>
  <c r="L224"/>
  <c r="M224"/>
  <c r="N224"/>
  <c r="O224"/>
  <c r="P224"/>
  <c r="Q224"/>
  <c r="B225"/>
  <c r="C225"/>
  <c r="D225"/>
  <c r="E225"/>
  <c r="H225"/>
  <c r="I225"/>
  <c r="J225"/>
  <c r="L225"/>
  <c r="M225"/>
  <c r="N225"/>
  <c r="O225"/>
  <c r="P225"/>
  <c r="Q225"/>
  <c r="B226"/>
  <c r="C226"/>
  <c r="D226"/>
  <c r="E226"/>
  <c r="H226"/>
  <c r="I226"/>
  <c r="J226"/>
  <c r="L226"/>
  <c r="M226"/>
  <c r="N226"/>
  <c r="O226"/>
  <c r="P226"/>
  <c r="Q226"/>
  <c r="B228"/>
  <c r="H228"/>
  <c r="I228"/>
  <c r="H230"/>
  <c r="I230"/>
  <c r="D134" i="33"/>
  <c r="H134"/>
  <c r="I134"/>
  <c r="J134"/>
  <c r="D135"/>
  <c r="H135"/>
  <c r="D136"/>
  <c r="H136"/>
  <c r="D137"/>
  <c r="H137"/>
  <c r="D138"/>
  <c r="H138"/>
  <c r="D139"/>
  <c r="H139"/>
  <c r="D140"/>
  <c r="H140"/>
  <c r="D141"/>
  <c r="H141"/>
  <c r="D142"/>
  <c r="H142"/>
  <c r="D143"/>
  <c r="H143"/>
  <c r="D144"/>
  <c r="H144"/>
  <c r="D145"/>
  <c r="H145"/>
  <c r="D146"/>
  <c r="H146"/>
  <c r="D147"/>
  <c r="H147"/>
  <c r="D148"/>
  <c r="H148"/>
  <c r="D149"/>
  <c r="H149"/>
  <c r="D150"/>
  <c r="H150"/>
  <c r="D151"/>
  <c r="H151"/>
  <c r="D152"/>
  <c r="H152"/>
  <c r="D153"/>
  <c r="H153"/>
  <c r="D154"/>
  <c r="H154"/>
  <c r="D155"/>
  <c r="H155"/>
  <c r="D156"/>
  <c r="H156"/>
  <c r="D157"/>
  <c r="H157"/>
  <c r="D158"/>
  <c r="H158"/>
  <c r="D159"/>
  <c r="H159"/>
  <c r="D160"/>
  <c r="H160"/>
  <c r="D161"/>
  <c r="H161"/>
  <c r="D162"/>
  <c r="H162"/>
  <c r="D163"/>
  <c r="H163"/>
  <c r="D164"/>
  <c r="H164"/>
  <c r="D165"/>
  <c r="H165"/>
  <c r="D166"/>
  <c r="H166"/>
  <c r="D167"/>
  <c r="H167"/>
  <c r="D168"/>
  <c r="H168"/>
  <c r="D169"/>
  <c r="H169"/>
  <c r="D170"/>
  <c r="H170"/>
  <c r="D171"/>
  <c r="H171"/>
  <c r="D172"/>
  <c r="H172"/>
  <c r="D173"/>
  <c r="H173"/>
  <c r="D174"/>
  <c r="H174"/>
  <c r="D175"/>
  <c r="H175"/>
  <c r="D176"/>
  <c r="H176"/>
  <c r="D177"/>
  <c r="H177"/>
  <c r="D178"/>
  <c r="H178"/>
  <c r="D179"/>
  <c r="H179"/>
  <c r="D180"/>
  <c r="H180"/>
  <c r="D181"/>
  <c r="H181"/>
  <c r="D182"/>
  <c r="H182"/>
  <c r="D183"/>
  <c r="H183"/>
  <c r="D184"/>
  <c r="H184"/>
  <c r="D185"/>
  <c r="H185"/>
  <c r="D186"/>
  <c r="H186"/>
  <c r="D187"/>
  <c r="H187"/>
  <c r="D188"/>
  <c r="H188"/>
  <c r="D189"/>
  <c r="H189"/>
  <c r="D190"/>
  <c r="H190"/>
  <c r="D191"/>
  <c r="H191"/>
  <c r="D192"/>
  <c r="H192"/>
  <c r="D193"/>
  <c r="H193"/>
  <c r="D194"/>
  <c r="H194"/>
  <c r="D195"/>
  <c r="H195"/>
  <c r="D196"/>
  <c r="H196"/>
  <c r="D197"/>
  <c r="H197"/>
  <c r="D198"/>
  <c r="H198"/>
  <c r="D199"/>
  <c r="H199"/>
  <c r="D200"/>
  <c r="H200"/>
  <c r="D201"/>
  <c r="H201"/>
  <c r="D202"/>
  <c r="H202"/>
  <c r="D203"/>
  <c r="H203"/>
  <c r="D204"/>
  <c r="H204"/>
  <c r="D205"/>
  <c r="H205"/>
  <c r="D206"/>
  <c r="H206"/>
  <c r="H208"/>
  <c r="H220"/>
  <c r="I220"/>
  <c r="J220"/>
  <c r="M220"/>
  <c r="O220"/>
  <c r="Q220"/>
  <c r="B221"/>
  <c r="C221"/>
  <c r="D221"/>
  <c r="E221"/>
  <c r="H221"/>
  <c r="I221"/>
  <c r="J221"/>
  <c r="M221"/>
  <c r="O221"/>
  <c r="P221"/>
  <c r="Q221"/>
  <c r="B222"/>
  <c r="C222"/>
  <c r="D222"/>
  <c r="E222"/>
  <c r="H222"/>
  <c r="I222"/>
  <c r="J222"/>
  <c r="L222"/>
  <c r="M222"/>
  <c r="N222"/>
  <c r="O222"/>
  <c r="P222"/>
  <c r="Q222"/>
  <c r="B223"/>
  <c r="C223"/>
  <c r="D223"/>
  <c r="E223"/>
  <c r="H223"/>
  <c r="I223"/>
  <c r="J223"/>
  <c r="L223"/>
  <c r="M223"/>
  <c r="N223"/>
  <c r="O223"/>
  <c r="P223"/>
  <c r="Q223"/>
  <c r="B224"/>
  <c r="C224"/>
  <c r="D224"/>
  <c r="E224"/>
  <c r="H224"/>
  <c r="I224"/>
  <c r="J224"/>
  <c r="L224"/>
  <c r="M224"/>
  <c r="N224"/>
  <c r="O224"/>
  <c r="P224"/>
  <c r="Q224"/>
  <c r="B225"/>
  <c r="C225"/>
  <c r="D225"/>
  <c r="E225"/>
  <c r="H225"/>
  <c r="I225"/>
  <c r="J225"/>
  <c r="L225"/>
  <c r="M225"/>
  <c r="N225"/>
  <c r="O225"/>
  <c r="P225"/>
  <c r="Q225"/>
  <c r="B226"/>
  <c r="C226"/>
  <c r="D226"/>
  <c r="E226"/>
  <c r="H226"/>
  <c r="I226"/>
  <c r="J226"/>
  <c r="L226"/>
  <c r="M226"/>
  <c r="N226"/>
  <c r="O226"/>
  <c r="P226"/>
  <c r="Q226"/>
  <c r="B228"/>
  <c r="H228"/>
  <c r="I228"/>
  <c r="H230"/>
  <c r="I230"/>
  <c r="D17" i="34"/>
  <c r="E17"/>
  <c r="F17"/>
  <c r="D18"/>
  <c r="D19"/>
  <c r="D20"/>
  <c r="D21"/>
  <c r="D22"/>
  <c r="D23"/>
  <c r="D36"/>
  <c r="E36"/>
  <c r="F36"/>
  <c r="D37"/>
  <c r="E37"/>
  <c r="F37"/>
  <c r="D38"/>
  <c r="E38"/>
  <c r="F38"/>
  <c r="D39"/>
  <c r="E39"/>
  <c r="F39"/>
  <c r="D40"/>
  <c r="E40"/>
  <c r="F40"/>
  <c r="D41"/>
  <c r="E41"/>
  <c r="F41"/>
  <c r="D42"/>
  <c r="E42"/>
  <c r="F42"/>
  <c r="D59"/>
  <c r="E59"/>
  <c r="F59"/>
  <c r="D60"/>
  <c r="D61"/>
  <c r="D62"/>
  <c r="D63"/>
  <c r="D64"/>
  <c r="D65"/>
  <c r="D78"/>
  <c r="E78"/>
  <c r="F78"/>
  <c r="D79"/>
  <c r="E79"/>
  <c r="F79"/>
  <c r="D80"/>
  <c r="E80"/>
  <c r="F80"/>
  <c r="D81"/>
  <c r="E81"/>
  <c r="F81"/>
  <c r="D82"/>
  <c r="E82"/>
  <c r="F82"/>
  <c r="D83"/>
  <c r="E83"/>
  <c r="F83"/>
  <c r="D84"/>
  <c r="E84"/>
  <c r="F84"/>
  <c r="B19" i="37"/>
  <c r="C19"/>
  <c r="D19"/>
  <c r="E19"/>
  <c r="B20"/>
  <c r="C20"/>
  <c r="D20"/>
  <c r="E20"/>
  <c r="B21"/>
  <c r="C21"/>
  <c r="D21"/>
  <c r="E21"/>
  <c r="B22"/>
  <c r="C22"/>
  <c r="D22"/>
  <c r="E22"/>
  <c r="B23"/>
  <c r="C23"/>
  <c r="D23"/>
  <c r="E23"/>
  <c r="B24"/>
  <c r="C24"/>
  <c r="D24"/>
  <c r="E24"/>
  <c r="B69"/>
  <c r="C69"/>
  <c r="D69"/>
  <c r="E69"/>
  <c r="F69"/>
  <c r="G69"/>
  <c r="H69"/>
  <c r="I69"/>
  <c r="J69"/>
  <c r="M69"/>
  <c r="N69"/>
  <c r="O69"/>
  <c r="P69"/>
  <c r="Q69"/>
  <c r="R69"/>
  <c r="S69"/>
  <c r="T69"/>
  <c r="U69"/>
  <c r="B70"/>
  <c r="C70"/>
  <c r="D70"/>
  <c r="E70"/>
  <c r="F70"/>
  <c r="G70"/>
  <c r="H70"/>
  <c r="I70"/>
  <c r="J70"/>
  <c r="M70"/>
  <c r="N70"/>
  <c r="O70"/>
  <c r="P70"/>
  <c r="Q70"/>
  <c r="R70"/>
  <c r="S70"/>
  <c r="T70"/>
  <c r="U70"/>
  <c r="B71"/>
  <c r="C71"/>
  <c r="D71"/>
  <c r="E71"/>
  <c r="F71"/>
  <c r="G71"/>
  <c r="H71"/>
  <c r="I71"/>
  <c r="J71"/>
  <c r="M71"/>
  <c r="N71"/>
  <c r="O71"/>
  <c r="P71"/>
  <c r="Q71"/>
  <c r="R71"/>
  <c r="S71"/>
  <c r="T71"/>
  <c r="U71"/>
  <c r="B72"/>
  <c r="C72"/>
  <c r="D72"/>
  <c r="E72"/>
  <c r="F72"/>
  <c r="G72"/>
  <c r="H72"/>
  <c r="I72"/>
  <c r="J72"/>
  <c r="M72"/>
  <c r="N72"/>
  <c r="O72"/>
  <c r="P72"/>
  <c r="Q72"/>
  <c r="R72"/>
  <c r="S72"/>
  <c r="T72"/>
  <c r="U72"/>
  <c r="B73"/>
  <c r="C73"/>
  <c r="D73"/>
  <c r="E73"/>
  <c r="F73"/>
  <c r="G73"/>
  <c r="H73"/>
  <c r="I73"/>
  <c r="J73"/>
  <c r="M73"/>
  <c r="N73"/>
  <c r="O73"/>
  <c r="P73"/>
  <c r="Q73"/>
  <c r="R73"/>
  <c r="S73"/>
  <c r="T73"/>
  <c r="U73"/>
  <c r="B74"/>
  <c r="C74"/>
  <c r="D74"/>
  <c r="E74"/>
  <c r="F74"/>
  <c r="G74"/>
  <c r="H74"/>
  <c r="I74"/>
  <c r="J74"/>
  <c r="M74"/>
  <c r="N74"/>
  <c r="O74"/>
  <c r="P74"/>
  <c r="Q74"/>
  <c r="R74"/>
  <c r="S74"/>
  <c r="T74"/>
  <c r="U74"/>
  <c r="B94"/>
  <c r="C94"/>
  <c r="D94"/>
  <c r="E94"/>
  <c r="F94"/>
  <c r="G94"/>
  <c r="H94"/>
  <c r="I94"/>
  <c r="J94"/>
  <c r="B95"/>
  <c r="C95"/>
  <c r="D95"/>
  <c r="E95"/>
  <c r="F95"/>
  <c r="G95"/>
  <c r="H95"/>
  <c r="I95"/>
  <c r="J95"/>
  <c r="B96"/>
  <c r="C96"/>
  <c r="D96"/>
  <c r="E96"/>
  <c r="F96"/>
  <c r="G96"/>
  <c r="H96"/>
  <c r="I96"/>
  <c r="J96"/>
  <c r="B97"/>
  <c r="C97"/>
  <c r="D97"/>
  <c r="E97"/>
  <c r="F97"/>
  <c r="G97"/>
  <c r="H97"/>
  <c r="I97"/>
  <c r="J97"/>
  <c r="B98"/>
  <c r="C98"/>
  <c r="D98"/>
  <c r="E98"/>
  <c r="F98"/>
  <c r="G98"/>
  <c r="H98"/>
  <c r="I98"/>
  <c r="J98"/>
  <c r="B99"/>
  <c r="C99"/>
  <c r="D99"/>
  <c r="E99"/>
  <c r="F99"/>
  <c r="G99"/>
  <c r="H99"/>
  <c r="I99"/>
  <c r="J99"/>
  <c r="B117"/>
  <c r="C117"/>
  <c r="D117"/>
  <c r="E117"/>
  <c r="F117"/>
  <c r="G117"/>
  <c r="H117"/>
  <c r="I117"/>
  <c r="J117"/>
  <c r="B118"/>
  <c r="C118"/>
  <c r="D118"/>
  <c r="E118"/>
  <c r="F118"/>
  <c r="G118"/>
  <c r="H118"/>
  <c r="I118"/>
  <c r="J118"/>
  <c r="B119"/>
  <c r="C119"/>
  <c r="D119"/>
  <c r="E119"/>
  <c r="F119"/>
  <c r="G119"/>
  <c r="H119"/>
  <c r="I119"/>
  <c r="J119"/>
  <c r="B120"/>
  <c r="C120"/>
  <c r="D120"/>
  <c r="E120"/>
  <c r="F120"/>
  <c r="G120"/>
  <c r="H120"/>
  <c r="I120"/>
  <c r="J120"/>
  <c r="B121"/>
  <c r="C121"/>
  <c r="D121"/>
  <c r="E121"/>
  <c r="F121"/>
  <c r="G121"/>
  <c r="H121"/>
  <c r="I121"/>
  <c r="J121"/>
  <c r="B122"/>
  <c r="C122"/>
  <c r="D122"/>
  <c r="E122"/>
  <c r="F122"/>
  <c r="G122"/>
  <c r="H122"/>
  <c r="I122"/>
  <c r="J122"/>
  <c r="J208"/>
  <c r="G218"/>
  <c r="J218"/>
  <c r="G219"/>
  <c r="J219"/>
  <c r="G220"/>
  <c r="J220"/>
  <c r="G221"/>
  <c r="J221"/>
  <c r="G222"/>
  <c r="J222"/>
  <c r="G223"/>
  <c r="J223"/>
  <c r="B231"/>
  <c r="C231"/>
  <c r="D231"/>
  <c r="E231"/>
  <c r="F231"/>
  <c r="G231"/>
  <c r="H231"/>
  <c r="I231"/>
  <c r="J231"/>
  <c r="B232"/>
  <c r="C232"/>
  <c r="D232"/>
  <c r="E232"/>
  <c r="F232"/>
  <c r="G232"/>
  <c r="H232"/>
  <c r="I232"/>
  <c r="J232"/>
  <c r="B233"/>
  <c r="C233"/>
  <c r="D233"/>
  <c r="E233"/>
  <c r="F233"/>
  <c r="G233"/>
  <c r="H233"/>
  <c r="I233"/>
  <c r="J233"/>
  <c r="B234"/>
  <c r="C234"/>
  <c r="D234"/>
  <c r="E234"/>
  <c r="F234"/>
  <c r="G234"/>
  <c r="H234"/>
  <c r="I234"/>
  <c r="J234"/>
  <c r="B235"/>
  <c r="C235"/>
  <c r="D235"/>
  <c r="E235"/>
  <c r="F235"/>
  <c r="G235"/>
  <c r="H235"/>
  <c r="I235"/>
  <c r="J235"/>
  <c r="B236"/>
  <c r="C236"/>
  <c r="D236"/>
  <c r="E236"/>
  <c r="F236"/>
  <c r="G236"/>
  <c r="H236"/>
  <c r="I236"/>
  <c r="J236"/>
  <c r="G241"/>
  <c r="J241"/>
  <c r="G242"/>
  <c r="J242"/>
  <c r="G243"/>
  <c r="J243"/>
  <c r="G244"/>
  <c r="J244"/>
  <c r="G245"/>
  <c r="J245"/>
  <c r="G246"/>
  <c r="J246"/>
  <c r="B250"/>
  <c r="C250"/>
  <c r="D250"/>
  <c r="E250"/>
  <c r="F250"/>
  <c r="G250"/>
  <c r="H250"/>
  <c r="I250"/>
  <c r="J250"/>
  <c r="B251"/>
  <c r="C251"/>
  <c r="D251"/>
  <c r="E251"/>
  <c r="F251"/>
  <c r="G251"/>
  <c r="H251"/>
  <c r="I251"/>
  <c r="J251"/>
  <c r="B252"/>
  <c r="C252"/>
  <c r="D252"/>
  <c r="E252"/>
  <c r="F252"/>
  <c r="G252"/>
  <c r="H252"/>
  <c r="I252"/>
  <c r="J252"/>
  <c r="B253"/>
  <c r="C253"/>
  <c r="D253"/>
  <c r="E253"/>
  <c r="F253"/>
  <c r="G253"/>
  <c r="H253"/>
  <c r="I253"/>
  <c r="J253"/>
  <c r="B254"/>
  <c r="C254"/>
  <c r="D254"/>
  <c r="E254"/>
  <c r="F254"/>
  <c r="G254"/>
  <c r="H254"/>
  <c r="I254"/>
  <c r="J254"/>
  <c r="B255"/>
  <c r="C255"/>
  <c r="D255"/>
  <c r="E255"/>
  <c r="F255"/>
  <c r="G255"/>
  <c r="H255"/>
  <c r="I255"/>
  <c r="J255"/>
  <c r="B259"/>
  <c r="C259"/>
  <c r="D259"/>
  <c r="E259"/>
  <c r="F259"/>
  <c r="G259"/>
  <c r="H259"/>
  <c r="I259"/>
  <c r="J259"/>
  <c r="B260"/>
  <c r="C260"/>
  <c r="D260"/>
  <c r="E260"/>
  <c r="F260"/>
  <c r="G260"/>
  <c r="H260"/>
  <c r="I260"/>
  <c r="J260"/>
  <c r="B261"/>
  <c r="C261"/>
  <c r="D261"/>
  <c r="E261"/>
  <c r="F261"/>
  <c r="G261"/>
  <c r="H261"/>
  <c r="I261"/>
  <c r="J261"/>
  <c r="B262"/>
  <c r="C262"/>
  <c r="D262"/>
  <c r="E262"/>
  <c r="F262"/>
  <c r="G262"/>
  <c r="H262"/>
  <c r="I262"/>
  <c r="J262"/>
  <c r="B263"/>
  <c r="C263"/>
  <c r="D263"/>
  <c r="E263"/>
  <c r="F263"/>
  <c r="G263"/>
  <c r="H263"/>
  <c r="I263"/>
  <c r="J263"/>
  <c r="B264"/>
  <c r="C264"/>
  <c r="D264"/>
  <c r="E264"/>
  <c r="F264"/>
  <c r="G264"/>
  <c r="H264"/>
  <c r="I264"/>
  <c r="J264"/>
  <c r="B313"/>
  <c r="C313"/>
  <c r="D313"/>
  <c r="E313"/>
  <c r="F313"/>
  <c r="G313"/>
  <c r="B314"/>
  <c r="C314"/>
  <c r="D314"/>
  <c r="E314"/>
  <c r="F314"/>
  <c r="G314"/>
  <c r="B315"/>
  <c r="C315"/>
  <c r="D315"/>
  <c r="E315"/>
  <c r="F315"/>
  <c r="G315"/>
  <c r="B316"/>
  <c r="C316"/>
  <c r="D316"/>
  <c r="E316"/>
  <c r="F316"/>
  <c r="G316"/>
  <c r="B317"/>
  <c r="C317"/>
  <c r="D317"/>
  <c r="E317"/>
  <c r="F317"/>
  <c r="G317"/>
  <c r="B318"/>
  <c r="C318"/>
  <c r="D318"/>
  <c r="E318"/>
  <c r="F318"/>
  <c r="G318"/>
  <c r="L6" i="38"/>
  <c r="M6"/>
  <c r="N6"/>
  <c r="O6"/>
  <c r="P6"/>
  <c r="Q6"/>
  <c r="R6"/>
  <c r="L7"/>
  <c r="M9"/>
  <c r="N9"/>
  <c r="O9"/>
  <c r="P9"/>
  <c r="Q9"/>
  <c r="R9"/>
  <c r="M10"/>
  <c r="N10"/>
  <c r="O10"/>
  <c r="P10"/>
  <c r="Q10"/>
  <c r="R10"/>
  <c r="M15"/>
  <c r="N15"/>
  <c r="O15"/>
  <c r="P15"/>
  <c r="Q15"/>
  <c r="R15"/>
  <c r="M19"/>
  <c r="N19"/>
  <c r="O19"/>
  <c r="P19"/>
  <c r="Q19"/>
  <c r="R19"/>
  <c r="M23"/>
  <c r="N23"/>
  <c r="O23"/>
  <c r="P23"/>
  <c r="Q23"/>
  <c r="R23"/>
  <c r="M24"/>
  <c r="N24"/>
  <c r="O24"/>
  <c r="P24"/>
  <c r="Q24"/>
  <c r="R24"/>
  <c r="M28"/>
  <c r="N28"/>
  <c r="O28"/>
  <c r="P28"/>
  <c r="Q28"/>
  <c r="R28"/>
  <c r="M29"/>
  <c r="N29"/>
  <c r="O29"/>
  <c r="P29"/>
  <c r="Q29"/>
  <c r="R29"/>
  <c r="M33"/>
  <c r="N33"/>
  <c r="O33"/>
  <c r="P33"/>
  <c r="Q33"/>
  <c r="R33"/>
  <c r="M34"/>
  <c r="N34"/>
  <c r="O34"/>
  <c r="P34"/>
  <c r="Q34"/>
  <c r="R34"/>
  <c r="M38"/>
  <c r="N38"/>
  <c r="O38"/>
  <c r="P38"/>
  <c r="Q38"/>
  <c r="R38"/>
  <c r="M39"/>
  <c r="N39"/>
  <c r="O39"/>
  <c r="P39"/>
  <c r="Q39"/>
  <c r="R39"/>
  <c r="M43"/>
  <c r="N43"/>
  <c r="O43"/>
  <c r="P43"/>
  <c r="Q43"/>
  <c r="R43"/>
  <c r="M44"/>
  <c r="N44"/>
  <c r="O44"/>
  <c r="P44"/>
  <c r="Q44"/>
  <c r="R44"/>
  <c r="M48"/>
  <c r="N48"/>
  <c r="O48"/>
  <c r="P48"/>
  <c r="Q48"/>
  <c r="R48"/>
  <c r="M52"/>
  <c r="N52"/>
  <c r="O52"/>
  <c r="P52"/>
  <c r="Q52"/>
  <c r="R52"/>
  <c r="M53"/>
  <c r="N53"/>
  <c r="O53"/>
  <c r="P53"/>
  <c r="Q53"/>
  <c r="R53"/>
  <c r="M57"/>
  <c r="N57"/>
  <c r="O57"/>
  <c r="P57"/>
  <c r="Q57"/>
  <c r="R57"/>
  <c r="M58"/>
  <c r="N58"/>
  <c r="O58"/>
  <c r="P58"/>
  <c r="Q58"/>
  <c r="R58"/>
  <c r="M62"/>
  <c r="N62"/>
  <c r="O62"/>
  <c r="P62"/>
  <c r="Q62"/>
  <c r="R62"/>
  <c r="M63"/>
  <c r="N63"/>
  <c r="O63"/>
  <c r="P63"/>
  <c r="Q63"/>
  <c r="R63"/>
  <c r="I69"/>
  <c r="J69"/>
  <c r="K69"/>
  <c r="L69"/>
  <c r="M69"/>
  <c r="N69"/>
  <c r="O69"/>
  <c r="I70"/>
  <c r="J72"/>
  <c r="K72"/>
  <c r="L72"/>
  <c r="M72"/>
  <c r="N72"/>
  <c r="O72"/>
  <c r="J77"/>
  <c r="K77"/>
  <c r="L77"/>
  <c r="M77"/>
  <c r="N77"/>
  <c r="O77"/>
  <c r="J81"/>
  <c r="K81"/>
  <c r="L81"/>
  <c r="M81"/>
  <c r="N81"/>
  <c r="O81"/>
  <c r="J85"/>
  <c r="K85"/>
  <c r="L85"/>
  <c r="M85"/>
  <c r="N85"/>
  <c r="O85"/>
  <c r="J86"/>
  <c r="K86"/>
  <c r="L86"/>
  <c r="M86"/>
  <c r="N86"/>
  <c r="O86"/>
  <c r="J90"/>
  <c r="K90"/>
  <c r="L90"/>
  <c r="M90"/>
  <c r="N90"/>
  <c r="O90"/>
  <c r="J91"/>
  <c r="K91"/>
  <c r="L91"/>
  <c r="M91"/>
  <c r="N91"/>
  <c r="O91"/>
  <c r="J95"/>
  <c r="K95"/>
  <c r="L95"/>
  <c r="M95"/>
  <c r="N95"/>
  <c r="O95"/>
  <c r="J96"/>
  <c r="K96"/>
  <c r="L96"/>
  <c r="M96"/>
  <c r="N96"/>
  <c r="O96"/>
  <c r="J100"/>
  <c r="K100"/>
  <c r="L100"/>
  <c r="M100"/>
  <c r="N100"/>
  <c r="O100"/>
  <c r="J101"/>
  <c r="K101"/>
  <c r="L101"/>
  <c r="M101"/>
  <c r="N101"/>
  <c r="O101"/>
  <c r="J105"/>
  <c r="K105"/>
  <c r="L105"/>
  <c r="M105"/>
  <c r="N105"/>
  <c r="O105"/>
  <c r="J106"/>
  <c r="K106"/>
  <c r="L106"/>
  <c r="M106"/>
  <c r="N106"/>
  <c r="O106"/>
  <c r="J110"/>
  <c r="K110"/>
  <c r="L110"/>
  <c r="M110"/>
  <c r="N110"/>
  <c r="O110"/>
  <c r="J114"/>
  <c r="K114"/>
  <c r="L114"/>
  <c r="M114"/>
  <c r="N114"/>
  <c r="O114"/>
  <c r="J115"/>
  <c r="K115"/>
  <c r="L115"/>
  <c r="M115"/>
  <c r="N115"/>
  <c r="O115"/>
  <c r="D134" i="39"/>
  <c r="H134"/>
  <c r="M134"/>
  <c r="Q134"/>
  <c r="V134"/>
  <c r="Z134"/>
  <c r="D135"/>
  <c r="H135"/>
  <c r="M135"/>
  <c r="Q135"/>
  <c r="V135"/>
  <c r="Z135"/>
  <c r="D136"/>
  <c r="H136"/>
  <c r="M136"/>
  <c r="Q136"/>
  <c r="V136"/>
  <c r="Z136"/>
  <c r="D137"/>
  <c r="H137"/>
  <c r="M137"/>
  <c r="Q137"/>
  <c r="V137"/>
  <c r="Z137"/>
  <c r="D138"/>
  <c r="H138"/>
  <c r="M138"/>
  <c r="Q138"/>
  <c r="V138"/>
  <c r="Z138"/>
  <c r="D139"/>
  <c r="H139"/>
  <c r="M139"/>
  <c r="Q139"/>
  <c r="V139"/>
  <c r="Z139"/>
  <c r="D140"/>
  <c r="H140"/>
  <c r="M140"/>
  <c r="Q140"/>
  <c r="V140"/>
  <c r="Z140"/>
  <c r="D141"/>
  <c r="H141"/>
  <c r="M141"/>
  <c r="Q141"/>
  <c r="V141"/>
  <c r="Z141"/>
  <c r="D142"/>
  <c r="H142"/>
  <c r="M142"/>
  <c r="Q142"/>
  <c r="V142"/>
  <c r="Z142"/>
  <c r="D143"/>
  <c r="H143"/>
  <c r="M143"/>
  <c r="Q143"/>
  <c r="V143"/>
  <c r="Z143"/>
  <c r="D144"/>
  <c r="H144"/>
  <c r="M144"/>
  <c r="Q144"/>
  <c r="V144"/>
  <c r="Z144"/>
  <c r="D145"/>
  <c r="H145"/>
  <c r="M145"/>
  <c r="Q145"/>
  <c r="V145"/>
  <c r="Z145"/>
  <c r="D146"/>
  <c r="H146"/>
  <c r="M146"/>
  <c r="Q146"/>
  <c r="V146"/>
  <c r="Z146"/>
  <c r="D147"/>
  <c r="H147"/>
  <c r="M147"/>
  <c r="Q147"/>
  <c r="V147"/>
  <c r="Z147"/>
  <c r="D148"/>
  <c r="H148"/>
  <c r="M148"/>
  <c r="Q148"/>
  <c r="V148"/>
  <c r="Z148"/>
  <c r="D149"/>
  <c r="H149"/>
  <c r="M149"/>
  <c r="Q149"/>
  <c r="V149"/>
  <c r="Z149"/>
  <c r="D150"/>
  <c r="H150"/>
  <c r="M150"/>
  <c r="Q150"/>
  <c r="V150"/>
  <c r="Z150"/>
  <c r="D151"/>
  <c r="H151"/>
  <c r="M151"/>
  <c r="Q151"/>
  <c r="V151"/>
  <c r="Z151"/>
  <c r="D152"/>
  <c r="H152"/>
  <c r="M152"/>
  <c r="Q152"/>
  <c r="V152"/>
  <c r="Z152"/>
  <c r="D153"/>
  <c r="H153"/>
  <c r="M153"/>
  <c r="Q153"/>
  <c r="V153"/>
  <c r="Z153"/>
  <c r="D154"/>
  <c r="H154"/>
  <c r="M154"/>
  <c r="Q154"/>
  <c r="V154"/>
  <c r="Z154"/>
  <c r="D155"/>
  <c r="H155"/>
  <c r="M155"/>
  <c r="Q155"/>
  <c r="V155"/>
  <c r="Z155"/>
  <c r="D156"/>
  <c r="H156"/>
  <c r="M156"/>
  <c r="Q156"/>
  <c r="V156"/>
  <c r="Z156"/>
  <c r="D157"/>
  <c r="H157"/>
  <c r="M157"/>
  <c r="Q157"/>
  <c r="V157"/>
  <c r="Z157"/>
  <c r="D158"/>
  <c r="H158"/>
  <c r="M158"/>
  <c r="Q158"/>
  <c r="V158"/>
  <c r="Z158"/>
  <c r="D159"/>
  <c r="H159"/>
  <c r="M159"/>
  <c r="Q159"/>
  <c r="V159"/>
  <c r="Z159"/>
  <c r="D160"/>
  <c r="H160"/>
  <c r="M160"/>
  <c r="Q160"/>
  <c r="V160"/>
  <c r="Z160"/>
  <c r="D161"/>
  <c r="H161"/>
  <c r="M161"/>
  <c r="Q161"/>
  <c r="V161"/>
  <c r="Z161"/>
  <c r="D162"/>
  <c r="H162"/>
  <c r="M162"/>
  <c r="Q162"/>
  <c r="V162"/>
  <c r="Z162"/>
  <c r="D163"/>
  <c r="H163"/>
  <c r="M163"/>
  <c r="Q163"/>
  <c r="V163"/>
  <c r="Z163"/>
  <c r="D164"/>
  <c r="H164"/>
  <c r="M164"/>
  <c r="Q164"/>
  <c r="V164"/>
  <c r="Z164"/>
  <c r="D165"/>
  <c r="H165"/>
  <c r="M165"/>
  <c r="Q165"/>
  <c r="V165"/>
  <c r="Z165"/>
  <c r="D166"/>
  <c r="H166"/>
  <c r="M166"/>
  <c r="Q166"/>
  <c r="V166"/>
  <c r="Z166"/>
  <c r="D167"/>
  <c r="H167"/>
  <c r="M167"/>
  <c r="Q167"/>
  <c r="V167"/>
  <c r="Z167"/>
  <c r="D168"/>
  <c r="H168"/>
  <c r="M168"/>
  <c r="Q168"/>
  <c r="V168"/>
  <c r="Z168"/>
  <c r="D169"/>
  <c r="H169"/>
  <c r="M169"/>
  <c r="Q169"/>
  <c r="V169"/>
  <c r="Z169"/>
  <c r="D170"/>
  <c r="H170"/>
  <c r="M170"/>
  <c r="Q170"/>
  <c r="V170"/>
  <c r="Z170"/>
  <c r="D171"/>
  <c r="H171"/>
  <c r="M171"/>
  <c r="Q171"/>
  <c r="V171"/>
  <c r="Z171"/>
  <c r="D172"/>
  <c r="H172"/>
  <c r="M172"/>
  <c r="Q172"/>
  <c r="V172"/>
  <c r="Z172"/>
  <c r="D173"/>
  <c r="H173"/>
  <c r="M173"/>
  <c r="Q173"/>
  <c r="V173"/>
  <c r="Z173"/>
  <c r="D174"/>
  <c r="H174"/>
  <c r="M174"/>
  <c r="Q174"/>
  <c r="V174"/>
  <c r="Z174"/>
  <c r="D175"/>
  <c r="H175"/>
  <c r="M175"/>
  <c r="Q175"/>
  <c r="V175"/>
  <c r="Z175"/>
  <c r="D176"/>
  <c r="H176"/>
  <c r="M176"/>
  <c r="Q176"/>
  <c r="V176"/>
  <c r="Z176"/>
  <c r="D177"/>
  <c r="H177"/>
  <c r="M177"/>
  <c r="Q177"/>
  <c r="V177"/>
  <c r="Z177"/>
  <c r="D178"/>
  <c r="H178"/>
  <c r="M178"/>
  <c r="Q178"/>
  <c r="V178"/>
  <c r="Z178"/>
  <c r="D179"/>
  <c r="H179"/>
  <c r="M179"/>
  <c r="Q179"/>
  <c r="V179"/>
  <c r="Z179"/>
  <c r="D180"/>
  <c r="H180"/>
  <c r="M180"/>
  <c r="Q180"/>
  <c r="V180"/>
  <c r="Z180"/>
  <c r="D181"/>
  <c r="H181"/>
  <c r="M181"/>
  <c r="Q181"/>
  <c r="V181"/>
  <c r="Z181"/>
  <c r="D182"/>
  <c r="H182"/>
  <c r="M182"/>
  <c r="Q182"/>
  <c r="V182"/>
  <c r="Z182"/>
  <c r="D183"/>
  <c r="H183"/>
  <c r="M183"/>
  <c r="Q183"/>
  <c r="V183"/>
  <c r="Z183"/>
  <c r="D184"/>
  <c r="H184"/>
  <c r="M184"/>
  <c r="Q184"/>
  <c r="V184"/>
  <c r="Z184"/>
  <c r="D185"/>
  <c r="H185"/>
  <c r="M185"/>
  <c r="Q185"/>
  <c r="V185"/>
  <c r="Z185"/>
  <c r="D186"/>
  <c r="H186"/>
  <c r="M186"/>
  <c r="Q186"/>
  <c r="V186"/>
  <c r="Z186"/>
  <c r="D187"/>
  <c r="H187"/>
  <c r="M187"/>
  <c r="Q187"/>
  <c r="V187"/>
  <c r="Z187"/>
  <c r="D188"/>
  <c r="H188"/>
  <c r="M188"/>
  <c r="Q188"/>
  <c r="V188"/>
  <c r="Z188"/>
  <c r="D189"/>
  <c r="H189"/>
  <c r="M189"/>
  <c r="Q189"/>
  <c r="V189"/>
  <c r="Z189"/>
  <c r="D190"/>
  <c r="H190"/>
  <c r="M190"/>
  <c r="Q190"/>
  <c r="V190"/>
  <c r="Z190"/>
  <c r="D191"/>
  <c r="H191"/>
  <c r="M191"/>
  <c r="Q191"/>
  <c r="V191"/>
  <c r="Z191"/>
  <c r="D192"/>
  <c r="H192"/>
  <c r="M192"/>
  <c r="Q192"/>
  <c r="V192"/>
  <c r="Z192"/>
  <c r="D193"/>
  <c r="H193"/>
  <c r="M193"/>
  <c r="Q193"/>
  <c r="V193"/>
  <c r="Z193"/>
  <c r="D194"/>
  <c r="H194"/>
  <c r="M194"/>
  <c r="Q194"/>
  <c r="V194"/>
  <c r="Z194"/>
  <c r="D195"/>
  <c r="H195"/>
  <c r="M195"/>
  <c r="Q195"/>
  <c r="V195"/>
  <c r="Z195"/>
  <c r="D196"/>
  <c r="H196"/>
  <c r="M196"/>
  <c r="Q196"/>
  <c r="V196"/>
  <c r="Z196"/>
  <c r="D197"/>
  <c r="H197"/>
  <c r="M197"/>
  <c r="Q197"/>
  <c r="V197"/>
  <c r="Z197"/>
  <c r="D198"/>
  <c r="H198"/>
  <c r="M198"/>
  <c r="Q198"/>
  <c r="V198"/>
  <c r="Z198"/>
  <c r="D199"/>
  <c r="H199"/>
  <c r="M199"/>
  <c r="Q199"/>
  <c r="V199"/>
  <c r="Z199"/>
  <c r="D200"/>
  <c r="H200"/>
  <c r="M200"/>
  <c r="Q200"/>
  <c r="V200"/>
  <c r="Z200"/>
  <c r="D201"/>
  <c r="H201"/>
  <c r="M201"/>
  <c r="Q201"/>
  <c r="V201"/>
  <c r="Z201"/>
  <c r="D202"/>
  <c r="H202"/>
  <c r="M202"/>
  <c r="Q202"/>
  <c r="V202"/>
  <c r="Z202"/>
  <c r="D203"/>
  <c r="H203"/>
  <c r="M203"/>
  <c r="Q203"/>
  <c r="V203"/>
  <c r="Z203"/>
  <c r="D204"/>
  <c r="H204"/>
  <c r="M204"/>
  <c r="Q204"/>
  <c r="V204"/>
  <c r="Z204"/>
  <c r="D205"/>
  <c r="H205"/>
  <c r="M205"/>
  <c r="Q205"/>
  <c r="V205"/>
  <c r="Z205"/>
  <c r="D206"/>
  <c r="H206"/>
  <c r="M206"/>
  <c r="Q206"/>
  <c r="V206"/>
  <c r="Z206"/>
  <c r="G74" i="44"/>
  <c r="J74"/>
  <c r="G75"/>
  <c r="J75"/>
  <c r="G76"/>
  <c r="J76"/>
  <c r="G77"/>
  <c r="J77"/>
  <c r="G78"/>
  <c r="J78"/>
  <c r="G79"/>
  <c r="J79"/>
  <c r="B86"/>
  <c r="C86"/>
  <c r="D86"/>
  <c r="E86"/>
  <c r="F86"/>
  <c r="G86"/>
  <c r="H86"/>
  <c r="I86"/>
  <c r="J86"/>
  <c r="B87"/>
  <c r="C87"/>
  <c r="D87"/>
  <c r="E87"/>
  <c r="F87"/>
  <c r="G87"/>
  <c r="H87"/>
  <c r="I87"/>
  <c r="J87"/>
  <c r="B88"/>
  <c r="C88"/>
  <c r="D88"/>
  <c r="E88"/>
  <c r="F88"/>
  <c r="G88"/>
  <c r="H88"/>
  <c r="I88"/>
  <c r="J88"/>
  <c r="B89"/>
  <c r="C89"/>
  <c r="D89"/>
  <c r="E89"/>
  <c r="F89"/>
  <c r="G89"/>
  <c r="H89"/>
  <c r="I89"/>
  <c r="J89"/>
  <c r="B90"/>
  <c r="C90"/>
  <c r="D90"/>
  <c r="E90"/>
  <c r="F90"/>
  <c r="G90"/>
  <c r="H90"/>
  <c r="I90"/>
  <c r="J90"/>
  <c r="B91"/>
  <c r="C91"/>
  <c r="D91"/>
  <c r="E91"/>
  <c r="F91"/>
  <c r="G91"/>
  <c r="H91"/>
  <c r="I91"/>
  <c r="J91"/>
  <c r="B95"/>
  <c r="C95"/>
  <c r="D95"/>
  <c r="E95"/>
  <c r="F95"/>
  <c r="G95"/>
  <c r="H95"/>
  <c r="I95"/>
  <c r="J95"/>
  <c r="B96"/>
  <c r="C96"/>
  <c r="D96"/>
  <c r="E96"/>
  <c r="F96"/>
  <c r="G96"/>
  <c r="H96"/>
  <c r="I96"/>
  <c r="J96"/>
  <c r="B97"/>
  <c r="C97"/>
  <c r="D97"/>
  <c r="E97"/>
  <c r="F97"/>
  <c r="G97"/>
  <c r="H97"/>
  <c r="I97"/>
  <c r="J97"/>
  <c r="B98"/>
  <c r="C98"/>
  <c r="D98"/>
  <c r="E98"/>
  <c r="F98"/>
  <c r="G98"/>
  <c r="H98"/>
  <c r="I98"/>
  <c r="J98"/>
  <c r="B99"/>
  <c r="C99"/>
  <c r="D99"/>
  <c r="E99"/>
  <c r="F99"/>
  <c r="G99"/>
  <c r="H99"/>
  <c r="I99"/>
  <c r="J99"/>
  <c r="B100"/>
  <c r="C100"/>
  <c r="D100"/>
  <c r="E100"/>
  <c r="F100"/>
  <c r="G100"/>
  <c r="H100"/>
  <c r="I100"/>
  <c r="J100"/>
  <c r="B104"/>
  <c r="C104"/>
  <c r="B105"/>
  <c r="C105"/>
  <c r="B106"/>
  <c r="C106"/>
  <c r="B107"/>
  <c r="C107"/>
  <c r="B108"/>
  <c r="C108"/>
  <c r="B109"/>
  <c r="C109"/>
  <c r="D134" i="21"/>
  <c r="I134"/>
  <c r="J134"/>
  <c r="K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I208"/>
  <c r="I220"/>
  <c r="J220"/>
  <c r="K220"/>
  <c r="B221"/>
  <c r="C221"/>
  <c r="D221"/>
  <c r="E221"/>
  <c r="I221"/>
  <c r="J221"/>
  <c r="K221"/>
  <c r="B222"/>
  <c r="C222"/>
  <c r="D222"/>
  <c r="E222"/>
  <c r="I222"/>
  <c r="J222"/>
  <c r="K222"/>
  <c r="B223"/>
  <c r="C223"/>
  <c r="D223"/>
  <c r="E223"/>
  <c r="I223"/>
  <c r="J223"/>
  <c r="K223"/>
  <c r="B224"/>
  <c r="C224"/>
  <c r="D224"/>
  <c r="E224"/>
  <c r="I224"/>
  <c r="J224"/>
  <c r="K224"/>
  <c r="B225"/>
  <c r="C225"/>
  <c r="D225"/>
  <c r="E225"/>
  <c r="I225"/>
  <c r="J225"/>
  <c r="K225"/>
  <c r="B226"/>
  <c r="C226"/>
  <c r="D226"/>
  <c r="E226"/>
  <c r="I226"/>
  <c r="J226"/>
  <c r="K226"/>
  <c r="B228"/>
  <c r="I228"/>
  <c r="J228"/>
  <c r="I230"/>
  <c r="J230"/>
  <c r="D134" i="22"/>
  <c r="I134"/>
  <c r="J134"/>
  <c r="K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I208"/>
  <c r="I220"/>
  <c r="J220"/>
  <c r="K220"/>
  <c r="B221"/>
  <c r="C221"/>
  <c r="D221"/>
  <c r="E221"/>
  <c r="I221"/>
  <c r="J221"/>
  <c r="K221"/>
  <c r="B222"/>
  <c r="C222"/>
  <c r="D222"/>
  <c r="E222"/>
  <c r="I222"/>
  <c r="J222"/>
  <c r="K222"/>
  <c r="B223"/>
  <c r="C223"/>
  <c r="D223"/>
  <c r="E223"/>
  <c r="I223"/>
  <c r="J223"/>
  <c r="K223"/>
  <c r="B224"/>
  <c r="C224"/>
  <c r="D224"/>
  <c r="E224"/>
  <c r="I224"/>
  <c r="J224"/>
  <c r="K224"/>
  <c r="B225"/>
  <c r="C225"/>
  <c r="D225"/>
  <c r="E225"/>
  <c r="I225"/>
  <c r="J225"/>
  <c r="K225"/>
  <c r="B226"/>
  <c r="C226"/>
  <c r="D226"/>
  <c r="E226"/>
  <c r="I226"/>
  <c r="J226"/>
  <c r="K226"/>
  <c r="B228"/>
  <c r="I228"/>
  <c r="J228"/>
  <c r="I230"/>
  <c r="J230"/>
  <c r="D134" i="26"/>
  <c r="I134"/>
  <c r="J134"/>
  <c r="K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I208"/>
  <c r="I220"/>
  <c r="J220"/>
  <c r="K220"/>
  <c r="B221"/>
  <c r="C221"/>
  <c r="D221"/>
  <c r="E221"/>
  <c r="I221"/>
  <c r="J221"/>
  <c r="K221"/>
  <c r="B222"/>
  <c r="C222"/>
  <c r="D222"/>
  <c r="E222"/>
  <c r="I222"/>
  <c r="J222"/>
  <c r="K222"/>
  <c r="B223"/>
  <c r="C223"/>
  <c r="D223"/>
  <c r="E223"/>
  <c r="I223"/>
  <c r="J223"/>
  <c r="K223"/>
  <c r="B224"/>
  <c r="C224"/>
  <c r="D224"/>
  <c r="E224"/>
  <c r="I224"/>
  <c r="J224"/>
  <c r="K224"/>
  <c r="B225"/>
  <c r="C225"/>
  <c r="D225"/>
  <c r="E225"/>
  <c r="I225"/>
  <c r="J225"/>
  <c r="K225"/>
  <c r="B226"/>
  <c r="C226"/>
  <c r="D226"/>
  <c r="E226"/>
  <c r="I226"/>
  <c r="J226"/>
  <c r="K226"/>
  <c r="B228"/>
  <c r="I228"/>
  <c r="J228"/>
  <c r="I230"/>
  <c r="J230"/>
  <c r="D134" i="23"/>
  <c r="I134"/>
  <c r="J134"/>
  <c r="K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I208"/>
  <c r="I220"/>
  <c r="J220"/>
  <c r="K220"/>
  <c r="B221"/>
  <c r="C221"/>
  <c r="D221"/>
  <c r="E221"/>
  <c r="I221"/>
  <c r="J221"/>
  <c r="K221"/>
  <c r="B222"/>
  <c r="C222"/>
  <c r="D222"/>
  <c r="E222"/>
  <c r="I222"/>
  <c r="J222"/>
  <c r="K222"/>
  <c r="B223"/>
  <c r="C223"/>
  <c r="D223"/>
  <c r="E223"/>
  <c r="I223"/>
  <c r="J223"/>
  <c r="K223"/>
  <c r="B224"/>
  <c r="C224"/>
  <c r="D224"/>
  <c r="E224"/>
  <c r="I224"/>
  <c r="J224"/>
  <c r="K224"/>
  <c r="B225"/>
  <c r="C225"/>
  <c r="D225"/>
  <c r="E225"/>
  <c r="I225"/>
  <c r="J225"/>
  <c r="K225"/>
  <c r="B226"/>
  <c r="C226"/>
  <c r="D226"/>
  <c r="E226"/>
  <c r="I226"/>
  <c r="J226"/>
  <c r="K226"/>
  <c r="B228"/>
  <c r="I228"/>
  <c r="J228"/>
  <c r="I230"/>
  <c r="J230"/>
  <c r="C2" i="41"/>
  <c r="D2"/>
  <c r="E2"/>
  <c r="F2"/>
  <c r="G2"/>
  <c r="H2"/>
  <c r="I2"/>
  <c r="C3"/>
  <c r="D3"/>
  <c r="E3"/>
  <c r="F3"/>
  <c r="G3"/>
  <c r="H3"/>
  <c r="I3"/>
  <c r="C4"/>
  <c r="D4"/>
  <c r="E4"/>
  <c r="F4"/>
  <c r="G4"/>
  <c r="H4"/>
  <c r="I4"/>
  <c r="C5"/>
  <c r="D5"/>
  <c r="E5"/>
  <c r="F5"/>
  <c r="G5"/>
  <c r="H5"/>
  <c r="I5"/>
  <c r="C6"/>
  <c r="D6"/>
  <c r="E6"/>
  <c r="F6"/>
  <c r="G6"/>
  <c r="H6"/>
  <c r="I6"/>
  <c r="C7"/>
  <c r="D7"/>
  <c r="E7"/>
  <c r="F7"/>
  <c r="G7"/>
  <c r="H7"/>
  <c r="I7"/>
  <c r="D134" i="19"/>
  <c r="H134"/>
  <c r="I134"/>
  <c r="J134"/>
  <c r="D135"/>
  <c r="H135"/>
  <c r="D136"/>
  <c r="H136"/>
  <c r="D137"/>
  <c r="H137"/>
  <c r="D138"/>
  <c r="H138"/>
  <c r="D139"/>
  <c r="H139"/>
  <c r="D140"/>
  <c r="H140"/>
  <c r="D141"/>
  <c r="H141"/>
  <c r="D142"/>
  <c r="H142"/>
  <c r="D143"/>
  <c r="H143"/>
  <c r="D144"/>
  <c r="H144"/>
  <c r="D145"/>
  <c r="H145"/>
  <c r="D146"/>
  <c r="H146"/>
  <c r="D147"/>
  <c r="H147"/>
  <c r="D148"/>
  <c r="H148"/>
  <c r="D149"/>
  <c r="H149"/>
  <c r="D150"/>
  <c r="H150"/>
  <c r="D151"/>
  <c r="H151"/>
  <c r="D152"/>
  <c r="H152"/>
  <c r="D153"/>
  <c r="H153"/>
  <c r="D154"/>
  <c r="H154"/>
  <c r="D155"/>
  <c r="H155"/>
  <c r="D156"/>
  <c r="H156"/>
  <c r="D157"/>
  <c r="H157"/>
  <c r="D158"/>
  <c r="H158"/>
  <c r="D159"/>
  <c r="H159"/>
  <c r="D160"/>
  <c r="H160"/>
  <c r="D161"/>
  <c r="H161"/>
  <c r="D162"/>
  <c r="H162"/>
  <c r="D163"/>
  <c r="H163"/>
  <c r="D164"/>
  <c r="H164"/>
  <c r="D165"/>
  <c r="H165"/>
  <c r="D166"/>
  <c r="H166"/>
  <c r="D167"/>
  <c r="H167"/>
  <c r="D168"/>
  <c r="H168"/>
  <c r="D169"/>
  <c r="H169"/>
  <c r="D170"/>
  <c r="H170"/>
  <c r="D171"/>
  <c r="H171"/>
  <c r="D172"/>
  <c r="H172"/>
  <c r="D173"/>
  <c r="H173"/>
  <c r="D174"/>
  <c r="H174"/>
  <c r="D175"/>
  <c r="H175"/>
  <c r="D176"/>
  <c r="H176"/>
  <c r="D177"/>
  <c r="H177"/>
  <c r="D178"/>
  <c r="H178"/>
  <c r="D179"/>
  <c r="H179"/>
  <c r="D180"/>
  <c r="H180"/>
  <c r="D181"/>
  <c r="H181"/>
  <c r="D182"/>
  <c r="H182"/>
  <c r="D183"/>
  <c r="H183"/>
  <c r="D184"/>
  <c r="H184"/>
  <c r="D185"/>
  <c r="H185"/>
  <c r="D186"/>
  <c r="H186"/>
  <c r="D187"/>
  <c r="H187"/>
  <c r="D188"/>
  <c r="H188"/>
  <c r="D189"/>
  <c r="H189"/>
  <c r="D190"/>
  <c r="H190"/>
  <c r="D191"/>
  <c r="H191"/>
  <c r="D192"/>
  <c r="H192"/>
  <c r="D193"/>
  <c r="H193"/>
  <c r="D194"/>
  <c r="H194"/>
  <c r="D195"/>
  <c r="H195"/>
  <c r="D196"/>
  <c r="H196"/>
  <c r="D197"/>
  <c r="H197"/>
  <c r="D198"/>
  <c r="H198"/>
  <c r="D199"/>
  <c r="H199"/>
  <c r="D200"/>
  <c r="H200"/>
  <c r="D201"/>
  <c r="H201"/>
  <c r="D202"/>
  <c r="H202"/>
  <c r="D203"/>
  <c r="H203"/>
  <c r="D204"/>
  <c r="H204"/>
  <c r="D205"/>
  <c r="H205"/>
  <c r="D206"/>
  <c r="H206"/>
  <c r="H208"/>
  <c r="H220"/>
  <c r="I220"/>
  <c r="J220"/>
  <c r="M220"/>
  <c r="O220"/>
  <c r="Q220"/>
  <c r="B221"/>
  <c r="C221"/>
  <c r="D221"/>
  <c r="E221"/>
  <c r="H221"/>
  <c r="I221"/>
  <c r="J221"/>
  <c r="M221"/>
  <c r="O221"/>
  <c r="P221"/>
  <c r="Q221"/>
  <c r="B222"/>
  <c r="C222"/>
  <c r="D222"/>
  <c r="E222"/>
  <c r="H222"/>
  <c r="I222"/>
  <c r="J222"/>
  <c r="L222"/>
  <c r="M222"/>
  <c r="N222"/>
  <c r="O222"/>
  <c r="P222"/>
  <c r="Q222"/>
  <c r="B223"/>
  <c r="C223"/>
  <c r="D223"/>
  <c r="E223"/>
  <c r="H223"/>
  <c r="I223"/>
  <c r="J223"/>
  <c r="L223"/>
  <c r="M223"/>
  <c r="N223"/>
  <c r="O223"/>
  <c r="P223"/>
  <c r="Q223"/>
  <c r="B224"/>
  <c r="C224"/>
  <c r="D224"/>
  <c r="E224"/>
  <c r="H224"/>
  <c r="I224"/>
  <c r="J224"/>
  <c r="L224"/>
  <c r="M224"/>
  <c r="N224"/>
  <c r="O224"/>
  <c r="P224"/>
  <c r="Q224"/>
  <c r="B225"/>
  <c r="C225"/>
  <c r="D225"/>
  <c r="E225"/>
  <c r="H225"/>
  <c r="I225"/>
  <c r="J225"/>
  <c r="L225"/>
  <c r="M225"/>
  <c r="N225"/>
  <c r="O225"/>
  <c r="P225"/>
  <c r="Q225"/>
  <c r="B226"/>
  <c r="C226"/>
  <c r="D226"/>
  <c r="E226"/>
  <c r="H226"/>
  <c r="I226"/>
  <c r="J226"/>
  <c r="L226"/>
  <c r="M226"/>
  <c r="N226"/>
  <c r="O226"/>
  <c r="P226"/>
  <c r="Q226"/>
  <c r="B228"/>
  <c r="H228"/>
  <c r="I228"/>
  <c r="H230"/>
  <c r="I230"/>
  <c r="C17" i="9"/>
  <c r="D17"/>
  <c r="E17"/>
  <c r="C18"/>
  <c r="D18"/>
  <c r="G18"/>
  <c r="H18"/>
  <c r="I18"/>
  <c r="J18"/>
  <c r="K18"/>
  <c r="L18"/>
  <c r="M18"/>
  <c r="N18"/>
  <c r="O18"/>
  <c r="P18"/>
  <c r="Q18"/>
  <c r="C19"/>
  <c r="D19"/>
  <c r="G19"/>
  <c r="H19"/>
  <c r="I19"/>
  <c r="J19"/>
  <c r="K19"/>
  <c r="L19"/>
  <c r="M19"/>
  <c r="N19"/>
  <c r="O19"/>
  <c r="P19"/>
  <c r="Q19"/>
  <c r="C20"/>
  <c r="D20"/>
  <c r="G20"/>
  <c r="H20"/>
  <c r="I20"/>
  <c r="J20"/>
  <c r="K20"/>
  <c r="L20"/>
  <c r="M20"/>
  <c r="N20"/>
  <c r="O20"/>
  <c r="P20"/>
  <c r="Q20"/>
  <c r="C21"/>
  <c r="D21"/>
  <c r="G21"/>
  <c r="H21"/>
  <c r="I21"/>
  <c r="J21"/>
  <c r="K21"/>
  <c r="L21"/>
  <c r="M21"/>
  <c r="N21"/>
  <c r="O21"/>
  <c r="P21"/>
  <c r="Q21"/>
  <c r="C22"/>
  <c r="D22"/>
  <c r="G22"/>
  <c r="H22"/>
  <c r="I22"/>
  <c r="J22"/>
  <c r="K22"/>
  <c r="L22"/>
  <c r="M22"/>
  <c r="N22"/>
  <c r="O22"/>
  <c r="P22"/>
  <c r="Q22"/>
  <c r="C23"/>
  <c r="D23"/>
  <c r="G23"/>
  <c r="H23"/>
  <c r="I23"/>
  <c r="J23"/>
  <c r="K23"/>
  <c r="L23"/>
  <c r="M23"/>
  <c r="N23"/>
  <c r="O23"/>
  <c r="P23"/>
  <c r="Q23"/>
  <c r="G41"/>
  <c r="G42"/>
  <c r="G43"/>
  <c r="G44"/>
  <c r="G45"/>
  <c r="G46"/>
  <c r="G73"/>
  <c r="H73"/>
  <c r="I73"/>
  <c r="J73"/>
  <c r="K73"/>
  <c r="L73"/>
  <c r="M73"/>
  <c r="N73"/>
  <c r="O73"/>
  <c r="P73"/>
  <c r="G74"/>
  <c r="H74"/>
  <c r="I74"/>
  <c r="J74"/>
  <c r="K74"/>
  <c r="L74"/>
  <c r="M74"/>
  <c r="N74"/>
  <c r="O74"/>
  <c r="P74"/>
  <c r="G75"/>
  <c r="H75"/>
  <c r="I75"/>
  <c r="J75"/>
  <c r="K75"/>
  <c r="L75"/>
  <c r="M75"/>
  <c r="N75"/>
  <c r="O75"/>
  <c r="P75"/>
  <c r="G76"/>
  <c r="H76"/>
  <c r="I76"/>
  <c r="J76"/>
  <c r="K76"/>
  <c r="L76"/>
  <c r="M76"/>
  <c r="N76"/>
  <c r="O76"/>
  <c r="P76"/>
  <c r="G77"/>
  <c r="H77"/>
  <c r="I77"/>
  <c r="J77"/>
  <c r="K77"/>
  <c r="L77"/>
  <c r="M77"/>
  <c r="N77"/>
  <c r="O77"/>
  <c r="P77"/>
  <c r="G78"/>
  <c r="H78"/>
  <c r="I78"/>
  <c r="J78"/>
  <c r="K78"/>
  <c r="L78"/>
  <c r="M78"/>
  <c r="N78"/>
  <c r="O78"/>
  <c r="P78"/>
  <c r="G81"/>
  <c r="G82"/>
  <c r="G83"/>
  <c r="G84"/>
  <c r="G85"/>
  <c r="G86"/>
  <c r="H89"/>
  <c r="I89"/>
  <c r="J89"/>
  <c r="K89"/>
  <c r="L89"/>
  <c r="M89"/>
  <c r="N89"/>
  <c r="O89"/>
  <c r="P89"/>
  <c r="H90"/>
  <c r="I90"/>
  <c r="J90"/>
  <c r="K90"/>
  <c r="L90"/>
  <c r="M90"/>
  <c r="N90"/>
  <c r="O90"/>
  <c r="P90"/>
  <c r="H91"/>
  <c r="I91"/>
  <c r="J91"/>
  <c r="K91"/>
  <c r="L91"/>
  <c r="M91"/>
  <c r="N91"/>
  <c r="O91"/>
  <c r="P91"/>
  <c r="H92"/>
  <c r="I92"/>
  <c r="J92"/>
  <c r="K92"/>
  <c r="L92"/>
  <c r="M92"/>
  <c r="N92"/>
  <c r="O92"/>
  <c r="P92"/>
  <c r="H93"/>
  <c r="I93"/>
  <c r="J93"/>
  <c r="K93"/>
  <c r="L93"/>
  <c r="M93"/>
  <c r="N93"/>
  <c r="O93"/>
  <c r="P93"/>
  <c r="H94"/>
  <c r="I94"/>
  <c r="J94"/>
  <c r="K94"/>
  <c r="L94"/>
  <c r="M94"/>
  <c r="N94"/>
  <c r="O94"/>
  <c r="P94"/>
  <c r="H98"/>
  <c r="I98"/>
  <c r="J98"/>
  <c r="K98"/>
  <c r="L98"/>
  <c r="M98"/>
  <c r="N98"/>
  <c r="O98"/>
  <c r="P98"/>
  <c r="H99"/>
  <c r="I99"/>
  <c r="J99"/>
  <c r="K99"/>
  <c r="L99"/>
  <c r="M99"/>
  <c r="N99"/>
  <c r="O99"/>
  <c r="P99"/>
  <c r="H100"/>
  <c r="I100"/>
  <c r="J100"/>
  <c r="K100"/>
  <c r="L100"/>
  <c r="M100"/>
  <c r="N100"/>
  <c r="O100"/>
  <c r="P100"/>
  <c r="H101"/>
  <c r="I101"/>
  <c r="J101"/>
  <c r="K101"/>
  <c r="L101"/>
  <c r="M101"/>
  <c r="N101"/>
  <c r="O101"/>
  <c r="P101"/>
  <c r="H102"/>
  <c r="I102"/>
  <c r="J102"/>
  <c r="K102"/>
  <c r="L102"/>
  <c r="M102"/>
  <c r="N102"/>
  <c r="O102"/>
  <c r="P102"/>
  <c r="B13" i="18"/>
  <c r="C13"/>
  <c r="D13"/>
  <c r="E13"/>
  <c r="F13"/>
  <c r="G13"/>
  <c r="B14"/>
  <c r="C14"/>
  <c r="D14"/>
  <c r="E14"/>
  <c r="F14"/>
  <c r="G14"/>
  <c r="B15"/>
  <c r="C15"/>
  <c r="D15"/>
  <c r="E15"/>
  <c r="F15"/>
  <c r="G15"/>
  <c r="B16"/>
  <c r="C16"/>
  <c r="D16"/>
  <c r="E16"/>
  <c r="F16"/>
  <c r="G16"/>
  <c r="B17"/>
  <c r="C17"/>
  <c r="D17"/>
  <c r="E17"/>
  <c r="F17"/>
  <c r="G17"/>
  <c r="B18"/>
  <c r="C18"/>
  <c r="D18"/>
  <c r="E18"/>
  <c r="F18"/>
  <c r="G18"/>
  <c r="B48"/>
  <c r="C48"/>
  <c r="D48"/>
  <c r="E48"/>
  <c r="F48"/>
  <c r="G48"/>
  <c r="H48"/>
  <c r="B49"/>
  <c r="C49"/>
  <c r="D49"/>
  <c r="E49"/>
  <c r="F49"/>
  <c r="G49"/>
  <c r="H49"/>
  <c r="B50"/>
  <c r="C50"/>
  <c r="D50"/>
  <c r="E50"/>
  <c r="F50"/>
  <c r="G50"/>
  <c r="H50"/>
  <c r="B51"/>
  <c r="C51"/>
  <c r="D51"/>
  <c r="E51"/>
  <c r="F51"/>
  <c r="G51"/>
  <c r="H51"/>
  <c r="B52"/>
  <c r="C52"/>
  <c r="D52"/>
  <c r="E52"/>
  <c r="F52"/>
  <c r="G52"/>
  <c r="H52"/>
  <c r="B53"/>
  <c r="C53"/>
  <c r="D53"/>
  <c r="E53"/>
  <c r="F53"/>
  <c r="G53"/>
  <c r="H53"/>
  <c r="D134" i="20"/>
  <c r="I134"/>
  <c r="J134"/>
  <c r="K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I208"/>
  <c r="I220"/>
  <c r="J220"/>
  <c r="K220"/>
  <c r="B221"/>
  <c r="C221"/>
  <c r="D221"/>
  <c r="E221"/>
  <c r="I221"/>
  <c r="J221"/>
  <c r="K221"/>
  <c r="B222"/>
  <c r="C222"/>
  <c r="D222"/>
  <c r="E222"/>
  <c r="I222"/>
  <c r="J222"/>
  <c r="K222"/>
  <c r="B223"/>
  <c r="C223"/>
  <c r="D223"/>
  <c r="E223"/>
  <c r="I223"/>
  <c r="J223"/>
  <c r="K223"/>
  <c r="B224"/>
  <c r="C224"/>
  <c r="D224"/>
  <c r="E224"/>
  <c r="I224"/>
  <c r="J224"/>
  <c r="K224"/>
  <c r="B225"/>
  <c r="C225"/>
  <c r="D225"/>
  <c r="E225"/>
  <c r="I225"/>
  <c r="J225"/>
  <c r="K225"/>
  <c r="B226"/>
  <c r="C226"/>
  <c r="D226"/>
  <c r="E226"/>
  <c r="I226"/>
  <c r="J226"/>
  <c r="K226"/>
  <c r="B228"/>
  <c r="I228"/>
  <c r="J228"/>
  <c r="I230"/>
  <c r="J230"/>
  <c r="D134" i="27"/>
  <c r="I134"/>
  <c r="J134"/>
  <c r="K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I208"/>
  <c r="I220"/>
  <c r="J220"/>
  <c r="K220"/>
  <c r="B221"/>
  <c r="C221"/>
  <c r="D221"/>
  <c r="E221"/>
  <c r="I221"/>
  <c r="J221"/>
  <c r="K221"/>
  <c r="B222"/>
  <c r="C222"/>
  <c r="D222"/>
  <c r="E222"/>
  <c r="I222"/>
  <c r="J222"/>
  <c r="K222"/>
  <c r="B223"/>
  <c r="C223"/>
  <c r="D223"/>
  <c r="E223"/>
  <c r="I223"/>
  <c r="J223"/>
  <c r="K223"/>
  <c r="B224"/>
  <c r="C224"/>
  <c r="D224"/>
  <c r="E224"/>
  <c r="I224"/>
  <c r="J224"/>
  <c r="K224"/>
  <c r="B225"/>
  <c r="C225"/>
  <c r="D225"/>
  <c r="E225"/>
  <c r="I225"/>
  <c r="J225"/>
  <c r="K225"/>
  <c r="B226"/>
  <c r="C226"/>
  <c r="D226"/>
  <c r="E226"/>
  <c r="I226"/>
  <c r="J226"/>
  <c r="K226"/>
  <c r="B228"/>
  <c r="I228"/>
  <c r="J228"/>
  <c r="I230"/>
  <c r="J230"/>
  <c r="L6" i="11"/>
  <c r="M6"/>
  <c r="N6"/>
  <c r="O6"/>
  <c r="P6"/>
  <c r="Q6"/>
  <c r="R6"/>
  <c r="Z6"/>
  <c r="AA6"/>
  <c r="L7"/>
  <c r="M9"/>
  <c r="N9"/>
  <c r="O9"/>
  <c r="P9"/>
  <c r="Q9"/>
  <c r="R9"/>
  <c r="Z9"/>
  <c r="AA9"/>
  <c r="M10"/>
  <c r="N10"/>
  <c r="O10"/>
  <c r="P10"/>
  <c r="Q10"/>
  <c r="R10"/>
  <c r="M15"/>
  <c r="N15"/>
  <c r="O15"/>
  <c r="P15"/>
  <c r="Q15"/>
  <c r="R15"/>
  <c r="Z15"/>
  <c r="AA15"/>
  <c r="M19"/>
  <c r="N19"/>
  <c r="O19"/>
  <c r="P19"/>
  <c r="Q19"/>
  <c r="R19"/>
  <c r="Z19"/>
  <c r="AA19"/>
  <c r="M23"/>
  <c r="N23"/>
  <c r="O23"/>
  <c r="P23"/>
  <c r="Q23"/>
  <c r="R23"/>
  <c r="Z23"/>
  <c r="AA23"/>
  <c r="M24"/>
  <c r="N24"/>
  <c r="O24"/>
  <c r="P24"/>
  <c r="Q24"/>
  <c r="R24"/>
  <c r="Z24"/>
  <c r="AA24"/>
  <c r="M28"/>
  <c r="N28"/>
  <c r="O28"/>
  <c r="P28"/>
  <c r="Q28"/>
  <c r="R28"/>
  <c r="Z28"/>
  <c r="AA28"/>
  <c r="M29"/>
  <c r="N29"/>
  <c r="O29"/>
  <c r="P29"/>
  <c r="Q29"/>
  <c r="R29"/>
  <c r="Z29"/>
  <c r="AA29"/>
  <c r="M33"/>
  <c r="N33"/>
  <c r="O33"/>
  <c r="P33"/>
  <c r="Q33"/>
  <c r="R33"/>
  <c r="Z33"/>
  <c r="AA33"/>
  <c r="M34"/>
  <c r="N34"/>
  <c r="O34"/>
  <c r="P34"/>
  <c r="Q34"/>
  <c r="R34"/>
  <c r="Z34"/>
  <c r="AA34"/>
  <c r="M38"/>
  <c r="N38"/>
  <c r="O38"/>
  <c r="P38"/>
  <c r="Q38"/>
  <c r="R38"/>
  <c r="Z38"/>
  <c r="AA38"/>
  <c r="M39"/>
  <c r="N39"/>
  <c r="O39"/>
  <c r="P39"/>
  <c r="Q39"/>
  <c r="R39"/>
  <c r="Z39"/>
  <c r="AA39"/>
  <c r="M43"/>
  <c r="N43"/>
  <c r="O43"/>
  <c r="P43"/>
  <c r="Q43"/>
  <c r="R43"/>
  <c r="Z43"/>
  <c r="AA43"/>
  <c r="M44"/>
  <c r="N44"/>
  <c r="O44"/>
  <c r="P44"/>
  <c r="Q44"/>
  <c r="R44"/>
  <c r="Z44"/>
  <c r="AA44"/>
  <c r="M48"/>
  <c r="N48"/>
  <c r="O48"/>
  <c r="P48"/>
  <c r="Q48"/>
  <c r="R48"/>
  <c r="Z48"/>
  <c r="AA48"/>
  <c r="M52"/>
  <c r="N52"/>
  <c r="O52"/>
  <c r="P52"/>
  <c r="Q52"/>
  <c r="R52"/>
  <c r="Z52"/>
  <c r="AA52"/>
  <c r="M53"/>
  <c r="N53"/>
  <c r="O53"/>
  <c r="P53"/>
  <c r="Q53"/>
  <c r="R53"/>
  <c r="Z53"/>
  <c r="AA53"/>
  <c r="M57"/>
  <c r="N57"/>
  <c r="O57"/>
  <c r="P57"/>
  <c r="Q57"/>
  <c r="R57"/>
  <c r="Z57"/>
  <c r="AA57"/>
  <c r="M58"/>
  <c r="N58"/>
  <c r="O58"/>
  <c r="P58"/>
  <c r="Q58"/>
  <c r="R58"/>
  <c r="Z58"/>
  <c r="AA58"/>
  <c r="M62"/>
  <c r="N62"/>
  <c r="O62"/>
  <c r="P62"/>
  <c r="Q62"/>
  <c r="R62"/>
  <c r="Z62"/>
  <c r="AA62"/>
  <c r="M63"/>
  <c r="N63"/>
  <c r="O63"/>
  <c r="P63"/>
  <c r="Q63"/>
  <c r="R63"/>
  <c r="Z63"/>
  <c r="AA63"/>
  <c r="Q67"/>
  <c r="R67"/>
  <c r="Z67"/>
  <c r="AA67"/>
  <c r="Q68"/>
  <c r="R68"/>
  <c r="Z68"/>
  <c r="AA68"/>
  <c r="C12" i="30"/>
  <c r="C13"/>
  <c r="C14"/>
  <c r="C15"/>
  <c r="C16"/>
  <c r="C17"/>
  <c r="C18"/>
  <c r="C20"/>
  <c r="D134" i="28"/>
  <c r="I134"/>
  <c r="J134"/>
  <c r="K134"/>
  <c r="D135"/>
  <c r="I135"/>
  <c r="D136"/>
  <c r="I136"/>
  <c r="D137"/>
  <c r="I137"/>
  <c r="D138"/>
  <c r="I138"/>
  <c r="D139"/>
  <c r="I139"/>
  <c r="D140"/>
  <c r="I140"/>
  <c r="D141"/>
  <c r="I141"/>
  <c r="D142"/>
  <c r="I142"/>
  <c r="D143"/>
  <c r="I143"/>
  <c r="D144"/>
  <c r="I144"/>
  <c r="D145"/>
  <c r="I145"/>
  <c r="D146"/>
  <c r="I146"/>
  <c r="D147"/>
  <c r="I147"/>
  <c r="D148"/>
  <c r="I148"/>
  <c r="D149"/>
  <c r="I149"/>
  <c r="D150"/>
  <c r="I150"/>
  <c r="D151"/>
  <c r="I151"/>
  <c r="D152"/>
  <c r="I152"/>
  <c r="D153"/>
  <c r="I153"/>
  <c r="D154"/>
  <c r="I154"/>
  <c r="D155"/>
  <c r="I155"/>
  <c r="D156"/>
  <c r="I156"/>
  <c r="D157"/>
  <c r="I157"/>
  <c r="D158"/>
  <c r="I158"/>
  <c r="D159"/>
  <c r="I159"/>
  <c r="D160"/>
  <c r="I160"/>
  <c r="D161"/>
  <c r="I161"/>
  <c r="D162"/>
  <c r="I162"/>
  <c r="D163"/>
  <c r="I163"/>
  <c r="D164"/>
  <c r="I164"/>
  <c r="D165"/>
  <c r="I165"/>
  <c r="D166"/>
  <c r="I166"/>
  <c r="D167"/>
  <c r="I167"/>
  <c r="D168"/>
  <c r="I168"/>
  <c r="D169"/>
  <c r="I169"/>
  <c r="D170"/>
  <c r="I170"/>
  <c r="D171"/>
  <c r="I171"/>
  <c r="D172"/>
  <c r="I172"/>
  <c r="D173"/>
  <c r="I173"/>
  <c r="D174"/>
  <c r="I174"/>
  <c r="D175"/>
  <c r="I175"/>
  <c r="D176"/>
  <c r="I176"/>
  <c r="D177"/>
  <c r="I177"/>
  <c r="D178"/>
  <c r="I178"/>
  <c r="D179"/>
  <c r="I179"/>
  <c r="D180"/>
  <c r="I180"/>
  <c r="D181"/>
  <c r="I181"/>
  <c r="D182"/>
  <c r="I182"/>
  <c r="D183"/>
  <c r="I183"/>
  <c r="D184"/>
  <c r="I184"/>
  <c r="D185"/>
  <c r="I185"/>
  <c r="D186"/>
  <c r="I186"/>
  <c r="D187"/>
  <c r="I187"/>
  <c r="D188"/>
  <c r="I188"/>
  <c r="D189"/>
  <c r="I189"/>
  <c r="D190"/>
  <c r="I190"/>
  <c r="D191"/>
  <c r="I191"/>
  <c r="D192"/>
  <c r="I192"/>
  <c r="D193"/>
  <c r="I193"/>
  <c r="D194"/>
  <c r="I194"/>
  <c r="D195"/>
  <c r="I195"/>
  <c r="D196"/>
  <c r="I196"/>
  <c r="D197"/>
  <c r="I197"/>
  <c r="D198"/>
  <c r="I198"/>
  <c r="D199"/>
  <c r="I199"/>
  <c r="D200"/>
  <c r="I200"/>
  <c r="D201"/>
  <c r="I201"/>
  <c r="D202"/>
  <c r="I202"/>
  <c r="D203"/>
  <c r="I203"/>
  <c r="D204"/>
  <c r="I204"/>
  <c r="D205"/>
  <c r="I205"/>
  <c r="D206"/>
  <c r="I206"/>
  <c r="I208"/>
  <c r="I220"/>
  <c r="J220"/>
  <c r="K220"/>
  <c r="B221"/>
  <c r="C221"/>
  <c r="D221"/>
  <c r="E221"/>
  <c r="I221"/>
  <c r="J221"/>
  <c r="K221"/>
  <c r="B222"/>
  <c r="C222"/>
  <c r="D222"/>
  <c r="E222"/>
  <c r="I222"/>
  <c r="J222"/>
  <c r="K222"/>
  <c r="B223"/>
  <c r="C223"/>
  <c r="D223"/>
  <c r="E223"/>
  <c r="I223"/>
  <c r="J223"/>
  <c r="K223"/>
  <c r="B224"/>
  <c r="C224"/>
  <c r="D224"/>
  <c r="E224"/>
  <c r="I224"/>
  <c r="J224"/>
  <c r="K224"/>
  <c r="B225"/>
  <c r="C225"/>
  <c r="D225"/>
  <c r="E225"/>
  <c r="I225"/>
  <c r="J225"/>
  <c r="K225"/>
  <c r="B226"/>
  <c r="C226"/>
  <c r="D226"/>
  <c r="E226"/>
  <c r="I226"/>
  <c r="J226"/>
  <c r="K226"/>
  <c r="B228"/>
  <c r="I228"/>
  <c r="J228"/>
  <c r="I230"/>
  <c r="J230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dsavage</author>
  </authors>
  <commentList>
    <comment ref="K60" author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sharedStrings.xml><?xml version="1.0" encoding="utf-8"?>
<sst xmlns="http://schemas.openxmlformats.org/spreadsheetml/2006/main" count="1416" uniqueCount="304">
  <si>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</si>
  <si>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</si>
  <si>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</si>
  <si>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</si>
  <si>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</si>
  <si>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</si>
  <si>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</si>
  <si>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</si>
  <si>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</si>
  <si>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</si>
  <si>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</si>
  <si>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</si>
  <si>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</si>
  <si>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</si>
  <si>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</si>
  <si>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</si>
  <si>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</si>
  <si>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</si>
  <si>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</si>
  <si>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</si>
  <si>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</si>
  <si>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</si>
  <si>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</si>
  <si>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</si>
  <si>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</si>
  <si>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</si>
  <si>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</si>
  <si>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</si>
  <si>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</si>
  <si>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</si>
  <si>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</si>
  <si>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</si>
  <si>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</si>
  <si>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</si>
  <si>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</si>
  <si>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</si>
  <si>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</si>
  <si>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</si>
  <si>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</si>
  <si>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</si>
  <si>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</si>
  <si>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</si>
  <si>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</si>
  <si>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</si>
  <si>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</si>
  <si>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</si>
  <si>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</si>
  <si>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</si>
  <si>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</si>
  <si>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</si>
  <si>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</si>
  <si>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</si>
  <si>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</si>
  <si>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</si>
  <si>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</si>
  <si>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</si>
  <si>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</si>
  <si>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</si>
  <si>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</si>
  <si>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</si>
  <si>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</si>
  <si>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</si>
  <si>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</si>
  <si>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</si>
  <si>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</si>
  <si>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</si>
  <si>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</si>
  <si>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</si>
  <si>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</si>
  <si>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</si>
  <si>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</si>
  <si>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</si>
  <si>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</si>
  <si>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</si>
  <si>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</si>
  <si>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</si>
  <si>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</si>
  <si>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</si>
  <si>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</si>
  <si>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</si>
  <si>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</si>
  <si>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</si>
  <si>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</si>
  <si>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</si>
  <si>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</si>
  <si>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</si>
  <si>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</si>
  <si>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</si>
  <si>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</si>
  <si>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</si>
  <si>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</si>
  <si>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</si>
  <si>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</si>
  <si>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</si>
  <si>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</si>
  <si>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</si>
  <si>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</si>
  <si>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</si>
  <si>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</si>
  <si>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</si>
  <si>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</si>
  <si>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</si>
  <si>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</si>
  <si>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Geomean  (ignored 2004)</t>
  </si>
  <si>
    <t>Ignored 2003 - doesn't look reliable.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</si>
  <si>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</si>
  <si>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</si>
  <si>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</si>
  <si>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</si>
  <si>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</si>
  <si>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</si>
  <si>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</si>
  <si>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</si>
  <si>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</si>
  <si>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</si>
  <si>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</si>
  <si>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</si>
  <si>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</si>
  <si>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</si>
  <si>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</si>
  <si>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</si>
  <si>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</si>
  <si>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</si>
  <si>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</si>
  <si>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</si>
  <si>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</si>
  <si>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</si>
  <si>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</si>
  <si>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</si>
  <si>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</si>
  <si>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</si>
  <si>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</si>
  <si>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</si>
  <si>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</si>
  <si>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</si>
  <si>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</si>
  <si>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</si>
  <si>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</si>
  <si>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</si>
  <si>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</si>
  <si>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</si>
  <si>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</si>
  <si>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</si>
  <si>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</si>
  <si>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</si>
  <si>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</si>
  <si>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</si>
  <si>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</si>
  <si>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</si>
  <si>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</si>
  <si>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</si>
  <si>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</si>
  <si>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</si>
  <si>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</si>
  <si>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</si>
  <si>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</si>
  <si>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</si>
  <si>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</si>
  <si>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</si>
  <si>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</si>
  <si>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</si>
  <si>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</si>
  <si>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</si>
  <si>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</si>
  <si>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</si>
  <si>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</si>
  <si>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</si>
  <si>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</si>
  <si>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</si>
  <si>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</si>
  <si>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</si>
  <si>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</si>
  <si>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</si>
  <si>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</si>
  <si>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</si>
  <si>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</si>
  <si>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</si>
  <si>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</si>
  <si>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</si>
  <si>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</si>
  <si>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</si>
  <si>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</si>
  <si>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</si>
  <si>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</si>
  <si>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</si>
  <si>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</si>
  <si>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</si>
  <si>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</si>
  <si>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</si>
  <si>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</si>
  <si>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</si>
  <si>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</si>
  <si>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</si>
  <si>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</si>
  <si>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</si>
  <si>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</si>
  <si>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</si>
  <si>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</si>
  <si>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</si>
  <si>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N/A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</si>
  <si>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</si>
  <si>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</si>
  <si>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</si>
  <si>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</si>
  <si>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</si>
  <si>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</si>
  <si>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</si>
  <si>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</si>
  <si>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</si>
  <si>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</si>
  <si>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</si>
  <si>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</si>
  <si>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</si>
  <si>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</si>
  <si>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</si>
  <si>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</si>
  <si>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</si>
  <si>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</si>
  <si>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</si>
  <si>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</si>
  <si>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</si>
  <si>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</si>
  <si>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</si>
  <si>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</si>
  <si>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</si>
  <si>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</si>
  <si>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</si>
  <si>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</si>
  <si>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</si>
  <si>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</si>
  <si>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</si>
  <si>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</si>
  <si>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</si>
  <si>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</si>
  <si>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</si>
  <si>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</si>
  <si>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</si>
  <si>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</si>
  <si>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</si>
  <si>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</si>
  <si>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</si>
  <si>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Annual Percent Change</t>
  </si>
  <si>
    <t>Geometric Mean</t>
  </si>
  <si>
    <t>Year-end Customer Connection Count</t>
  </si>
  <si>
    <t>Rate Applied</t>
  </si>
  <si>
    <t>Geometric Mean (Ignored 2004)</t>
  </si>
  <si>
    <t>Annual Average Customer Count</t>
  </si>
  <si>
    <t>SUMMARY OF ANNUAL ENERGY PURCHASES AND CUSTOMER CONNECTIONS</t>
  </si>
  <si>
    <t>BILLED ENERGY BY RATE CLASS</t>
  </si>
  <si>
    <t>Annual Average Consumption per Average Customer Connection</t>
  </si>
  <si>
    <t>ANNUAL BILLED ENERGY PER AVERAGE CUSTOMER CONNECTIONS BY RATE CLASS</t>
  </si>
  <si>
    <t>% CHANGE IN ANNUAL BILLED ENERGY PER AVERAGE CUSTOMER CONNECTION BY RATE CLASS</t>
  </si>
  <si>
    <t>Non-Normalized Billed Energy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</si>
  <si>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</si>
  <si>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</si>
  <si>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</si>
  <si>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</si>
  <si>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</si>
  <si>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</si>
  <si>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</si>
  <si>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</si>
  <si>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</si>
  <si>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</si>
  <si>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</si>
  <si>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(Not Normalized)</t>
  </si>
  <si>
    <t>Annual Average Consumption per Average Customer Connection (Normalized)</t>
  </si>
  <si>
    <t>CDM Savings</t>
  </si>
  <si>
    <t>Average Connections</t>
  </si>
  <si>
    <t>Adjusted Purchases</t>
  </si>
  <si>
    <t>Billed kW</t>
  </si>
  <si>
    <t>10 year trend</t>
  </si>
  <si>
    <t>20 year average</t>
  </si>
  <si>
    <t>Normal</t>
  </si>
  <si>
    <t>10 Year Trend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</si>
  <si>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</si>
  <si>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</si>
  <si>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</si>
  <si>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</si>
  <si>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</si>
  <si>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</si>
  <si>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>see note 1</t>
  </si>
  <si>
    <t>Source:</t>
  </si>
  <si>
    <t>OPA's  Draft Historic Target and Budget Analysis_Oshawa PUC Networks Inc.</t>
  </si>
  <si>
    <t xml:space="preserve">Actual </t>
  </si>
  <si>
    <t>see note 2</t>
  </si>
  <si>
    <t>Pre-2011</t>
  </si>
  <si>
    <t>OPA Program Year</t>
  </si>
  <si>
    <t>Note 1: assumes energy savings in 2011-2014 persist until end 2019</t>
  </si>
  <si>
    <t>Sub-total</t>
  </si>
  <si>
    <t>LED Streetlights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</si>
  <si>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</si>
  <si>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</si>
  <si>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</si>
  <si>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</si>
  <si>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</si>
  <si>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</si>
  <si>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</si>
  <si>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</si>
  <si>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Population Growth (Select Customers)</t>
  </si>
  <si>
    <t>CDM (LED Streetlights)</t>
  </si>
  <si>
    <t>Includes CDM</t>
  </si>
  <si>
    <t>Includes LED</t>
  </si>
  <si>
    <t>CDM</t>
  </si>
  <si>
    <t>General</t>
  </si>
</sst>
</file>

<file path=xl/styles.xml><?xml version="1.0" encoding="utf-8"?>
<styleSheet xmlns="http://schemas.openxmlformats.org/spreadsheetml/2006/main">
  <numFmts count="1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  <numFmt numFmtId="175" formatCode="_(* #,##0.000_);_(* \(#,##0.000\);_(* &quot;-&quot;??_);_(@_)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45" applyNumberFormat="0" applyFont="0" applyAlignment="0" applyProtection="0"/>
    <xf numFmtId="44" fontId="15" fillId="0" borderId="0" applyFont="0" applyFill="0" applyBorder="0" applyAlignment="0" applyProtection="0"/>
  </cellStyleXfs>
  <cellXfs count="45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1" fillId="3" borderId="0" xfId="1" applyNumberForma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170" fontId="1" fillId="3" borderId="0" xfId="1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1" fillId="6" borderId="9" xfId="0" applyFont="1" applyFill="1" applyBorder="1" applyAlignment="1">
      <alignment vertical="top"/>
    </xf>
    <xf numFmtId="3" fontId="0" fillId="6" borderId="7" xfId="0" applyNumberFormat="1" applyFill="1" applyBorder="1" applyAlignment="1">
      <alignment vertical="top"/>
    </xf>
    <xf numFmtId="3" fontId="0" fillId="6" borderId="8" xfId="0" applyNumberForma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0" fontId="0" fillId="6" borderId="11" xfId="0" applyFill="1" applyBorder="1" applyAlignment="1">
      <alignment vertical="top"/>
    </xf>
    <xf numFmtId="0" fontId="1" fillId="6" borderId="12" xfId="0" applyFon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1" fillId="6" borderId="14" xfId="0" applyFont="1" applyFill="1" applyBorder="1" applyAlignment="1">
      <alignment vertical="top"/>
    </xf>
    <xf numFmtId="3" fontId="0" fillId="6" borderId="13" xfId="0" applyNumberFormat="1" applyFill="1" applyBorder="1" applyAlignment="1">
      <alignment vertical="top"/>
    </xf>
    <xf numFmtId="164" fontId="0" fillId="0" borderId="0" xfId="2" applyNumberFormat="1" applyFont="1" applyFill="1" applyBorder="1" applyAlignment="1"/>
    <xf numFmtId="43" fontId="0" fillId="3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37" fontId="1" fillId="0" borderId="0" xfId="3" applyNumberFormat="1" applyFont="1" applyAlignment="1">
      <alignment horizontal="center"/>
    </xf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0" xfId="2" applyNumberFormat="1" applyFont="1" applyBorder="1"/>
    <xf numFmtId="0" fontId="12" fillId="0" borderId="1" xfId="3" applyFont="1" applyBorder="1"/>
    <xf numFmtId="0" fontId="12" fillId="0" borderId="23" xfId="3" applyFont="1" applyBorder="1"/>
    <xf numFmtId="0" fontId="12" fillId="0" borderId="30" xfId="3" applyFont="1" applyBorder="1"/>
    <xf numFmtId="0" fontId="12" fillId="0" borderId="31" xfId="3" applyFont="1" applyBorder="1"/>
    <xf numFmtId="3" fontId="12" fillId="0" borderId="31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8" borderId="16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27" xfId="0" applyFont="1" applyBorder="1"/>
    <xf numFmtId="3" fontId="0" fillId="0" borderId="27" xfId="0" applyNumberFormat="1" applyBorder="1" applyAlignment="1">
      <alignment horizontal="right" wrapText="1"/>
    </xf>
    <xf numFmtId="3" fontId="0" fillId="0" borderId="27" xfId="0" applyNumberFormat="1" applyFill="1" applyBorder="1" applyAlignment="1">
      <alignment horizontal="right" wrapText="1"/>
    </xf>
    <xf numFmtId="3" fontId="0" fillId="0" borderId="27" xfId="0" applyNumberFormat="1" applyBorder="1" applyAlignment="1">
      <alignment horizontal="right"/>
    </xf>
    <xf numFmtId="10" fontId="0" fillId="0" borderId="27" xfId="2" applyNumberFormat="1" applyFont="1" applyBorder="1" applyAlignment="1">
      <alignment horizontal="right" wrapText="1"/>
    </xf>
    <xf numFmtId="10" fontId="0" fillId="0" borderId="27" xfId="2" applyNumberFormat="1" applyFont="1" applyFill="1" applyBorder="1" applyAlignment="1">
      <alignment horizontal="right" wrapText="1"/>
    </xf>
    <xf numFmtId="10" fontId="7" fillId="0" borderId="27" xfId="2" applyNumberFormat="1" applyFont="1" applyBorder="1" applyAlignment="1">
      <alignment horizontal="right"/>
    </xf>
    <xf numFmtId="0" fontId="0" fillId="0" borderId="27" xfId="0" applyBorder="1" applyAlignment="1">
      <alignment horizontal="right" wrapText="1"/>
    </xf>
    <xf numFmtId="3" fontId="0" fillId="0" borderId="27" xfId="0" applyNumberFormat="1" applyFill="1" applyBorder="1" applyAlignment="1">
      <alignment horizontal="right"/>
    </xf>
    <xf numFmtId="0" fontId="5" fillId="0" borderId="27" xfId="0" applyFont="1" applyBorder="1"/>
    <xf numFmtId="0" fontId="0" fillId="0" borderId="27" xfId="0" applyBorder="1" applyAlignment="1">
      <alignment horizontal="right"/>
    </xf>
    <xf numFmtId="3" fontId="4" fillId="0" borderId="27" xfId="0" applyNumberFormat="1" applyFont="1" applyBorder="1"/>
    <xf numFmtId="0" fontId="0" fillId="0" borderId="27" xfId="0" applyBorder="1"/>
    <xf numFmtId="3" fontId="7" fillId="0" borderId="27" xfId="0" applyNumberFormat="1" applyFont="1" applyBorder="1" applyAlignment="1">
      <alignment horizontal="right"/>
    </xf>
    <xf numFmtId="169" fontId="0" fillId="0" borderId="27" xfId="1" applyNumberFormat="1" applyFont="1" applyBorder="1" applyAlignment="1">
      <alignment horizontal="right"/>
    </xf>
    <xf numFmtId="0" fontId="1" fillId="0" borderId="27" xfId="0" applyFont="1" applyBorder="1"/>
    <xf numFmtId="3" fontId="0" fillId="0" borderId="27" xfId="1" applyNumberFormat="1" applyFont="1" applyBorder="1" applyAlignment="1">
      <alignment horizontal="right"/>
    </xf>
    <xf numFmtId="0" fontId="0" fillId="0" borderId="35" xfId="0" applyBorder="1"/>
    <xf numFmtId="3" fontId="0" fillId="0" borderId="35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3" fontId="13" fillId="0" borderId="0" xfId="0" applyNumberFormat="1" applyFont="1" applyAlignment="1">
      <alignment horizontal="center"/>
    </xf>
    <xf numFmtId="0" fontId="0" fillId="6" borderId="39" xfId="0" applyFill="1" applyBorder="1" applyAlignment="1">
      <alignment vertical="top"/>
    </xf>
    <xf numFmtId="0" fontId="0" fillId="0" borderId="0" xfId="0" applyBorder="1"/>
    <xf numFmtId="3" fontId="0" fillId="6" borderId="40" xfId="0" applyNumberFormat="1" applyFill="1" applyBorder="1" applyAlignment="1">
      <alignment vertical="top"/>
    </xf>
    <xf numFmtId="0" fontId="4" fillId="5" borderId="41" xfId="0" applyFont="1" applyFill="1" applyBorder="1" applyAlignment="1">
      <alignment vertical="top"/>
    </xf>
    <xf numFmtId="0" fontId="4" fillId="5" borderId="42" xfId="0" applyFont="1" applyFill="1" applyBorder="1" applyAlignment="1">
      <alignment vertical="top"/>
    </xf>
    <xf numFmtId="0" fontId="4" fillId="5" borderId="43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1" xfId="0" applyNumberFormat="1" applyFont="1" applyFill="1" applyBorder="1" applyAlignment="1">
      <alignment vertical="top"/>
    </xf>
    <xf numFmtId="3" fontId="4" fillId="5" borderId="44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2" fillId="7" borderId="0" xfId="1" applyFont="1" applyFill="1" applyAlignment="1">
      <alignment horizontal="center"/>
    </xf>
    <xf numFmtId="172" fontId="0" fillId="0" borderId="0" xfId="0" applyNumberFormat="1" applyAlignment="1">
      <alignment horizontal="center"/>
    </xf>
    <xf numFmtId="171" fontId="0" fillId="7" borderId="0" xfId="1" applyNumberFormat="1" applyFont="1" applyFill="1"/>
    <xf numFmtId="164" fontId="0" fillId="7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16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3" fontId="0" fillId="3" borderId="0" xfId="1" applyNumberFormat="1" applyFont="1" applyFill="1" applyAlignment="1">
      <alignment horizontal="center"/>
    </xf>
    <xf numFmtId="173" fontId="2" fillId="3" borderId="0" xfId="1" applyNumberFormat="1" applyFont="1" applyFill="1" applyAlignment="1">
      <alignment horizontal="center"/>
    </xf>
    <xf numFmtId="173" fontId="2" fillId="2" borderId="0" xfId="1" applyNumberFormat="1" applyFont="1" applyFill="1" applyAlignment="1">
      <alignment horizontal="center"/>
    </xf>
    <xf numFmtId="3" fontId="1" fillId="7" borderId="0" xfId="1" applyNumberFormat="1" applyFill="1" applyAlignment="1">
      <alignment horizontal="center"/>
    </xf>
    <xf numFmtId="173" fontId="2" fillId="7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3" fontId="0" fillId="11" borderId="0" xfId="0" applyNumberForma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0" fillId="0" borderId="47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167" fontId="0" fillId="0" borderId="47" xfId="0" applyNumberForma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168" fontId="0" fillId="0" borderId="47" xfId="0" applyNumberFormat="1" applyBorder="1" applyAlignment="1">
      <alignment horizontal="center"/>
    </xf>
    <xf numFmtId="0" fontId="4" fillId="9" borderId="13" xfId="0" applyFont="1" applyFill="1" applyBorder="1" applyAlignment="1">
      <alignment horizontal="center" wrapText="1"/>
    </xf>
    <xf numFmtId="0" fontId="4" fillId="9" borderId="49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11" fillId="8" borderId="46" xfId="3" applyFont="1" applyFill="1" applyBorder="1" applyAlignment="1">
      <alignment horizontal="center" vertical="center" wrapText="1"/>
    </xf>
    <xf numFmtId="3" fontId="12" fillId="0" borderId="20" xfId="3" applyNumberFormat="1" applyFont="1" applyBorder="1" applyAlignment="1">
      <alignment horizontal="center"/>
    </xf>
    <xf numFmtId="3" fontId="12" fillId="0" borderId="44" xfId="3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 wrapText="1"/>
    </xf>
    <xf numFmtId="3" fontId="0" fillId="0" borderId="48" xfId="0" applyNumberFormat="1" applyBorder="1" applyAlignment="1">
      <alignment horizontal="center" wrapText="1"/>
    </xf>
    <xf numFmtId="3" fontId="0" fillId="0" borderId="28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28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8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36" xfId="0" applyFont="1" applyFill="1" applyBorder="1"/>
    <xf numFmtId="0" fontId="4" fillId="9" borderId="52" xfId="0" applyFont="1" applyFill="1" applyBorder="1"/>
    <xf numFmtId="0" fontId="4" fillId="9" borderId="53" xfId="0" applyFont="1" applyFill="1" applyBorder="1" applyAlignment="1">
      <alignment horizontal="center" wrapText="1"/>
    </xf>
    <xf numFmtId="0" fontId="4" fillId="0" borderId="52" xfId="0" applyFont="1" applyBorder="1"/>
    <xf numFmtId="3" fontId="0" fillId="0" borderId="26" xfId="0" applyNumberFormat="1" applyBorder="1" applyAlignment="1">
      <alignment horizontal="center" wrapText="1"/>
    </xf>
    <xf numFmtId="3" fontId="0" fillId="0" borderId="29" xfId="0" applyNumberFormat="1" applyBorder="1" applyAlignment="1">
      <alignment horizontal="center" wrapText="1"/>
    </xf>
    <xf numFmtId="164" fontId="0" fillId="0" borderId="29" xfId="0" applyNumberForma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9" xfId="0" applyFill="1" applyBorder="1" applyAlignment="1">
      <alignment horizontal="center"/>
    </xf>
    <xf numFmtId="0" fontId="5" fillId="0" borderId="52" xfId="0" applyFont="1" applyBorder="1"/>
    <xf numFmtId="0" fontId="0" fillId="0" borderId="29" xfId="0" applyBorder="1" applyAlignment="1">
      <alignment horizontal="center"/>
    </xf>
    <xf numFmtId="3" fontId="4" fillId="0" borderId="52" xfId="0" applyNumberFormat="1" applyFont="1" applyBorder="1"/>
    <xf numFmtId="0" fontId="0" fillId="0" borderId="52" xfId="0" applyBorder="1"/>
    <xf numFmtId="3" fontId="0" fillId="0" borderId="29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29" xfId="0" applyNumberFormat="1" applyFill="1" applyBorder="1" applyAlignment="1">
      <alignment horizontal="center"/>
    </xf>
    <xf numFmtId="0" fontId="1" fillId="0" borderId="52" xfId="0" applyFont="1" applyBorder="1"/>
    <xf numFmtId="0" fontId="0" fillId="0" borderId="54" xfId="0" applyBorder="1"/>
    <xf numFmtId="3" fontId="0" fillId="0" borderId="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1" fontId="16" fillId="0" borderId="0" xfId="3" applyNumberFormat="1" applyFont="1" applyAlignment="1">
      <alignment horizontal="center"/>
    </xf>
    <xf numFmtId="0" fontId="11" fillId="8" borderId="56" xfId="3" applyFont="1" applyFill="1" applyBorder="1" applyAlignment="1">
      <alignment horizontal="center" vertical="center" wrapText="1"/>
    </xf>
    <xf numFmtId="0" fontId="11" fillId="8" borderId="57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55" xfId="3" applyFont="1" applyFill="1" applyBorder="1" applyAlignment="1">
      <alignment horizontal="center" vertical="center" wrapText="1"/>
    </xf>
    <xf numFmtId="1" fontId="12" fillId="12" borderId="15" xfId="3" applyNumberFormat="1" applyFont="1" applyFill="1" applyBorder="1"/>
    <xf numFmtId="3" fontId="12" fillId="12" borderId="16" xfId="3" applyNumberFormat="1" applyFont="1" applyFill="1" applyBorder="1" applyAlignment="1">
      <alignment horizontal="right"/>
    </xf>
    <xf numFmtId="164" fontId="12" fillId="12" borderId="16" xfId="2" applyNumberFormat="1" applyFont="1" applyFill="1" applyBorder="1" applyAlignment="1">
      <alignment horizontal="right"/>
    </xf>
    <xf numFmtId="3" fontId="12" fillId="12" borderId="46" xfId="3" applyNumberFormat="1" applyFont="1" applyFill="1" applyBorder="1" applyAlignment="1">
      <alignment horizontal="right"/>
    </xf>
    <xf numFmtId="3" fontId="12" fillId="12" borderId="20" xfId="3" applyNumberFormat="1" applyFont="1" applyFill="1" applyBorder="1" applyAlignment="1">
      <alignment horizontal="right"/>
    </xf>
    <xf numFmtId="3" fontId="12" fillId="0" borderId="20" xfId="3" applyNumberFormat="1" applyFont="1" applyBorder="1" applyAlignment="1">
      <alignment horizontal="right"/>
    </xf>
    <xf numFmtId="164" fontId="12" fillId="0" borderId="20" xfId="2" applyNumberFormat="1" applyFont="1" applyBorder="1" applyAlignment="1">
      <alignment horizontal="right"/>
    </xf>
    <xf numFmtId="3" fontId="12" fillId="0" borderId="31" xfId="3" applyNumberFormat="1" applyFont="1" applyBorder="1" applyAlignment="1">
      <alignment horizontal="right"/>
    </xf>
    <xf numFmtId="164" fontId="12" fillId="0" borderId="31" xfId="2" applyNumberFormat="1" applyFont="1" applyBorder="1" applyAlignment="1">
      <alignment horizontal="right"/>
    </xf>
    <xf numFmtId="164" fontId="12" fillId="0" borderId="44" xfId="2" applyNumberFormat="1" applyFont="1" applyBorder="1" applyAlignment="1">
      <alignment horizontal="right"/>
    </xf>
    <xf numFmtId="1" fontId="12" fillId="0" borderId="22" xfId="3" applyNumberFormat="1" applyFont="1" applyBorder="1"/>
    <xf numFmtId="1" fontId="12" fillId="0" borderId="35" xfId="3" applyNumberFormat="1" applyFont="1" applyBorder="1" applyAlignment="1">
      <alignment horizontal="right"/>
    </xf>
    <xf numFmtId="3" fontId="12" fillId="0" borderId="35" xfId="3" applyNumberFormat="1" applyFont="1" applyBorder="1" applyAlignment="1">
      <alignment horizontal="right"/>
    </xf>
    <xf numFmtId="164" fontId="12" fillId="0" borderId="35" xfId="2" applyNumberFormat="1" applyFont="1" applyBorder="1" applyAlignment="1">
      <alignment horizontal="right"/>
    </xf>
    <xf numFmtId="3" fontId="12" fillId="0" borderId="40" xfId="3" applyNumberFormat="1" applyFont="1" applyBorder="1" applyAlignment="1">
      <alignment horizontal="right"/>
    </xf>
    <xf numFmtId="1" fontId="12" fillId="12" borderId="30" xfId="3" applyNumberFormat="1" applyFont="1" applyFill="1" applyBorder="1"/>
    <xf numFmtId="3" fontId="12" fillId="12" borderId="31" xfId="3" applyNumberFormat="1" applyFont="1" applyFill="1" applyBorder="1" applyAlignment="1">
      <alignment horizontal="right"/>
    </xf>
    <xf numFmtId="164" fontId="12" fillId="12" borderId="31" xfId="2" applyNumberFormat="1" applyFont="1" applyFill="1" applyBorder="1" applyAlignment="1">
      <alignment horizontal="right"/>
    </xf>
    <xf numFmtId="3" fontId="12" fillId="12" borderId="44" xfId="3" applyNumberFormat="1" applyFont="1" applyFill="1" applyBorder="1" applyAlignment="1">
      <alignment horizontal="right"/>
    </xf>
    <xf numFmtId="1" fontId="12" fillId="0" borderId="23" xfId="3" applyNumberFormat="1" applyFont="1" applyBorder="1" applyAlignment="1">
      <alignment horizontal="left" indent="1"/>
    </xf>
    <xf numFmtId="0" fontId="12" fillId="0" borderId="23" xfId="3" applyFont="1" applyBorder="1" applyAlignment="1">
      <alignment horizontal="left" indent="1"/>
    </xf>
    <xf numFmtId="0" fontId="12" fillId="0" borderId="30" xfId="3" applyFont="1" applyBorder="1" applyAlignment="1">
      <alignment horizontal="left" indent="1"/>
    </xf>
    <xf numFmtId="0" fontId="12" fillId="0" borderId="15" xfId="3" applyFont="1" applyBorder="1"/>
    <xf numFmtId="0" fontId="12" fillId="0" borderId="16" xfId="3" applyFont="1" applyBorder="1"/>
    <xf numFmtId="0" fontId="12" fillId="0" borderId="46" xfId="3" applyFont="1" applyBorder="1"/>
    <xf numFmtId="1" fontId="12" fillId="12" borderId="23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0" xfId="0" applyBorder="1"/>
    <xf numFmtId="3" fontId="12" fillId="0" borderId="20" xfId="0" applyNumberFormat="1" applyFont="1" applyBorder="1"/>
    <xf numFmtId="3" fontId="12" fillId="0" borderId="44" xfId="0" applyNumberFormat="1" applyFont="1" applyBorder="1"/>
    <xf numFmtId="0" fontId="12" fillId="12" borderId="23" xfId="3" applyFont="1" applyFill="1" applyBorder="1" applyAlignment="1">
      <alignment horizontal="left"/>
    </xf>
    <xf numFmtId="164" fontId="12" fillId="12" borderId="20" xfId="2" applyNumberFormat="1" applyFont="1" applyFill="1" applyBorder="1" applyAlignment="1">
      <alignment horizontal="right"/>
    </xf>
    <xf numFmtId="0" fontId="12" fillId="12" borderId="30" xfId="3" applyFont="1" applyFill="1" applyBorder="1" applyAlignment="1">
      <alignment horizontal="left"/>
    </xf>
    <xf numFmtId="164" fontId="12" fillId="12" borderId="44" xfId="2" applyNumberFormat="1" applyFont="1" applyFill="1" applyBorder="1" applyAlignment="1">
      <alignment horizontal="right"/>
    </xf>
    <xf numFmtId="3" fontId="12" fillId="0" borderId="24" xfId="3" applyNumberFormat="1" applyFont="1" applyBorder="1" applyAlignment="1">
      <alignment horizontal="right"/>
    </xf>
    <xf numFmtId="3" fontId="12" fillId="0" borderId="58" xfId="0" applyNumberFormat="1" applyFont="1" applyBorder="1"/>
    <xf numFmtId="168" fontId="12" fillId="0" borderId="1" xfId="2" applyNumberFormat="1" applyFont="1" applyBorder="1" applyAlignment="1">
      <alignment horizontal="right"/>
    </xf>
    <xf numFmtId="168" fontId="12" fillId="0" borderId="20" xfId="2" applyNumberFormat="1" applyFont="1" applyBorder="1"/>
    <xf numFmtId="168" fontId="12" fillId="0" borderId="24" xfId="2" applyNumberFormat="1" applyFont="1" applyBorder="1" applyAlignment="1">
      <alignment horizontal="right"/>
    </xf>
    <xf numFmtId="168" fontId="12" fillId="0" borderId="58" xfId="2" applyNumberFormat="1" applyFont="1" applyBorder="1"/>
    <xf numFmtId="168" fontId="12" fillId="12" borderId="1" xfId="2" applyNumberFormat="1" applyFont="1" applyFill="1" applyBorder="1" applyAlignment="1">
      <alignment horizontal="right"/>
    </xf>
    <xf numFmtId="168" fontId="12" fillId="12" borderId="31" xfId="2" applyNumberFormat="1" applyFont="1" applyFill="1" applyBorder="1" applyAlignment="1">
      <alignment horizontal="right"/>
    </xf>
    <xf numFmtId="168" fontId="12" fillId="12" borderId="20" xfId="2" applyNumberFormat="1" applyFont="1" applyFill="1" applyBorder="1" applyAlignment="1">
      <alignment horizontal="right"/>
    </xf>
    <xf numFmtId="168" fontId="12" fillId="12" borderId="44" xfId="2" applyNumberFormat="1" applyFont="1" applyFill="1" applyBorder="1" applyAlignment="1">
      <alignment horizontal="right"/>
    </xf>
    <xf numFmtId="0" fontId="4" fillId="9" borderId="62" xfId="0" applyFont="1" applyFill="1" applyBorder="1"/>
    <xf numFmtId="0" fontId="4" fillId="0" borderId="21" xfId="0" applyFont="1" applyBorder="1"/>
    <xf numFmtId="0" fontId="5" fillId="0" borderId="21" xfId="0" applyFont="1" applyBorder="1"/>
    <xf numFmtId="3" fontId="4" fillId="0" borderId="21" xfId="0" applyNumberFormat="1" applyFont="1" applyBorder="1"/>
    <xf numFmtId="0" fontId="0" fillId="0" borderId="21" xfId="0" applyBorder="1"/>
    <xf numFmtId="0" fontId="1" fillId="0" borderId="21" xfId="0" applyFont="1" applyBorder="1"/>
    <xf numFmtId="0" fontId="0" fillId="0" borderId="59" xfId="0" applyBorder="1"/>
    <xf numFmtId="0" fontId="4" fillId="9" borderId="59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3" xfId="0" applyFont="1" applyFill="1" applyBorder="1" applyAlignment="1">
      <alignment horizontal="center" wrapText="1"/>
    </xf>
    <xf numFmtId="0" fontId="4" fillId="9" borderId="33" xfId="0" applyFont="1" applyFill="1" applyBorder="1" applyAlignment="1">
      <alignment horizontal="center" wrapText="1"/>
    </xf>
    <xf numFmtId="0" fontId="4" fillId="9" borderId="34" xfId="0" applyFont="1" applyFill="1" applyBorder="1" applyAlignment="1">
      <alignment horizontal="center" wrapText="1"/>
    </xf>
    <xf numFmtId="3" fontId="0" fillId="0" borderId="50" xfId="0" applyNumberFormat="1" applyBorder="1" applyAlignment="1">
      <alignment horizontal="center" wrapText="1"/>
    </xf>
    <xf numFmtId="3" fontId="0" fillId="0" borderId="37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0" fontId="11" fillId="8" borderId="62" xfId="3" applyFont="1" applyFill="1" applyBorder="1" applyAlignment="1">
      <alignment horizontal="center" vertical="center" wrapText="1"/>
    </xf>
    <xf numFmtId="0" fontId="11" fillId="8" borderId="64" xfId="3" applyFont="1" applyFill="1" applyBorder="1" applyAlignment="1">
      <alignment horizontal="center" vertical="center" wrapText="1"/>
    </xf>
    <xf numFmtId="0" fontId="11" fillId="8" borderId="59" xfId="3" applyFont="1" applyFill="1" applyBorder="1" applyAlignment="1">
      <alignment horizontal="center" vertical="center" wrapText="1"/>
    </xf>
    <xf numFmtId="1" fontId="11" fillId="12" borderId="64" xfId="3" applyNumberFormat="1" applyFont="1" applyFill="1" applyBorder="1" applyAlignment="1">
      <alignment horizontal="center" vertical="top"/>
    </xf>
    <xf numFmtId="3" fontId="0" fillId="0" borderId="27" xfId="0" applyNumberFormat="1" applyBorder="1"/>
    <xf numFmtId="3" fontId="0" fillId="0" borderId="61" xfId="0" applyNumberFormat="1" applyBorder="1"/>
    <xf numFmtId="164" fontId="0" fillId="0" borderId="27" xfId="0" applyNumberFormat="1" applyBorder="1" applyAlignment="1">
      <alignment horizontal="center" wrapText="1"/>
    </xf>
    <xf numFmtId="164" fontId="0" fillId="0" borderId="27" xfId="0" applyNumberFormat="1" applyBorder="1"/>
    <xf numFmtId="164" fontId="0" fillId="0" borderId="61" xfId="0" applyNumberFormat="1" applyBorder="1"/>
    <xf numFmtId="0" fontId="0" fillId="0" borderId="61" xfId="0" applyBorder="1"/>
    <xf numFmtId="3" fontId="0" fillId="0" borderId="32" xfId="0" applyNumberFormat="1" applyBorder="1"/>
    <xf numFmtId="3" fontId="0" fillId="0" borderId="60" xfId="0" applyNumberFormat="1" applyBorder="1"/>
    <xf numFmtId="1" fontId="11" fillId="12" borderId="31" xfId="3" applyNumberFormat="1" applyFont="1" applyFill="1" applyBorder="1" applyAlignment="1">
      <alignment horizontal="center" vertical="top"/>
    </xf>
    <xf numFmtId="0" fontId="11" fillId="8" borderId="31" xfId="3" applyFont="1" applyFill="1" applyBorder="1" applyAlignment="1">
      <alignment horizontal="center" vertical="center" wrapText="1"/>
    </xf>
    <xf numFmtId="0" fontId="11" fillId="8" borderId="44" xfId="3" applyFont="1" applyFill="1" applyBorder="1" applyAlignment="1">
      <alignment horizontal="center" vertical="center" wrapText="1"/>
    </xf>
    <xf numFmtId="17" fontId="12" fillId="0" borderId="21" xfId="0" applyNumberFormat="1" applyFont="1" applyFill="1" applyBorder="1"/>
    <xf numFmtId="3" fontId="12" fillId="0" borderId="27" xfId="1" applyNumberFormat="1" applyFont="1" applyFill="1" applyBorder="1" applyAlignment="1">
      <alignment horizontal="center"/>
    </xf>
    <xf numFmtId="43" fontId="12" fillId="0" borderId="27" xfId="1" applyFont="1" applyFill="1" applyBorder="1" applyAlignment="1">
      <alignment horizontal="center"/>
    </xf>
    <xf numFmtId="10" fontId="12" fillId="0" borderId="27" xfId="2" applyNumberFormat="1" applyFont="1" applyFill="1" applyBorder="1" applyAlignment="1">
      <alignment horizontal="center"/>
    </xf>
    <xf numFmtId="37" fontId="12" fillId="0" borderId="27" xfId="0" applyNumberFormat="1" applyFont="1" applyFill="1" applyBorder="1" applyAlignment="1">
      <alignment horizontal="center"/>
    </xf>
    <xf numFmtId="37" fontId="12" fillId="0" borderId="61" xfId="0" applyNumberFormat="1" applyFont="1" applyFill="1" applyBorder="1" applyAlignment="1">
      <alignment horizontal="center"/>
    </xf>
    <xf numFmtId="3" fontId="12" fillId="0" borderId="27" xfId="0" applyNumberFormat="1" applyFont="1" applyFill="1" applyBorder="1" applyAlignment="1">
      <alignment horizontal="center"/>
    </xf>
    <xf numFmtId="3" fontId="12" fillId="13" borderId="27" xfId="0" applyNumberFormat="1" applyFont="1" applyFill="1" applyBorder="1" applyAlignment="1">
      <alignment horizontal="center"/>
    </xf>
    <xf numFmtId="17" fontId="12" fillId="0" borderId="59" xfId="0" applyNumberFormat="1" applyFont="1" applyFill="1" applyBorder="1"/>
    <xf numFmtId="3" fontId="12" fillId="13" borderId="32" xfId="0" applyNumberFormat="1" applyFont="1" applyFill="1" applyBorder="1" applyAlignment="1">
      <alignment horizontal="center"/>
    </xf>
    <xf numFmtId="43" fontId="12" fillId="0" borderId="32" xfId="1" applyFont="1" applyFill="1" applyBorder="1" applyAlignment="1">
      <alignment horizontal="center"/>
    </xf>
    <xf numFmtId="10" fontId="12" fillId="0" borderId="32" xfId="2" applyNumberFormat="1" applyFont="1" applyFill="1" applyBorder="1" applyAlignment="1">
      <alignment horizontal="center"/>
    </xf>
    <xf numFmtId="37" fontId="12" fillId="0" borderId="32" xfId="0" applyNumberFormat="1" applyFont="1" applyFill="1" applyBorder="1" applyAlignment="1">
      <alignment horizontal="center"/>
    </xf>
    <xf numFmtId="37" fontId="12" fillId="0" borderId="60" xfId="0" applyNumberFormat="1" applyFont="1" applyFill="1" applyBorder="1" applyAlignment="1">
      <alignment horizontal="center"/>
    </xf>
    <xf numFmtId="0" fontId="11" fillId="8" borderId="30" xfId="3" applyFont="1" applyFill="1" applyBorder="1" applyAlignment="1">
      <alignment horizontal="center" vertical="center" wrapText="1"/>
    </xf>
    <xf numFmtId="3" fontId="12" fillId="0" borderId="44" xfId="3" applyNumberFormat="1" applyFont="1" applyBorder="1" applyAlignment="1">
      <alignment horizontal="right"/>
    </xf>
    <xf numFmtId="37" fontId="1" fillId="7" borderId="0" xfId="0" applyNumberFormat="1" applyFont="1" applyFill="1" applyAlignment="1">
      <alignment horizontal="center"/>
    </xf>
    <xf numFmtId="9" fontId="0" fillId="0" borderId="0" xfId="2" applyFont="1" applyFill="1" applyBorder="1" applyAlignment="1"/>
    <xf numFmtId="164" fontId="6" fillId="0" borderId="3" xfId="2" applyNumberFormat="1" applyFont="1" applyFill="1" applyBorder="1" applyAlignment="1">
      <alignment horizontal="centerContinuous"/>
    </xf>
    <xf numFmtId="0" fontId="0" fillId="7" borderId="0" xfId="0" applyFill="1" applyAlignment="1">
      <alignment wrapText="1"/>
    </xf>
    <xf numFmtId="0" fontId="11" fillId="8" borderId="16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right" vertical="top"/>
    </xf>
    <xf numFmtId="0" fontId="1" fillId="7" borderId="14" xfId="0" applyFont="1" applyFill="1" applyBorder="1" applyAlignment="1">
      <alignment vertical="top"/>
    </xf>
    <xf numFmtId="3" fontId="0" fillId="7" borderId="13" xfId="0" applyNumberFormat="1" applyFill="1" applyBorder="1" applyAlignment="1">
      <alignment vertical="top"/>
    </xf>
    <xf numFmtId="0" fontId="17" fillId="0" borderId="0" xfId="0" applyFont="1"/>
    <xf numFmtId="0" fontId="11" fillId="8" borderId="32" xfId="3" applyFont="1" applyFill="1" applyBorder="1" applyAlignment="1">
      <alignment horizontal="center" vertical="center" wrapText="1"/>
    </xf>
    <xf numFmtId="0" fontId="11" fillId="8" borderId="33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top" wrapText="1"/>
    </xf>
    <xf numFmtId="0" fontId="4" fillId="5" borderId="16" xfId="0" applyFont="1" applyFill="1" applyBorder="1" applyAlignment="1">
      <alignment vertical="top" wrapText="1"/>
    </xf>
    <xf numFmtId="0" fontId="0" fillId="0" borderId="37" xfId="0" applyNumberFormat="1" applyFill="1" applyBorder="1" applyAlignment="1">
      <alignment vertical="top"/>
    </xf>
    <xf numFmtId="0" fontId="4" fillId="5" borderId="16" xfId="0" applyFont="1" applyFill="1" applyBorder="1" applyAlignment="1">
      <alignment vertical="top"/>
    </xf>
    <xf numFmtId="0" fontId="4" fillId="5" borderId="46" xfId="0" applyFont="1" applyFill="1" applyBorder="1" applyAlignment="1">
      <alignment vertical="top"/>
    </xf>
    <xf numFmtId="0" fontId="0" fillId="0" borderId="65" xfId="0" applyFill="1" applyBorder="1" applyAlignment="1">
      <alignment vertical="top"/>
    </xf>
    <xf numFmtId="3" fontId="0" fillId="0" borderId="66" xfId="0" applyNumberFormat="1" applyFill="1" applyBorder="1" applyAlignment="1">
      <alignment vertical="top"/>
    </xf>
    <xf numFmtId="0" fontId="0" fillId="6" borderId="67" xfId="0" applyFill="1" applyBorder="1" applyAlignment="1">
      <alignment vertical="top"/>
    </xf>
    <xf numFmtId="3" fontId="0" fillId="6" borderId="68" xfId="0" applyNumberFormat="1" applyFill="1" applyBorder="1" applyAlignment="1">
      <alignment vertical="top"/>
    </xf>
    <xf numFmtId="0" fontId="0" fillId="0" borderId="67" xfId="0" applyFill="1" applyBorder="1" applyAlignment="1">
      <alignment vertical="top"/>
    </xf>
    <xf numFmtId="3" fontId="0" fillId="0" borderId="68" xfId="0" applyNumberFormat="1" applyFill="1" applyBorder="1" applyAlignment="1">
      <alignment vertical="top"/>
    </xf>
    <xf numFmtId="3" fontId="0" fillId="6" borderId="69" xfId="0" applyNumberFormat="1" applyFill="1" applyBorder="1" applyAlignment="1">
      <alignment vertical="top"/>
    </xf>
    <xf numFmtId="0" fontId="8" fillId="0" borderId="52" xfId="0" applyNumberFormat="1" applyFont="1" applyFill="1" applyBorder="1" applyAlignment="1">
      <alignment vertical="top"/>
    </xf>
    <xf numFmtId="0" fontId="0" fillId="0" borderId="29" xfId="0" applyFill="1" applyBorder="1" applyAlignment="1">
      <alignment vertical="top"/>
    </xf>
    <xf numFmtId="3" fontId="0" fillId="0" borderId="70" xfId="0" applyNumberFormat="1" applyFill="1" applyBorder="1" applyAlignment="1">
      <alignment vertical="top"/>
    </xf>
    <xf numFmtId="3" fontId="0" fillId="6" borderId="71" xfId="0" applyNumberFormat="1" applyFill="1" applyBorder="1" applyAlignment="1">
      <alignment vertical="top"/>
    </xf>
    <xf numFmtId="3" fontId="0" fillId="0" borderId="71" xfId="0" applyNumberFormat="1" applyFill="1" applyBorder="1" applyAlignment="1">
      <alignment vertical="top"/>
    </xf>
    <xf numFmtId="3" fontId="0" fillId="6" borderId="72" xfId="0" applyNumberFormat="1" applyFill="1" applyBorder="1" applyAlignment="1">
      <alignment vertical="top"/>
    </xf>
    <xf numFmtId="0" fontId="4" fillId="5" borderId="0" xfId="0" applyFont="1" applyFill="1" applyBorder="1" applyAlignment="1">
      <alignment horizontal="right" vertical="top"/>
    </xf>
    <xf numFmtId="0" fontId="4" fillId="5" borderId="16" xfId="0" applyFont="1" applyFill="1" applyBorder="1" applyAlignment="1">
      <alignment horizontal="right" vertical="top"/>
    </xf>
    <xf numFmtId="3" fontId="0" fillId="7" borderId="40" xfId="0" applyNumberFormat="1" applyFill="1" applyBorder="1" applyAlignment="1">
      <alignment vertical="top"/>
    </xf>
    <xf numFmtId="0" fontId="5" fillId="0" borderId="54" xfId="0" applyFont="1" applyBorder="1"/>
    <xf numFmtId="0" fontId="0" fillId="0" borderId="2" xfId="0" applyBorder="1"/>
    <xf numFmtId="0" fontId="17" fillId="0" borderId="2" xfId="0" applyFont="1" applyBorder="1"/>
    <xf numFmtId="0" fontId="0" fillId="6" borderId="73" xfId="0" applyFill="1" applyBorder="1" applyAlignment="1">
      <alignment vertical="top"/>
    </xf>
    <xf numFmtId="0" fontId="1" fillId="6" borderId="74" xfId="0" applyFont="1" applyFill="1" applyBorder="1" applyAlignment="1">
      <alignment vertical="top"/>
    </xf>
    <xf numFmtId="0" fontId="1" fillId="6" borderId="63" xfId="0" applyFont="1" applyFill="1" applyBorder="1" applyAlignment="1">
      <alignment vertical="top"/>
    </xf>
    <xf numFmtId="3" fontId="0" fillId="6" borderId="33" xfId="0" applyNumberFormat="1" applyFill="1" applyBorder="1" applyAlignment="1">
      <alignment vertical="top"/>
    </xf>
    <xf numFmtId="3" fontId="0" fillId="7" borderId="33" xfId="0" applyNumberFormat="1" applyFill="1" applyBorder="1" applyAlignment="1">
      <alignment vertical="top"/>
    </xf>
    <xf numFmtId="3" fontId="0" fillId="6" borderId="60" xfId="0" applyNumberFormat="1" applyFill="1" applyBorder="1" applyAlignment="1">
      <alignment vertical="top"/>
    </xf>
    <xf numFmtId="0" fontId="4" fillId="5" borderId="46" xfId="0" applyFont="1" applyFill="1" applyBorder="1" applyAlignment="1">
      <alignment horizontal="right" vertical="top"/>
    </xf>
    <xf numFmtId="0" fontId="12" fillId="8" borderId="23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19" xfId="3" applyFont="1" applyFill="1" applyBorder="1" applyAlignment="1">
      <alignment horizontal="center"/>
    </xf>
    <xf numFmtId="3" fontId="12" fillId="8" borderId="24" xfId="3" applyNumberFormat="1" applyFont="1" applyFill="1" applyBorder="1" applyAlignment="1">
      <alignment horizontal="right"/>
    </xf>
    <xf numFmtId="3" fontId="12" fillId="8" borderId="55" xfId="3" applyNumberFormat="1" applyFont="1" applyFill="1" applyBorder="1" applyAlignment="1">
      <alignment horizontal="center"/>
    </xf>
    <xf numFmtId="3" fontId="12" fillId="0" borderId="20" xfId="3" applyNumberFormat="1" applyFont="1" applyFill="1" applyBorder="1" applyAlignment="1">
      <alignment horizontal="right"/>
    </xf>
    <xf numFmtId="3" fontId="12" fillId="0" borderId="58" xfId="3" applyNumberFormat="1" applyFont="1" applyFill="1" applyBorder="1" applyAlignment="1">
      <alignment horizontal="right"/>
    </xf>
    <xf numFmtId="3" fontId="12" fillId="8" borderId="16" xfId="3" applyNumberFormat="1" applyFont="1" applyFill="1" applyBorder="1" applyAlignment="1">
      <alignment horizontal="right"/>
    </xf>
    <xf numFmtId="3" fontId="12" fillId="0" borderId="16" xfId="3" applyNumberFormat="1" applyFont="1" applyBorder="1" applyAlignment="1">
      <alignment horizontal="right"/>
    </xf>
    <xf numFmtId="3" fontId="12" fillId="8" borderId="31" xfId="3" applyNumberFormat="1" applyFont="1" applyFill="1" applyBorder="1" applyAlignment="1">
      <alignment horizontal="right"/>
    </xf>
    <xf numFmtId="3" fontId="12" fillId="0" borderId="46" xfId="3" applyNumberFormat="1" applyFont="1" applyFill="1" applyBorder="1" applyAlignment="1">
      <alignment horizontal="right"/>
    </xf>
    <xf numFmtId="3" fontId="12" fillId="0" borderId="44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13" borderId="0" xfId="3" applyNumberFormat="1" applyFont="1" applyFill="1" applyBorder="1" applyAlignment="1">
      <alignment horizontal="center"/>
    </xf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6" fillId="0" borderId="0" xfId="1" applyNumberFormat="1" applyFont="1"/>
    <xf numFmtId="175" fontId="0" fillId="0" borderId="0" xfId="0" applyNumberFormat="1"/>
    <xf numFmtId="3" fontId="12" fillId="0" borderId="20" xfId="0" applyNumberFormat="1" applyFont="1" applyFill="1" applyBorder="1"/>
    <xf numFmtId="3" fontId="12" fillId="0" borderId="44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3" fontId="12" fillId="15" borderId="1" xfId="3" applyNumberFormat="1" applyFont="1" applyFill="1" applyBorder="1" applyAlignment="1">
      <alignment horizontal="right"/>
    </xf>
    <xf numFmtId="3" fontId="12" fillId="15" borderId="31" xfId="3" applyNumberFormat="1" applyFont="1" applyFill="1" applyBorder="1" applyAlignment="1">
      <alignment horizontal="right"/>
    </xf>
    <xf numFmtId="3" fontId="12" fillId="15" borderId="16" xfId="3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1" fillId="8" borderId="15" xfId="3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3" fontId="12" fillId="13" borderId="24" xfId="3" applyNumberFormat="1" applyFont="1" applyFill="1" applyBorder="1" applyAlignment="1">
      <alignment horizontal="center"/>
    </xf>
    <xf numFmtId="3" fontId="12" fillId="13" borderId="27" xfId="3" applyNumberFormat="1" applyFont="1" applyFill="1" applyBorder="1" applyAlignment="1">
      <alignment horizontal="center"/>
    </xf>
    <xf numFmtId="3" fontId="12" fillId="13" borderId="32" xfId="3" applyNumberFormat="1" applyFont="1" applyFill="1" applyBorder="1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 wrapText="1"/>
    </xf>
    <xf numFmtId="3" fontId="12" fillId="13" borderId="25" xfId="3" applyNumberFormat="1" applyFont="1" applyFill="1" applyBorder="1" applyAlignment="1">
      <alignment horizontal="center"/>
    </xf>
    <xf numFmtId="3" fontId="12" fillId="13" borderId="26" xfId="3" applyNumberFormat="1" applyFont="1" applyFill="1" applyBorder="1" applyAlignment="1">
      <alignment horizontal="center"/>
    </xf>
    <xf numFmtId="3" fontId="12" fillId="13" borderId="28" xfId="3" applyNumberFormat="1" applyFont="1" applyFill="1" applyBorder="1" applyAlignment="1">
      <alignment horizontal="center"/>
    </xf>
    <xf numFmtId="3" fontId="12" fillId="13" borderId="29" xfId="3" applyNumberFormat="1" applyFont="1" applyFill="1" applyBorder="1" applyAlignment="1">
      <alignment horizontal="center"/>
    </xf>
    <xf numFmtId="3" fontId="12" fillId="13" borderId="33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4" fillId="9" borderId="51" xfId="0" applyFont="1" applyFill="1" applyBorder="1" applyAlignment="1">
      <alignment horizontal="center"/>
    </xf>
    <xf numFmtId="0" fontId="4" fillId="9" borderId="50" xfId="0" applyFont="1" applyFill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11" fillId="8" borderId="50" xfId="3" applyFont="1" applyFill="1" applyBorder="1" applyAlignment="1">
      <alignment horizontal="center" vertical="center" wrapText="1"/>
    </xf>
    <xf numFmtId="0" fontId="11" fillId="8" borderId="37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62" xfId="3" applyFont="1" applyFill="1" applyBorder="1" applyAlignment="1">
      <alignment horizontal="center" vertical="center" wrapText="1"/>
    </xf>
    <xf numFmtId="0" fontId="11" fillId="8" borderId="59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18" xfId="3" applyFont="1" applyFill="1" applyBorder="1" applyAlignment="1">
      <alignment horizontal="center" vertical="center"/>
    </xf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8"/>
        </c:manualLayout>
      </c:layout>
      <c:barChart>
        <c:barDir val="col"/>
        <c:grouping val="clustered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cat>
            <c:numRef>
              <c:f>Chart!$B$7:$B$17</c:f>
              <c:numCache>
                <c:formatCode>General</c:formatCode>
                <c:ptCount val="11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Chart!$C$7:$C$17</c:f>
              <c:numCache>
                <c:formatCode>#,##0</c:formatCode>
                <c:ptCount val="11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cat>
            <c:numRef>
              <c:f>Chart!$B$7:$B$17</c:f>
              <c:numCache>
                <c:formatCode>General</c:formatCode>
                <c:ptCount val="11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Chart!$D$7:$D$17</c:f>
              <c:numCache>
                <c:formatCode>#,##0</c:formatCode>
                <c:ptCount val="11"/>
                <c:pt idx="0">
                  <c:v>1214096286.5571823</c:v>
                </c:pt>
                <c:pt idx="1">
                  <c:v>1198833047.1489887</c:v>
                </c:pt>
                <c:pt idx="2">
                  <c:v>1207050039.1496041</c:v>
                </c:pt>
                <c:pt idx="3">
                  <c:v>1170881307.9356413</c:v>
                </c:pt>
                <c:pt idx="4">
                  <c:v>1147471680.5230298</c:v>
                </c:pt>
                <c:pt idx="5">
                  <c:v>1110172412.3567979</c:v>
                </c:pt>
                <c:pt idx="6">
                  <c:v>1126724653.6746798</c:v>
                </c:pt>
                <c:pt idx="7">
                  <c:v>1129720236.440757</c:v>
                </c:pt>
                <c:pt idx="8">
                  <c:v>1164987379.8152349</c:v>
                </c:pt>
                <c:pt idx="9">
                  <c:v>1150628519.5562067</c:v>
                </c:pt>
                <c:pt idx="10">
                  <c:v>1158628600.9002914</c:v>
                </c:pt>
              </c:numCache>
            </c:numRef>
          </c:val>
        </c:ser>
        <c:dLbls/>
        <c:axId val="300984960"/>
        <c:axId val="301742720"/>
      </c:barChart>
      <c:catAx>
        <c:axId val="300984960"/>
        <c:scaling>
          <c:orientation val="minMax"/>
        </c:scaling>
        <c:axPos val="b"/>
        <c:numFmt formatCode="0" sourceLinked="1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301742720"/>
        <c:crosses val="autoZero"/>
        <c:auto val="1"/>
        <c:lblAlgn val="ctr"/>
        <c:lblOffset val="100"/>
      </c:catAx>
      <c:valAx>
        <c:axId val="301742720"/>
        <c:scaling>
          <c:orientation val="minMax"/>
          <c:max val="1300000000"/>
          <c:min val="900000000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3009849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91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24"/>
          <c:y val="0.1289265996922799"/>
          <c:w val="0.17051542041024942"/>
          <c:h val="0.12931124988686887"/>
        </c:manualLayout>
      </c:layout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</c:chart>
  <c:printSettings>
    <c:headerFooter/>
    <c:pageMargins b="0.75000000000000377" l="0.70000000000000062" r="0.70000000000000062" t="0.7500000000000037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/>
    <c:plotArea>
      <c:layout>
        <c:manualLayout>
          <c:layoutTarget val="inner"/>
          <c:xMode val="edge"/>
          <c:yMode val="edge"/>
          <c:x val="0.1094562554680665"/>
          <c:y val="0.17823801870305053"/>
          <c:w val="0.8268622047244093"/>
          <c:h val="0.6811310099573733"/>
        </c:manualLayout>
      </c:layout>
      <c:lineChart>
        <c:grouping val="standard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3211.1509090909094</c:v>
                </c:pt>
                <c:pt idx="12">
                  <c:v>3173.5063636363775</c:v>
                </c:pt>
                <c:pt idx="13">
                  <c:v>3135.861818181831</c:v>
                </c:pt>
                <c:pt idx="14">
                  <c:v>3098.2172727272846</c:v>
                </c:pt>
                <c:pt idx="15">
                  <c:v>3060.5727272727381</c:v>
                </c:pt>
                <c:pt idx="16">
                  <c:v>3022.9281818181917</c:v>
                </c:pt>
              </c:numCache>
            </c:numRef>
          </c:val>
        </c:ser>
        <c:dLbls/>
        <c:marker val="1"/>
        <c:axId val="189878272"/>
        <c:axId val="189879808"/>
      </c:lineChart>
      <c:catAx>
        <c:axId val="189878272"/>
        <c:scaling>
          <c:orientation val="minMax"/>
        </c:scaling>
        <c:axPos val="b"/>
        <c:majorGridlines/>
        <c:numFmt formatCode="General" sourceLinked="1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89879808"/>
        <c:crosses val="autoZero"/>
        <c:auto val="1"/>
        <c:lblAlgn val="ctr"/>
        <c:lblOffset val="100"/>
      </c:catAx>
      <c:valAx>
        <c:axId val="189879808"/>
        <c:scaling>
          <c:orientation val="minMax"/>
          <c:min val="2000"/>
        </c:scaling>
        <c:axPos val="l"/>
        <c:majorGridlines/>
        <c:numFmt formatCode="_-* #,##0_-;\-* #,##0_-;_-* &quot;-&quot;??_-;_-@_-" sourceLinked="1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89878272"/>
        <c:crossesAt val="1"/>
        <c:crossBetween val="midCat"/>
        <c:majorUnit val="100"/>
      </c:valAx>
    </c:plotArea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/>
    <c:plotArea>
      <c:layout>
        <c:manualLayout>
          <c:layoutTarget val="inner"/>
          <c:xMode val="edge"/>
          <c:yMode val="edge"/>
          <c:x val="7.747881782156911E-2"/>
          <c:y val="0.1823852546224263"/>
          <c:w val="0.8944440233740838"/>
          <c:h val="0.65768056462373359"/>
        </c:manualLayout>
      </c:layout>
      <c:lineChart>
        <c:grouping val="standard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272.47272727272684</c:v>
                </c:pt>
                <c:pt idx="12">
                  <c:v>278.87090909090875</c:v>
                </c:pt>
                <c:pt idx="13">
                  <c:v>285.26909090909066</c:v>
                </c:pt>
                <c:pt idx="14">
                  <c:v>291.66727272727258</c:v>
                </c:pt>
                <c:pt idx="15">
                  <c:v>298.06545454545449</c:v>
                </c:pt>
                <c:pt idx="16">
                  <c:v>304.4636363636364</c:v>
                </c:pt>
              </c:numCache>
            </c:numRef>
          </c:val>
        </c:ser>
        <c:dLbls/>
        <c:marker val="1"/>
        <c:axId val="189896576"/>
        <c:axId val="189898112"/>
      </c:lineChart>
      <c:catAx>
        <c:axId val="189896576"/>
        <c:scaling>
          <c:orientation val="minMax"/>
        </c:scaling>
        <c:axPos val="b"/>
        <c:majorGridlines/>
        <c:numFmt formatCode="General" sourceLinked="1"/>
        <c:majorTickMark val="cross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89898112"/>
        <c:crosses val="autoZero"/>
        <c:auto val="1"/>
        <c:lblAlgn val="ctr"/>
        <c:lblOffset val="100"/>
      </c:catAx>
      <c:valAx>
        <c:axId val="189898112"/>
        <c:scaling>
          <c:orientation val="minMax"/>
        </c:scaling>
        <c:axPos val="l"/>
        <c:majorGridlines/>
        <c:numFmt formatCode="_-* #,##0_-;\-* #,##0_-;_-* &quot;-&quot;??_-;_-@_-" sourceLinked="1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89896576"/>
        <c:crosses val="autoZero"/>
        <c:crossBetween val="midCat"/>
        <c:majorUnit val="25"/>
      </c:valAx>
    </c:plotArea>
    <c:plotVisOnly val="1"/>
    <c:dispBlanksAs val="gap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/>
    <c:plotArea>
      <c:layout>
        <c:manualLayout>
          <c:layoutTarget val="inner"/>
          <c:xMode val="edge"/>
          <c:yMode val="edge"/>
          <c:x val="0.11609492563429571"/>
          <c:y val="0.22750698845571135"/>
          <c:w val="0.84820866141732287"/>
          <c:h val="0.59298849838892087"/>
        </c:manualLayout>
      </c:layout>
      <c:lineChart>
        <c:grouping val="standard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1.0097759643241768</c:v>
                </c:pt>
                <c:pt idx="11">
                  <c:v>1.0085259643241768</c:v>
                </c:pt>
                <c:pt idx="12">
                  <c:v>1.0072759643241769</c:v>
                </c:pt>
                <c:pt idx="13">
                  <c:v>1.0060259643241769</c:v>
                </c:pt>
                <c:pt idx="14">
                  <c:v>1.0047759643241769</c:v>
                </c:pt>
                <c:pt idx="15">
                  <c:v>1.003525964324177</c:v>
                </c:pt>
                <c:pt idx="16">
                  <c:v>1.002275964324177</c:v>
                </c:pt>
              </c:numCache>
            </c:numRef>
          </c:val>
        </c:ser>
        <c:dLbls/>
        <c:marker val="1"/>
        <c:axId val="263454720"/>
        <c:axId val="263456256"/>
      </c:lineChart>
      <c:catAx>
        <c:axId val="263454720"/>
        <c:scaling>
          <c:orientation val="minMax"/>
        </c:scaling>
        <c:axPos val="b"/>
        <c:majorGridlines/>
        <c:numFmt formatCode="General" sourceLinked="1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263456256"/>
        <c:crosses val="autoZero"/>
        <c:auto val="1"/>
        <c:lblAlgn val="ctr"/>
        <c:lblOffset val="100"/>
      </c:catAx>
      <c:valAx>
        <c:axId val="263456256"/>
        <c:scaling>
          <c:orientation val="minMax"/>
          <c:min val="0.98"/>
        </c:scaling>
        <c:axPos val="l"/>
        <c:majorGridlines/>
        <c:numFmt formatCode="0.0%" sourceLinked="1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263454720"/>
        <c:crosses val="autoZero"/>
        <c:crossBetween val="midCat"/>
        <c:majorUnit val="5.0000000000000114E-3"/>
      </c:valAx>
    </c:plotArea>
    <c:legend>
      <c:legendPos val="r"/>
    </c:legend>
    <c:plotVisOnly val="1"/>
    <c:dispBlanksAs val="gap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4:H84"/>
  <sheetViews>
    <sheetView showGridLines="0" tabSelected="1" workbookViewId="0"/>
  </sheetViews>
  <sheetFormatPr defaultColWidth="9.109375" defaultRowHeight="13.2"/>
  <cols>
    <col min="1" max="1" width="45" style="110" bestFit="1" customWidth="1"/>
    <col min="2" max="2" width="7.88671875" style="110" customWidth="1"/>
    <col min="3" max="3" width="19" style="110" customWidth="1"/>
    <col min="4" max="6" width="18.109375" style="110" customWidth="1"/>
    <col min="7" max="7" width="10.6640625" style="110" customWidth="1"/>
    <col min="8" max="8" width="10.5546875" style="110" customWidth="1"/>
    <col min="9" max="16384" width="9.109375" style="110"/>
  </cols>
  <sheetData>
    <row r="4" spans="1:6">
      <c r="A4" s="110" t="s">
        <v>300</v>
      </c>
    </row>
    <row r="5" spans="1:6" ht="13.8" thickBot="1"/>
    <row r="6" spans="1:6">
      <c r="A6" s="427" t="s">
        <v>108</v>
      </c>
      <c r="B6" s="428"/>
      <c r="C6" s="132" t="s">
        <v>109</v>
      </c>
      <c r="D6" s="132" t="s">
        <v>110</v>
      </c>
      <c r="E6" s="435" t="s">
        <v>41</v>
      </c>
      <c r="F6" s="436"/>
    </row>
    <row r="7" spans="1:6">
      <c r="A7" s="429" t="s">
        <v>111</v>
      </c>
      <c r="B7" s="122">
        <v>2003</v>
      </c>
      <c r="C7" s="123">
        <f>+'Purchased Power Model '!B210</f>
        <v>1232724170</v>
      </c>
      <c r="D7" s="123">
        <f>+'Purchased Power Model '!Q210</f>
        <v>1214096286.5571823</v>
      </c>
      <c r="E7" s="123">
        <f t="shared" ref="E7:E17" si="0">+D7-C7</f>
        <v>-18627883.442817688</v>
      </c>
      <c r="F7" s="124">
        <f t="shared" ref="F7:F17" si="1">+E7/C7</f>
        <v>-1.5111152921433908E-2</v>
      </c>
    </row>
    <row r="8" spans="1:6">
      <c r="A8" s="430"/>
      <c r="B8" s="125">
        <v>2004</v>
      </c>
      <c r="C8" s="123">
        <f>+'Purchased Power Model '!B211</f>
        <v>1178441190</v>
      </c>
      <c r="D8" s="123">
        <f>+'Purchased Power Model '!Q211</f>
        <v>1198833047.1489887</v>
      </c>
      <c r="E8" s="123">
        <f t="shared" si="0"/>
        <v>20391857.148988724</v>
      </c>
      <c r="F8" s="124">
        <f t="shared" si="1"/>
        <v>1.7304094020159567E-2</v>
      </c>
    </row>
    <row r="9" spans="1:6">
      <c r="A9" s="430"/>
      <c r="B9" s="122">
        <v>2005</v>
      </c>
      <c r="C9" s="123">
        <f>+'Purchased Power Model '!B212</f>
        <v>1174501350</v>
      </c>
      <c r="D9" s="123">
        <f>+'Purchased Power Model '!Q212</f>
        <v>1207050039.1496041</v>
      </c>
      <c r="E9" s="123">
        <f t="shared" si="0"/>
        <v>32548689.149604082</v>
      </c>
      <c r="F9" s="124">
        <f t="shared" si="1"/>
        <v>2.7712772871316054E-2</v>
      </c>
    </row>
    <row r="10" spans="1:6">
      <c r="A10" s="430"/>
      <c r="B10" s="125">
        <v>2006</v>
      </c>
      <c r="C10" s="123">
        <f>+'Purchased Power Model '!B213</f>
        <v>1151360440</v>
      </c>
      <c r="D10" s="123">
        <f>+'Purchased Power Model '!Q213</f>
        <v>1170881307.9356413</v>
      </c>
      <c r="E10" s="123">
        <f t="shared" si="0"/>
        <v>19520867.935641289</v>
      </c>
      <c r="F10" s="124">
        <f t="shared" si="1"/>
        <v>1.6954610613198841E-2</v>
      </c>
    </row>
    <row r="11" spans="1:6">
      <c r="A11" s="430"/>
      <c r="B11" s="122">
        <v>2007</v>
      </c>
      <c r="C11" s="123">
        <f>+'Purchased Power Model '!B214</f>
        <v>1191153590</v>
      </c>
      <c r="D11" s="123">
        <f>+'Purchased Power Model '!Q214</f>
        <v>1147471680.5230298</v>
      </c>
      <c r="E11" s="123">
        <f t="shared" si="0"/>
        <v>-43681909.476970196</v>
      </c>
      <c r="F11" s="124">
        <f t="shared" si="1"/>
        <v>-3.667193705638766E-2</v>
      </c>
    </row>
    <row r="12" spans="1:6">
      <c r="A12" s="430"/>
      <c r="B12" s="125">
        <v>2008</v>
      </c>
      <c r="C12" s="123">
        <f>+'Purchased Power Model '!B215</f>
        <v>1158881926</v>
      </c>
      <c r="D12" s="123">
        <f>+'Purchased Power Model '!Q215</f>
        <v>1110172412.3567979</v>
      </c>
      <c r="E12" s="123">
        <f t="shared" si="0"/>
        <v>-48709513.643202066</v>
      </c>
      <c r="F12" s="124">
        <f t="shared" si="1"/>
        <v>-4.2031472361751261E-2</v>
      </c>
    </row>
    <row r="13" spans="1:6">
      <c r="A13" s="430"/>
      <c r="B13" s="122">
        <v>2009</v>
      </c>
      <c r="C13" s="123">
        <f>+'Purchased Power Model '!B216</f>
        <v>1128390784.5107694</v>
      </c>
      <c r="D13" s="123">
        <f>+'Purchased Power Model '!Q216</f>
        <v>1126724653.6746798</v>
      </c>
      <c r="E13" s="123">
        <f t="shared" si="0"/>
        <v>-1666130.8360896111</v>
      </c>
      <c r="F13" s="124">
        <f t="shared" si="1"/>
        <v>-1.4765548061543119E-3</v>
      </c>
    </row>
    <row r="14" spans="1:6">
      <c r="A14" s="430"/>
      <c r="B14" s="125">
        <v>2010</v>
      </c>
      <c r="C14" s="123">
        <f>+'Purchased Power Model '!B217</f>
        <v>1148489331.8146157</v>
      </c>
      <c r="D14" s="123">
        <f>+'Purchased Power Model '!Q217</f>
        <v>1129720236.440757</v>
      </c>
      <c r="E14" s="123">
        <f t="shared" si="0"/>
        <v>-18769095.37385869</v>
      </c>
      <c r="F14" s="124">
        <f t="shared" si="1"/>
        <v>-1.6342420302854252E-2</v>
      </c>
    </row>
    <row r="15" spans="1:6">
      <c r="A15" s="430"/>
      <c r="B15" s="125">
        <v>2011</v>
      </c>
      <c r="C15" s="123">
        <f>+'Purchased Power Model '!B218</f>
        <v>1148632387.3953846</v>
      </c>
      <c r="D15" s="123">
        <f>+'Purchased Power Model '!Q218</f>
        <v>1164987379.8152349</v>
      </c>
      <c r="E15" s="123">
        <f t="shared" si="0"/>
        <v>16354992.419850349</v>
      </c>
      <c r="F15" s="124">
        <f t="shared" si="1"/>
        <v>1.4238665563781113E-2</v>
      </c>
    </row>
    <row r="16" spans="1:6">
      <c r="A16" s="430"/>
      <c r="B16" s="125">
        <v>2012</v>
      </c>
      <c r="C16" s="123">
        <f>+'Purchased Power Model '!B219</f>
        <v>1136211952.670979</v>
      </c>
      <c r="D16" s="123">
        <f>+'Purchased Power Model '!Q219</f>
        <v>1150628519.5562067</v>
      </c>
      <c r="E16" s="123">
        <f t="shared" si="0"/>
        <v>14416566.88522768</v>
      </c>
      <c r="F16" s="124">
        <f t="shared" si="1"/>
        <v>1.268827251054486E-2</v>
      </c>
    </row>
    <row r="17" spans="1:8">
      <c r="A17" s="431"/>
      <c r="B17" s="125">
        <v>2013</v>
      </c>
      <c r="C17" s="123">
        <f>+'Purchased Power Model '!B220</f>
        <v>1130407041.6666667</v>
      </c>
      <c r="D17" s="123">
        <f ca="1">+'Purchased Power Model '!Q220</f>
        <v>1158628600.9002914</v>
      </c>
      <c r="E17" s="123">
        <f t="shared" ca="1" si="0"/>
        <v>28221559.233624697</v>
      </c>
      <c r="F17" s="124">
        <f t="shared" ca="1" si="1"/>
        <v>2.4965838139167078E-2</v>
      </c>
    </row>
    <row r="18" spans="1:8">
      <c r="A18" s="126" t="s">
        <v>208</v>
      </c>
      <c r="B18" s="125">
        <v>2014</v>
      </c>
      <c r="C18" s="432"/>
      <c r="D18" s="123">
        <f ca="1">+'Purchased Power Model '!Q221</f>
        <v>1146348131.8266783</v>
      </c>
      <c r="E18" s="437"/>
      <c r="F18" s="438"/>
    </row>
    <row r="19" spans="1:8">
      <c r="A19" s="126" t="s">
        <v>209</v>
      </c>
      <c r="B19" s="125">
        <v>2015</v>
      </c>
      <c r="C19" s="433"/>
      <c r="D19" s="123">
        <f ca="1">+'Purchased Power Model '!Q222</f>
        <v>1161409405.5438561</v>
      </c>
      <c r="E19" s="439"/>
      <c r="F19" s="440"/>
    </row>
    <row r="20" spans="1:8">
      <c r="A20" s="126" t="s">
        <v>210</v>
      </c>
      <c r="B20" s="125">
        <v>2016</v>
      </c>
      <c r="C20" s="433"/>
      <c r="D20" s="123">
        <f ca="1">+'Purchased Power Model '!Q223</f>
        <v>1179453259.4483292</v>
      </c>
      <c r="E20" s="439"/>
      <c r="F20" s="440"/>
    </row>
    <row r="21" spans="1:8">
      <c r="A21" s="126" t="s">
        <v>211</v>
      </c>
      <c r="B21" s="125">
        <v>2017</v>
      </c>
      <c r="C21" s="433"/>
      <c r="D21" s="123">
        <f ca="1">+'Purchased Power Model '!Q224</f>
        <v>1191117841.5283267</v>
      </c>
      <c r="E21" s="439"/>
      <c r="F21" s="440"/>
    </row>
    <row r="22" spans="1:8">
      <c r="A22" s="126" t="s">
        <v>212</v>
      </c>
      <c r="B22" s="125">
        <v>2018</v>
      </c>
      <c r="C22" s="433"/>
      <c r="D22" s="123">
        <f ca="1">+'Purchased Power Model '!Q225</f>
        <v>1205768874.1562457</v>
      </c>
      <c r="E22" s="439"/>
      <c r="F22" s="440"/>
    </row>
    <row r="23" spans="1:8" ht="13.8" thickBot="1">
      <c r="A23" s="127" t="s">
        <v>213</v>
      </c>
      <c r="B23" s="128">
        <v>2019</v>
      </c>
      <c r="C23" s="434"/>
      <c r="D23" s="129">
        <f ca="1">+'Purchased Power Model '!Q226</f>
        <v>1220192559.2700689</v>
      </c>
      <c r="E23" s="441"/>
      <c r="F23" s="442"/>
    </row>
    <row r="24" spans="1:8" ht="13.8" thickBot="1">
      <c r="B24" s="130"/>
      <c r="C24" s="131"/>
      <c r="D24" s="131"/>
      <c r="E24" s="131"/>
      <c r="F24" s="131"/>
      <c r="G24" s="130"/>
      <c r="H24" s="130"/>
    </row>
    <row r="25" spans="1:8" ht="22.8">
      <c r="A25" s="427" t="s">
        <v>108</v>
      </c>
      <c r="B25" s="428"/>
      <c r="C25" s="181" t="s">
        <v>109</v>
      </c>
      <c r="D25" s="181" t="s">
        <v>215</v>
      </c>
      <c r="E25" s="182" t="s">
        <v>214</v>
      </c>
      <c r="F25" s="209" t="s">
        <v>216</v>
      </c>
      <c r="G25"/>
      <c r="H25"/>
    </row>
    <row r="26" spans="1:8">
      <c r="A26" s="429" t="s">
        <v>111</v>
      </c>
      <c r="B26" s="122">
        <v>2003</v>
      </c>
      <c r="C26" s="123">
        <f>+C7</f>
        <v>1232724170</v>
      </c>
      <c r="D26" s="123">
        <f t="shared" ref="D26:D42" si="2">+D7</f>
        <v>1214096286.5571823</v>
      </c>
      <c r="E26" s="123">
        <f>+'10 Year Average'!Q210</f>
        <v>1214096286.5571823</v>
      </c>
      <c r="F26" s="210">
        <f>+'20 Year Trend'!Q210</f>
        <v>1214096286.5571823</v>
      </c>
      <c r="G26"/>
      <c r="H26"/>
    </row>
    <row r="27" spans="1:8">
      <c r="A27" s="430"/>
      <c r="B27" s="125">
        <v>2004</v>
      </c>
      <c r="C27" s="123">
        <f t="shared" ref="C27:C36" si="3">+C8</f>
        <v>1178441190</v>
      </c>
      <c r="D27" s="123">
        <f t="shared" si="2"/>
        <v>1198833047.1489887</v>
      </c>
      <c r="E27" s="123">
        <f>+'10 Year Average'!Q211</f>
        <v>1198833047.1489887</v>
      </c>
      <c r="F27" s="210">
        <f>+'20 Year Trend'!Q211</f>
        <v>1198833047.1489887</v>
      </c>
      <c r="G27"/>
      <c r="H27"/>
    </row>
    <row r="28" spans="1:8">
      <c r="A28" s="430"/>
      <c r="B28" s="122">
        <v>2005</v>
      </c>
      <c r="C28" s="123">
        <f t="shared" si="3"/>
        <v>1174501350</v>
      </c>
      <c r="D28" s="123">
        <f t="shared" si="2"/>
        <v>1207050039.1496041</v>
      </c>
      <c r="E28" s="123">
        <f>+'10 Year Average'!Q212</f>
        <v>1207050039.1496041</v>
      </c>
      <c r="F28" s="210">
        <f>+'20 Year Trend'!Q212</f>
        <v>1207050039.1496041</v>
      </c>
      <c r="G28"/>
      <c r="H28"/>
    </row>
    <row r="29" spans="1:8">
      <c r="A29" s="430"/>
      <c r="B29" s="125">
        <v>2006</v>
      </c>
      <c r="C29" s="123">
        <f t="shared" si="3"/>
        <v>1151360440</v>
      </c>
      <c r="D29" s="123">
        <f t="shared" si="2"/>
        <v>1170881307.9356413</v>
      </c>
      <c r="E29" s="123">
        <f>+'10 Year Average'!Q213</f>
        <v>1170881307.9356413</v>
      </c>
      <c r="F29" s="210">
        <f>+'20 Year Trend'!Q213</f>
        <v>1170881307.9356413</v>
      </c>
      <c r="G29"/>
      <c r="H29"/>
    </row>
    <row r="30" spans="1:8">
      <c r="A30" s="430"/>
      <c r="B30" s="122">
        <v>2007</v>
      </c>
      <c r="C30" s="123">
        <f t="shared" si="3"/>
        <v>1191153590</v>
      </c>
      <c r="D30" s="123">
        <f t="shared" si="2"/>
        <v>1147471680.5230298</v>
      </c>
      <c r="E30" s="123">
        <f>+'10 Year Average'!Q214</f>
        <v>1147471680.5230298</v>
      </c>
      <c r="F30" s="210">
        <f>+'20 Year Trend'!Q214</f>
        <v>1147471680.5230298</v>
      </c>
      <c r="G30"/>
      <c r="H30"/>
    </row>
    <row r="31" spans="1:8">
      <c r="A31" s="430"/>
      <c r="B31" s="125">
        <v>2008</v>
      </c>
      <c r="C31" s="123">
        <f t="shared" si="3"/>
        <v>1158881926</v>
      </c>
      <c r="D31" s="123">
        <f t="shared" si="2"/>
        <v>1110172412.3567979</v>
      </c>
      <c r="E31" s="123">
        <f>+'10 Year Average'!Q215</f>
        <v>1110172412.3567979</v>
      </c>
      <c r="F31" s="210">
        <f>+'20 Year Trend'!Q215</f>
        <v>1110172412.3567979</v>
      </c>
      <c r="G31"/>
      <c r="H31"/>
    </row>
    <row r="32" spans="1:8">
      <c r="A32" s="430"/>
      <c r="B32" s="122">
        <v>2009</v>
      </c>
      <c r="C32" s="123">
        <f t="shared" si="3"/>
        <v>1128390784.5107694</v>
      </c>
      <c r="D32" s="123">
        <f t="shared" si="2"/>
        <v>1126724653.6746798</v>
      </c>
      <c r="E32" s="123">
        <f>+'10 Year Average'!Q216</f>
        <v>1126724653.6746798</v>
      </c>
      <c r="F32" s="210">
        <f>+'20 Year Trend'!Q216</f>
        <v>1126724653.6746798</v>
      </c>
      <c r="G32"/>
      <c r="H32"/>
    </row>
    <row r="33" spans="1:8">
      <c r="A33" s="430"/>
      <c r="B33" s="125">
        <v>2010</v>
      </c>
      <c r="C33" s="123">
        <f t="shared" si="3"/>
        <v>1148489331.8146157</v>
      </c>
      <c r="D33" s="123">
        <f t="shared" si="2"/>
        <v>1129720236.440757</v>
      </c>
      <c r="E33" s="123">
        <f>+'10 Year Average'!Q217</f>
        <v>1129720236.440757</v>
      </c>
      <c r="F33" s="210">
        <f>+'20 Year Trend'!Q217</f>
        <v>1129720236.440757</v>
      </c>
      <c r="G33"/>
      <c r="H33"/>
    </row>
    <row r="34" spans="1:8">
      <c r="A34" s="430"/>
      <c r="B34" s="125">
        <v>2011</v>
      </c>
      <c r="C34" s="123">
        <f t="shared" si="3"/>
        <v>1148632387.3953846</v>
      </c>
      <c r="D34" s="123">
        <f t="shared" si="2"/>
        <v>1164987379.8152349</v>
      </c>
      <c r="E34" s="123">
        <f>+'10 Year Average'!Q218</f>
        <v>1164987379.8152349</v>
      </c>
      <c r="F34" s="210">
        <f>+'20 Year Trend'!Q218</f>
        <v>1164987379.8152349</v>
      </c>
      <c r="G34"/>
      <c r="H34"/>
    </row>
    <row r="35" spans="1:8">
      <c r="A35" s="430"/>
      <c r="B35" s="125">
        <v>2012</v>
      </c>
      <c r="C35" s="123">
        <f t="shared" si="3"/>
        <v>1136211952.670979</v>
      </c>
      <c r="D35" s="123">
        <f t="shared" si="2"/>
        <v>1150628519.5562067</v>
      </c>
      <c r="E35" s="123">
        <f>+'10 Year Average'!Q219</f>
        <v>1150628519.5562067</v>
      </c>
      <c r="F35" s="210">
        <f>+'20 Year Trend'!Q219</f>
        <v>1150628519.5562067</v>
      </c>
      <c r="G35"/>
      <c r="H35"/>
    </row>
    <row r="36" spans="1:8">
      <c r="A36" s="431"/>
      <c r="B36" s="125">
        <v>2013</v>
      </c>
      <c r="C36" s="123">
        <f t="shared" si="3"/>
        <v>1130407041.6666667</v>
      </c>
      <c r="D36" s="123">
        <f t="shared" ca="1" si="2"/>
        <v>1158628600.9002914</v>
      </c>
      <c r="E36" s="123">
        <f ca="1">+'10 Year Average'!Q220</f>
        <v>1158628600.9002914</v>
      </c>
      <c r="F36" s="210">
        <f ca="1">+'20 Year Trend'!Q220</f>
        <v>1158628600.9002914</v>
      </c>
      <c r="G36"/>
      <c r="H36"/>
    </row>
    <row r="37" spans="1:8">
      <c r="A37" s="126" t="s">
        <v>208</v>
      </c>
      <c r="B37" s="125">
        <v>2014</v>
      </c>
      <c r="C37" s="432"/>
      <c r="D37" s="123">
        <f t="shared" ca="1" si="2"/>
        <v>1146348131.8266783</v>
      </c>
      <c r="E37" s="123">
        <f ca="1">+'10 Year Average'!Q221</f>
        <v>1119509222.3725033</v>
      </c>
      <c r="F37" s="210">
        <f ca="1">+'20 Year Trend'!Q221</f>
        <v>1114431026.1573486</v>
      </c>
      <c r="G37"/>
      <c r="H37"/>
    </row>
    <row r="38" spans="1:8">
      <c r="A38" s="126" t="s">
        <v>209</v>
      </c>
      <c r="B38" s="125">
        <v>2015</v>
      </c>
      <c r="C38" s="433"/>
      <c r="D38" s="123">
        <f t="shared" ca="1" si="2"/>
        <v>1161409405.5438561</v>
      </c>
      <c r="E38" s="123">
        <f ca="1">+'10 Year Average'!Q222</f>
        <v>1138843351.3042712</v>
      </c>
      <c r="F38" s="210">
        <f ca="1">+'20 Year Trend'!Q222</f>
        <v>1133765155.0891166</v>
      </c>
      <c r="G38"/>
      <c r="H38"/>
    </row>
    <row r="39" spans="1:8">
      <c r="A39" s="126" t="s">
        <v>210</v>
      </c>
      <c r="B39" s="125">
        <v>2016</v>
      </c>
      <c r="C39" s="433"/>
      <c r="D39" s="123">
        <f t="shared" ca="1" si="2"/>
        <v>1179453259.4483292</v>
      </c>
      <c r="E39" s="123">
        <f ca="1">+'10 Year Average'!Q223</f>
        <v>1160039943.754853</v>
      </c>
      <c r="F39" s="210">
        <f ca="1">+'20 Year Trend'!Q223</f>
        <v>1154961747.5396984</v>
      </c>
      <c r="G39"/>
      <c r="H39"/>
    </row>
    <row r="40" spans="1:8">
      <c r="A40" s="126" t="s">
        <v>211</v>
      </c>
      <c r="B40" s="125">
        <v>2017</v>
      </c>
      <c r="C40" s="433"/>
      <c r="D40" s="123">
        <f t="shared" ca="1" si="2"/>
        <v>1191117841.5283267</v>
      </c>
      <c r="E40" s="123">
        <f ca="1">+'10 Year Average'!Q224</f>
        <v>1176270412.4997079</v>
      </c>
      <c r="F40" s="210">
        <f ca="1">+'20 Year Trend'!Q224</f>
        <v>1171192216.2845533</v>
      </c>
      <c r="G40"/>
      <c r="H40"/>
    </row>
    <row r="41" spans="1:8">
      <c r="A41" s="126" t="s">
        <v>212</v>
      </c>
      <c r="B41" s="125">
        <v>2018</v>
      </c>
      <c r="C41" s="433"/>
      <c r="D41" s="123">
        <f t="shared" ca="1" si="2"/>
        <v>1205768874.1562457</v>
      </c>
      <c r="E41" s="123">
        <f ca="1">+'10 Year Average'!Q225</f>
        <v>1195782299.4123936</v>
      </c>
      <c r="F41" s="210">
        <f ca="1">+'20 Year Trend'!Q225</f>
        <v>1190704103.1972389</v>
      </c>
      <c r="G41"/>
      <c r="H41"/>
    </row>
    <row r="42" spans="1:8" ht="13.8" thickBot="1">
      <c r="A42" s="127" t="s">
        <v>213</v>
      </c>
      <c r="B42" s="128">
        <v>2019</v>
      </c>
      <c r="C42" s="434"/>
      <c r="D42" s="129">
        <f t="shared" ca="1" si="2"/>
        <v>1220192559.2700689</v>
      </c>
      <c r="E42" s="129">
        <f ca="1">+'10 Year Average'!Q226</f>
        <v>1213480812.0621843</v>
      </c>
      <c r="F42" s="211">
        <f ca="1">+'20 Year Trend'!Q226</f>
        <v>1208402615.8470294</v>
      </c>
      <c r="G42"/>
      <c r="H42"/>
    </row>
    <row r="43" spans="1:8">
      <c r="A43" s="409"/>
      <c r="B43" s="409"/>
      <c r="C43" s="410"/>
      <c r="D43" s="411"/>
      <c r="E43" s="411"/>
      <c r="F43" s="411"/>
      <c r="G43"/>
      <c r="H43"/>
    </row>
    <row r="44" spans="1:8">
      <c r="A44" s="409"/>
      <c r="B44" s="409"/>
      <c r="C44" s="410"/>
      <c r="D44" s="411"/>
      <c r="E44" s="411"/>
      <c r="F44" s="411"/>
      <c r="G44"/>
      <c r="H44"/>
    </row>
    <row r="45" spans="1:8">
      <c r="A45" s="409"/>
      <c r="B45" s="409"/>
      <c r="C45" s="410"/>
      <c r="D45" s="411"/>
      <c r="E45" s="411"/>
      <c r="F45" s="411"/>
      <c r="G45"/>
      <c r="H45"/>
    </row>
    <row r="46" spans="1:8">
      <c r="A46" s="409" t="s">
        <v>301</v>
      </c>
      <c r="B46" s="409"/>
      <c r="C46" s="410"/>
      <c r="D46" s="411"/>
      <c r="E46" s="411"/>
      <c r="F46" s="411"/>
      <c r="G46"/>
      <c r="H46"/>
    </row>
    <row r="47" spans="1:8" ht="13.8" thickBot="1"/>
    <row r="48" spans="1:8">
      <c r="A48" s="427" t="s">
        <v>108</v>
      </c>
      <c r="B48" s="428"/>
      <c r="C48" s="352" t="s">
        <v>109</v>
      </c>
      <c r="D48" s="352" t="s">
        <v>110</v>
      </c>
      <c r="E48" s="435" t="s">
        <v>41</v>
      </c>
      <c r="F48" s="436"/>
    </row>
    <row r="49" spans="1:6">
      <c r="A49" s="429" t="s">
        <v>111</v>
      </c>
      <c r="B49" s="122">
        <v>2003</v>
      </c>
      <c r="C49" s="123">
        <f>+'Purchased Power Model '!B210</f>
        <v>1232724170</v>
      </c>
      <c r="D49" s="123">
        <f>+'Purchased Power Model '!O210</f>
        <v>1214096286.5571823</v>
      </c>
      <c r="E49" s="123">
        <f t="shared" ref="E49:E59" si="4">+D49-C49</f>
        <v>-18627883.442817688</v>
      </c>
      <c r="F49" s="124">
        <f t="shared" ref="F49:F59" si="5">+E49/C49</f>
        <v>-1.5111152921433908E-2</v>
      </c>
    </row>
    <row r="50" spans="1:6">
      <c r="A50" s="430"/>
      <c r="B50" s="125">
        <v>2004</v>
      </c>
      <c r="C50" s="123">
        <f>+'Purchased Power Model '!B211</f>
        <v>1178441190</v>
      </c>
      <c r="D50" s="123">
        <f>+'Purchased Power Model '!O211</f>
        <v>1198833047.1489887</v>
      </c>
      <c r="E50" s="123">
        <f t="shared" si="4"/>
        <v>20391857.148988724</v>
      </c>
      <c r="F50" s="124">
        <f t="shared" si="5"/>
        <v>1.7304094020159567E-2</v>
      </c>
    </row>
    <row r="51" spans="1:6">
      <c r="A51" s="430"/>
      <c r="B51" s="122">
        <v>2005</v>
      </c>
      <c r="C51" s="123">
        <f>+'Purchased Power Model '!B212</f>
        <v>1174501350</v>
      </c>
      <c r="D51" s="123">
        <f>+'Purchased Power Model '!O212</f>
        <v>1207050039.1496041</v>
      </c>
      <c r="E51" s="123">
        <f t="shared" si="4"/>
        <v>32548689.149604082</v>
      </c>
      <c r="F51" s="124">
        <f t="shared" si="5"/>
        <v>2.7712772871316054E-2</v>
      </c>
    </row>
    <row r="52" spans="1:6">
      <c r="A52" s="430"/>
      <c r="B52" s="125">
        <v>2006</v>
      </c>
      <c r="C52" s="123">
        <f>+'Purchased Power Model '!B213</f>
        <v>1151360440</v>
      </c>
      <c r="D52" s="123">
        <f>+'Purchased Power Model '!O213</f>
        <v>1170881307.9356413</v>
      </c>
      <c r="E52" s="123">
        <f t="shared" si="4"/>
        <v>19520867.935641289</v>
      </c>
      <c r="F52" s="124">
        <f t="shared" si="5"/>
        <v>1.6954610613198841E-2</v>
      </c>
    </row>
    <row r="53" spans="1:6">
      <c r="A53" s="430"/>
      <c r="B53" s="122">
        <v>2007</v>
      </c>
      <c r="C53" s="123">
        <f>+'Purchased Power Model '!B214</f>
        <v>1191153590</v>
      </c>
      <c r="D53" s="123">
        <f>+'Purchased Power Model '!O214</f>
        <v>1147471680.5230298</v>
      </c>
      <c r="E53" s="123">
        <f t="shared" si="4"/>
        <v>-43681909.476970196</v>
      </c>
      <c r="F53" s="124">
        <f t="shared" si="5"/>
        <v>-3.667193705638766E-2</v>
      </c>
    </row>
    <row r="54" spans="1:6">
      <c r="A54" s="430"/>
      <c r="B54" s="125">
        <v>2008</v>
      </c>
      <c r="C54" s="123">
        <f>+'Purchased Power Model '!B215</f>
        <v>1158881926</v>
      </c>
      <c r="D54" s="123">
        <f>+'Purchased Power Model '!O215</f>
        <v>1110172412.3567979</v>
      </c>
      <c r="E54" s="123">
        <f t="shared" si="4"/>
        <v>-48709513.643202066</v>
      </c>
      <c r="F54" s="124">
        <f t="shared" si="5"/>
        <v>-4.2031472361751261E-2</v>
      </c>
    </row>
    <row r="55" spans="1:6">
      <c r="A55" s="430"/>
      <c r="B55" s="122">
        <v>2009</v>
      </c>
      <c r="C55" s="123">
        <f>+'Purchased Power Model '!B216</f>
        <v>1128390784.5107694</v>
      </c>
      <c r="D55" s="123">
        <f>+'Purchased Power Model '!O216</f>
        <v>1126724653.6746798</v>
      </c>
      <c r="E55" s="123">
        <f t="shared" si="4"/>
        <v>-1666130.8360896111</v>
      </c>
      <c r="F55" s="124">
        <f t="shared" si="5"/>
        <v>-1.4765548061543119E-3</v>
      </c>
    </row>
    <row r="56" spans="1:6">
      <c r="A56" s="430"/>
      <c r="B56" s="125">
        <v>2010</v>
      </c>
      <c r="C56" s="123">
        <f>+'Purchased Power Model '!B217</f>
        <v>1148489331.8146157</v>
      </c>
      <c r="D56" s="123">
        <f>+'Purchased Power Model '!O217</f>
        <v>1129720236.440757</v>
      </c>
      <c r="E56" s="123">
        <f t="shared" si="4"/>
        <v>-18769095.37385869</v>
      </c>
      <c r="F56" s="124">
        <f t="shared" si="5"/>
        <v>-1.6342420302854252E-2</v>
      </c>
    </row>
    <row r="57" spans="1:6">
      <c r="A57" s="430"/>
      <c r="B57" s="125">
        <v>2011</v>
      </c>
      <c r="C57" s="123">
        <f>+'Purchased Power Model '!B218</f>
        <v>1148632387.3953846</v>
      </c>
      <c r="D57" s="123">
        <f>+'Purchased Power Model '!O218</f>
        <v>1164987379.8152349</v>
      </c>
      <c r="E57" s="123">
        <f t="shared" si="4"/>
        <v>16354992.419850349</v>
      </c>
      <c r="F57" s="124">
        <f t="shared" si="5"/>
        <v>1.4238665563781113E-2</v>
      </c>
    </row>
    <row r="58" spans="1:6">
      <c r="A58" s="430"/>
      <c r="B58" s="125">
        <v>2012</v>
      </c>
      <c r="C58" s="123">
        <f>+'Purchased Power Model '!B219</f>
        <v>1136211952.670979</v>
      </c>
      <c r="D58" s="123">
        <f>+'Purchased Power Model '!O219</f>
        <v>1150628519.5562067</v>
      </c>
      <c r="E58" s="123">
        <f t="shared" si="4"/>
        <v>14416566.88522768</v>
      </c>
      <c r="F58" s="124">
        <f t="shared" si="5"/>
        <v>1.268827251054486E-2</v>
      </c>
    </row>
    <row r="59" spans="1:6">
      <c r="A59" s="431"/>
      <c r="B59" s="125">
        <v>2013</v>
      </c>
      <c r="C59" s="123">
        <f>+'Purchased Power Model '!B220</f>
        <v>1130407041.6666667</v>
      </c>
      <c r="D59" s="123">
        <f ca="1">+'Purchased Power Model '!O220</f>
        <v>1158628600.9002914</v>
      </c>
      <c r="E59" s="123">
        <f t="shared" ca="1" si="4"/>
        <v>28221559.233624697</v>
      </c>
      <c r="F59" s="124">
        <f t="shared" ca="1" si="5"/>
        <v>2.4965838139167078E-2</v>
      </c>
    </row>
    <row r="60" spans="1:6">
      <c r="A60" s="126" t="s">
        <v>208</v>
      </c>
      <c r="B60" s="125">
        <v>2014</v>
      </c>
      <c r="C60" s="432"/>
      <c r="D60" s="123">
        <f ca="1">+'Purchased Power Model '!O221</f>
        <v>1146348131.8266783</v>
      </c>
      <c r="E60" s="437"/>
      <c r="F60" s="438"/>
    </row>
    <row r="61" spans="1:6">
      <c r="A61" s="126" t="s">
        <v>209</v>
      </c>
      <c r="B61" s="125">
        <v>2015</v>
      </c>
      <c r="C61" s="433"/>
      <c r="D61" s="123">
        <f ca="1">+'Purchased Power Model '!O222</f>
        <v>1136464466.8730202</v>
      </c>
      <c r="E61" s="439"/>
      <c r="F61" s="440"/>
    </row>
    <row r="62" spans="1:6">
      <c r="A62" s="126" t="s">
        <v>210</v>
      </c>
      <c r="B62" s="125">
        <v>2016</v>
      </c>
      <c r="C62" s="433"/>
      <c r="D62" s="123">
        <f ca="1">+'Purchased Power Model '!O223</f>
        <v>1128290185.2752128</v>
      </c>
      <c r="E62" s="439"/>
      <c r="F62" s="440"/>
    </row>
    <row r="63" spans="1:6">
      <c r="A63" s="126" t="s">
        <v>211</v>
      </c>
      <c r="B63" s="125">
        <v>2017</v>
      </c>
      <c r="C63" s="433"/>
      <c r="D63" s="123">
        <f ca="1">+'Purchased Power Model '!O224</f>
        <v>1114088220.1657021</v>
      </c>
      <c r="E63" s="439"/>
      <c r="F63" s="440"/>
    </row>
    <row r="64" spans="1:6">
      <c r="A64" s="126" t="s">
        <v>212</v>
      </c>
      <c r="B64" s="125">
        <v>2018</v>
      </c>
      <c r="C64" s="433"/>
      <c r="D64" s="123">
        <f ca="1">+'Purchased Power Model '!O225</f>
        <v>1101645446.9120433</v>
      </c>
      <c r="E64" s="439"/>
      <c r="F64" s="440"/>
    </row>
    <row r="65" spans="1:6" ht="13.8" thickBot="1">
      <c r="A65" s="127" t="s">
        <v>213</v>
      </c>
      <c r="B65" s="128">
        <v>2019</v>
      </c>
      <c r="C65" s="434"/>
      <c r="D65" s="129">
        <f ca="1">+'Purchased Power Model '!O226</f>
        <v>1088485955.5583849</v>
      </c>
      <c r="E65" s="441"/>
      <c r="F65" s="442"/>
    </row>
    <row r="66" spans="1:6" ht="13.8" thickBot="1">
      <c r="B66" s="130"/>
      <c r="C66" s="131"/>
      <c r="D66" s="131"/>
      <c r="E66" s="131"/>
      <c r="F66" s="131"/>
    </row>
    <row r="67" spans="1:6" ht="22.8">
      <c r="A67" s="427" t="s">
        <v>108</v>
      </c>
      <c r="B67" s="428"/>
      <c r="C67" s="352" t="s">
        <v>109</v>
      </c>
      <c r="D67" s="352" t="s">
        <v>215</v>
      </c>
      <c r="E67" s="353" t="s">
        <v>214</v>
      </c>
      <c r="F67" s="209" t="s">
        <v>216</v>
      </c>
    </row>
    <row r="68" spans="1:6">
      <c r="A68" s="429" t="s">
        <v>111</v>
      </c>
      <c r="B68" s="122">
        <v>2003</v>
      </c>
      <c r="C68" s="123">
        <f>+C49</f>
        <v>1232724170</v>
      </c>
      <c r="D68" s="123">
        <f t="shared" ref="D68:D84" si="6">+D49</f>
        <v>1214096286.5571823</v>
      </c>
      <c r="E68" s="123">
        <f>+'10 Year Average'!O210</f>
        <v>1214096286.5571823</v>
      </c>
      <c r="F68" s="210">
        <f>+'20 Year Trend'!O210</f>
        <v>1214096286.5571823</v>
      </c>
    </row>
    <row r="69" spans="1:6">
      <c r="A69" s="430"/>
      <c r="B69" s="125">
        <v>2004</v>
      </c>
      <c r="C69" s="123">
        <f t="shared" ref="C69:C78" si="7">+C50</f>
        <v>1178441190</v>
      </c>
      <c r="D69" s="123">
        <f t="shared" si="6"/>
        <v>1198833047.1489887</v>
      </c>
      <c r="E69" s="123">
        <f>+'10 Year Average'!O211</f>
        <v>1198833047.1489887</v>
      </c>
      <c r="F69" s="210">
        <f>+'20 Year Trend'!O211</f>
        <v>1198833047.1489887</v>
      </c>
    </row>
    <row r="70" spans="1:6">
      <c r="A70" s="430"/>
      <c r="B70" s="122">
        <v>2005</v>
      </c>
      <c r="C70" s="123">
        <f t="shared" si="7"/>
        <v>1174501350</v>
      </c>
      <c r="D70" s="123">
        <f t="shared" si="6"/>
        <v>1207050039.1496041</v>
      </c>
      <c r="E70" s="123">
        <f>+'10 Year Average'!O212</f>
        <v>1207050039.1496041</v>
      </c>
      <c r="F70" s="210">
        <f>+'20 Year Trend'!O212</f>
        <v>1207050039.1496041</v>
      </c>
    </row>
    <row r="71" spans="1:6">
      <c r="A71" s="430"/>
      <c r="B71" s="125">
        <v>2006</v>
      </c>
      <c r="C71" s="123">
        <f t="shared" si="7"/>
        <v>1151360440</v>
      </c>
      <c r="D71" s="123">
        <f t="shared" si="6"/>
        <v>1170881307.9356413</v>
      </c>
      <c r="E71" s="123">
        <f>+'10 Year Average'!O213</f>
        <v>1170881307.9356413</v>
      </c>
      <c r="F71" s="210">
        <f>+'20 Year Trend'!O213</f>
        <v>1170881307.9356413</v>
      </c>
    </row>
    <row r="72" spans="1:6">
      <c r="A72" s="430"/>
      <c r="B72" s="122">
        <v>2007</v>
      </c>
      <c r="C72" s="123">
        <f t="shared" si="7"/>
        <v>1191153590</v>
      </c>
      <c r="D72" s="123">
        <f t="shared" si="6"/>
        <v>1147471680.5230298</v>
      </c>
      <c r="E72" s="123">
        <f>+'10 Year Average'!O214</f>
        <v>1147471680.5230298</v>
      </c>
      <c r="F72" s="210">
        <f>+'20 Year Trend'!O214</f>
        <v>1147471680.5230298</v>
      </c>
    </row>
    <row r="73" spans="1:6">
      <c r="A73" s="430"/>
      <c r="B73" s="125">
        <v>2008</v>
      </c>
      <c r="C73" s="123">
        <f t="shared" si="7"/>
        <v>1158881926</v>
      </c>
      <c r="D73" s="123">
        <f t="shared" si="6"/>
        <v>1110172412.3567979</v>
      </c>
      <c r="E73" s="123">
        <f>+'10 Year Average'!O215</f>
        <v>1110172412.3567979</v>
      </c>
      <c r="F73" s="210">
        <f>+'20 Year Trend'!O215</f>
        <v>1110172412.3567979</v>
      </c>
    </row>
    <row r="74" spans="1:6">
      <c r="A74" s="430"/>
      <c r="B74" s="122">
        <v>2009</v>
      </c>
      <c r="C74" s="123">
        <f t="shared" si="7"/>
        <v>1128390784.5107694</v>
      </c>
      <c r="D74" s="123">
        <f t="shared" si="6"/>
        <v>1126724653.6746798</v>
      </c>
      <c r="E74" s="123">
        <f>+'10 Year Average'!O216</f>
        <v>1126724653.6746798</v>
      </c>
      <c r="F74" s="210">
        <f>+'20 Year Trend'!O216</f>
        <v>1126724653.6746798</v>
      </c>
    </row>
    <row r="75" spans="1:6">
      <c r="A75" s="430"/>
      <c r="B75" s="125">
        <v>2010</v>
      </c>
      <c r="C75" s="123">
        <f t="shared" si="7"/>
        <v>1148489331.8146157</v>
      </c>
      <c r="D75" s="123">
        <f t="shared" si="6"/>
        <v>1129720236.440757</v>
      </c>
      <c r="E75" s="123">
        <f>+'10 Year Average'!O217</f>
        <v>1129720236.440757</v>
      </c>
      <c r="F75" s="210">
        <f>+'20 Year Trend'!O217</f>
        <v>1129720236.440757</v>
      </c>
    </row>
    <row r="76" spans="1:6">
      <c r="A76" s="430"/>
      <c r="B76" s="125">
        <v>2011</v>
      </c>
      <c r="C76" s="123">
        <f t="shared" si="7"/>
        <v>1148632387.3953846</v>
      </c>
      <c r="D76" s="123">
        <f t="shared" si="6"/>
        <v>1164987379.8152349</v>
      </c>
      <c r="E76" s="123">
        <f>+'10 Year Average'!O218</f>
        <v>1164987379.8152349</v>
      </c>
      <c r="F76" s="210">
        <f>+'20 Year Trend'!O218</f>
        <v>1164987379.8152349</v>
      </c>
    </row>
    <row r="77" spans="1:6">
      <c r="A77" s="430"/>
      <c r="B77" s="125">
        <v>2012</v>
      </c>
      <c r="C77" s="123">
        <f t="shared" si="7"/>
        <v>1136211952.670979</v>
      </c>
      <c r="D77" s="123">
        <f t="shared" si="6"/>
        <v>1150628519.5562067</v>
      </c>
      <c r="E77" s="123">
        <f>+'10 Year Average'!O219</f>
        <v>1150628519.5562067</v>
      </c>
      <c r="F77" s="210">
        <f>+'20 Year Trend'!O219</f>
        <v>1150628519.5562067</v>
      </c>
    </row>
    <row r="78" spans="1:6">
      <c r="A78" s="431"/>
      <c r="B78" s="125">
        <v>2013</v>
      </c>
      <c r="C78" s="123">
        <f t="shared" si="7"/>
        <v>1130407041.6666667</v>
      </c>
      <c r="D78" s="123">
        <f t="shared" ca="1" si="6"/>
        <v>1158628600.9002914</v>
      </c>
      <c r="E78" s="123">
        <f ca="1">+'10 Year Average'!O220</f>
        <v>1158628600.9002914</v>
      </c>
      <c r="F78" s="210">
        <f ca="1">+'20 Year Trend'!O220</f>
        <v>1158628600.9002914</v>
      </c>
    </row>
    <row r="79" spans="1:6">
      <c r="A79" s="126" t="s">
        <v>208</v>
      </c>
      <c r="B79" s="125">
        <v>2014</v>
      </c>
      <c r="C79" s="432"/>
      <c r="D79" s="123">
        <f t="shared" ca="1" si="6"/>
        <v>1146348131.8266783</v>
      </c>
      <c r="E79" s="123">
        <f ca="1">+'10 Year Average'!O221</f>
        <v>1119509222.3725033</v>
      </c>
      <c r="F79" s="210">
        <f ca="1">+'20 Year Trend'!O221</f>
        <v>1114431026.1573486</v>
      </c>
    </row>
    <row r="80" spans="1:6">
      <c r="A80" s="126" t="s">
        <v>209</v>
      </c>
      <c r="B80" s="125">
        <v>2015</v>
      </c>
      <c r="C80" s="433"/>
      <c r="D80" s="123">
        <f t="shared" ca="1" si="6"/>
        <v>1136464466.8730202</v>
      </c>
      <c r="E80" s="123">
        <f ca="1">+'10 Year Average'!O222</f>
        <v>1112686088.6140327</v>
      </c>
      <c r="F80" s="210">
        <f ca="1">+'20 Year Trend'!O222</f>
        <v>1107607892.3988781</v>
      </c>
    </row>
    <row r="81" spans="1:6">
      <c r="A81" s="126" t="s">
        <v>210</v>
      </c>
      <c r="B81" s="125">
        <v>2016</v>
      </c>
      <c r="C81" s="433"/>
      <c r="D81" s="123">
        <f t="shared" ca="1" si="6"/>
        <v>1128290185.2752128</v>
      </c>
      <c r="E81" s="123">
        <f ca="1">+'10 Year Average'!O223</f>
        <v>1106390344.176923</v>
      </c>
      <c r="F81" s="210">
        <f ca="1">+'20 Year Trend'!O223</f>
        <v>1101312147.9617684</v>
      </c>
    </row>
    <row r="82" spans="1:6">
      <c r="A82" s="126" t="s">
        <v>211</v>
      </c>
      <c r="B82" s="125">
        <v>2017</v>
      </c>
      <c r="C82" s="433"/>
      <c r="D82" s="123">
        <f t="shared" ca="1" si="6"/>
        <v>1114088220.1657021</v>
      </c>
      <c r="E82" s="123">
        <f ca="1">+'10 Year Average'!O224</f>
        <v>1095497151.5388596</v>
      </c>
      <c r="F82" s="210">
        <f ca="1">+'20 Year Trend'!O224</f>
        <v>1090418955.323705</v>
      </c>
    </row>
    <row r="83" spans="1:6">
      <c r="A83" s="126" t="s">
        <v>212</v>
      </c>
      <c r="B83" s="125">
        <v>2018</v>
      </c>
      <c r="C83" s="433"/>
      <c r="D83" s="123">
        <f t="shared" ca="1" si="6"/>
        <v>1101645446.9120433</v>
      </c>
      <c r="E83" s="123">
        <f ca="1">+'10 Year Average'!O225</f>
        <v>1086598473.6041231</v>
      </c>
      <c r="F83" s="210">
        <f ca="1">+'20 Year Trend'!O225</f>
        <v>1081520277.3889685</v>
      </c>
    </row>
    <row r="84" spans="1:6" ht="13.8" thickBot="1">
      <c r="A84" s="127" t="s">
        <v>213</v>
      </c>
      <c r="B84" s="128">
        <v>2019</v>
      </c>
      <c r="C84" s="434"/>
      <c r="D84" s="129">
        <f t="shared" ca="1" si="6"/>
        <v>1088485955.5583849</v>
      </c>
      <c r="E84" s="129">
        <f ca="1">+'10 Year Average'!O226</f>
        <v>1075373267.4101124</v>
      </c>
      <c r="F84" s="211">
        <f ca="1">+'20 Year Trend'!O226</f>
        <v>1070295071.1949576</v>
      </c>
    </row>
  </sheetData>
  <mergeCells count="16">
    <mergeCell ref="A67:B67"/>
    <mergeCell ref="A68:A78"/>
    <mergeCell ref="C79:C84"/>
    <mergeCell ref="A48:B48"/>
    <mergeCell ref="E48:F48"/>
    <mergeCell ref="A49:A59"/>
    <mergeCell ref="C60:C65"/>
    <mergeCell ref="E60:F65"/>
    <mergeCell ref="A25:B25"/>
    <mergeCell ref="A26:A36"/>
    <mergeCell ref="C37:C42"/>
    <mergeCell ref="A6:B6"/>
    <mergeCell ref="E6:F6"/>
    <mergeCell ref="A7:A17"/>
    <mergeCell ref="C18:C23"/>
    <mergeCell ref="E18:F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J386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.2"/>
  <cols>
    <col min="1" max="1" width="11.88671875" customWidth="1"/>
    <col min="2" max="2" width="18" style="6" customWidth="1"/>
    <col min="3" max="3" width="11.6640625" style="1" customWidth="1"/>
    <col min="4" max="4" width="13.44140625" style="1" customWidth="1"/>
    <col min="5" max="5" width="13.88671875" style="34" customWidth="1"/>
    <col min="6" max="6" width="13.5546875" style="1" customWidth="1"/>
    <col min="7" max="7" width="12.44140625" style="1" customWidth="1"/>
    <col min="8" max="8" width="17.5546875" style="1" bestFit="1" customWidth="1"/>
    <col min="9" max="9" width="17" style="1" customWidth="1"/>
    <col min="10" max="10" width="13" style="1" customWidth="1"/>
    <col min="11" max="11" width="2.5546875" customWidth="1"/>
    <col min="12" max="12" width="30.44140625" bestFit="1" customWidth="1"/>
    <col min="13" max="13" width="15.5546875" bestFit="1" customWidth="1"/>
    <col min="14" max="14" width="25" bestFit="1" customWidth="1"/>
    <col min="15" max="15" width="24" bestFit="1" customWidth="1"/>
    <col min="16" max="16" width="15.88671875" bestFit="1" customWidth="1"/>
    <col min="17" max="17" width="24" bestFit="1" customWidth="1"/>
    <col min="18" max="18" width="14.5546875" bestFit="1" customWidth="1"/>
    <col min="19" max="19" width="15.5546875" bestFit="1" customWidth="1"/>
    <col min="20" max="20" width="14.5546875" style="6" bestFit="1" customWidth="1"/>
    <col min="21" max="21" width="10.109375" bestFit="1" customWidth="1"/>
  </cols>
  <sheetData>
    <row r="2" spans="1:20" ht="42" customHeight="1">
      <c r="B2" s="7" t="s">
        <v>0</v>
      </c>
      <c r="C2" s="12" t="s">
        <v>3</v>
      </c>
      <c r="D2" s="12" t="s">
        <v>4</v>
      </c>
      <c r="E2" s="32" t="s">
        <v>218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3.8" thickBot="1">
      <c r="A3" s="3">
        <v>37622</v>
      </c>
      <c r="B3" s="41">
        <v>126011890</v>
      </c>
      <c r="C3" s="96">
        <v>786</v>
      </c>
      <c r="D3" s="96">
        <v>0</v>
      </c>
      <c r="E3" s="103">
        <f>+'Economic Indices'!C15</f>
        <v>4.7E-2</v>
      </c>
      <c r="F3" s="10">
        <v>31</v>
      </c>
      <c r="G3" s="10">
        <v>0</v>
      </c>
      <c r="H3" s="10">
        <f t="shared" ref="H3:H66" si="0">$M$18+C3*$M$19+D3*$M$20+E3*$M$21+F3*$M$22+G3*$M$23</f>
        <v>122651411.26094845</v>
      </c>
      <c r="I3" s="36">
        <f t="shared" ref="I3:I34" si="1">H3-B3</f>
        <v>-3360478.7390515506</v>
      </c>
      <c r="J3" s="5">
        <f t="shared" ref="J3:J29" si="2">I3/B3</f>
        <v>-2.6667949659762668E-2</v>
      </c>
      <c r="T3"/>
    </row>
    <row r="4" spans="1:20">
      <c r="A4" s="3">
        <v>37653</v>
      </c>
      <c r="B4" s="41">
        <v>112581000</v>
      </c>
      <c r="C4" s="96">
        <v>686.5</v>
      </c>
      <c r="D4" s="96">
        <v>0</v>
      </c>
      <c r="E4" s="103">
        <f>+E3</f>
        <v>4.7E-2</v>
      </c>
      <c r="F4" s="10">
        <v>28</v>
      </c>
      <c r="G4" s="10">
        <v>0</v>
      </c>
      <c r="H4" s="10">
        <f t="shared" si="0"/>
        <v>110152574.36842072</v>
      </c>
      <c r="I4" s="36">
        <f t="shared" si="1"/>
        <v>-2428425.6315792799</v>
      </c>
      <c r="J4" s="5">
        <f t="shared" si="2"/>
        <v>-2.157047487213011E-2</v>
      </c>
      <c r="L4" s="53" t="s">
        <v>19</v>
      </c>
      <c r="M4" s="53"/>
      <c r="T4"/>
    </row>
    <row r="5" spans="1:20">
      <c r="A5" s="3">
        <v>37681</v>
      </c>
      <c r="B5" s="41">
        <v>110536430</v>
      </c>
      <c r="C5" s="96">
        <v>572.5</v>
      </c>
      <c r="D5" s="96">
        <v>0</v>
      </c>
      <c r="E5" s="103">
        <f>+E4</f>
        <v>4.7E-2</v>
      </c>
      <c r="F5" s="10">
        <v>31</v>
      </c>
      <c r="G5" s="10">
        <v>1</v>
      </c>
      <c r="H5" s="10">
        <f t="shared" si="0"/>
        <v>106849865.20202516</v>
      </c>
      <c r="I5" s="36">
        <f t="shared" si="1"/>
        <v>-3686564.7979748398</v>
      </c>
      <c r="J5" s="5">
        <f t="shared" si="2"/>
        <v>-3.335158189906115E-2</v>
      </c>
      <c r="L5" s="35" t="s">
        <v>20</v>
      </c>
      <c r="M5" s="95">
        <v>0.93389289150136334</v>
      </c>
      <c r="T5"/>
    </row>
    <row r="6" spans="1:20">
      <c r="A6" s="3">
        <v>37712</v>
      </c>
      <c r="B6" s="41">
        <v>97712940</v>
      </c>
      <c r="C6" s="96">
        <v>403.9</v>
      </c>
      <c r="D6" s="96">
        <v>0</v>
      </c>
      <c r="E6" s="103">
        <f>+'Economic Indices'!C16</f>
        <v>5.5999999999999994E-2</v>
      </c>
      <c r="F6" s="10">
        <v>30</v>
      </c>
      <c r="G6" s="10">
        <v>1</v>
      </c>
      <c r="H6" s="10">
        <f t="shared" si="0"/>
        <v>96085294.514500573</v>
      </c>
      <c r="I6" s="36">
        <f t="shared" si="1"/>
        <v>-1627645.4854994267</v>
      </c>
      <c r="J6" s="5">
        <f t="shared" si="2"/>
        <v>-1.6657420045895936E-2</v>
      </c>
      <c r="L6" s="35" t="s">
        <v>21</v>
      </c>
      <c r="M6" s="95">
        <v>0.87215593279677717</v>
      </c>
      <c r="T6"/>
    </row>
    <row r="7" spans="1:20">
      <c r="A7" s="3">
        <v>37742</v>
      </c>
      <c r="B7" s="41">
        <v>90261150</v>
      </c>
      <c r="C7" s="96">
        <v>192</v>
      </c>
      <c r="D7" s="96">
        <v>0</v>
      </c>
      <c r="E7" s="103">
        <f>+E6</f>
        <v>5.5999999999999994E-2</v>
      </c>
      <c r="F7" s="10">
        <v>31</v>
      </c>
      <c r="G7" s="10">
        <v>1</v>
      </c>
      <c r="H7" s="10">
        <f t="shared" si="0"/>
        <v>90411362.537167072</v>
      </c>
      <c r="I7" s="36">
        <f t="shared" si="1"/>
        <v>150212.5371670723</v>
      </c>
      <c r="J7" s="5">
        <f t="shared" si="2"/>
        <v>1.6641992392859197E-3</v>
      </c>
      <c r="L7" s="35" t="s">
        <v>22</v>
      </c>
      <c r="M7" s="95">
        <v>0.86708275552680802</v>
      </c>
      <c r="T7"/>
    </row>
    <row r="8" spans="1:20">
      <c r="A8" s="3">
        <v>37773</v>
      </c>
      <c r="B8" s="41">
        <v>92476040</v>
      </c>
      <c r="C8" s="96">
        <v>55.1</v>
      </c>
      <c r="D8" s="96">
        <v>31</v>
      </c>
      <c r="E8" s="103">
        <f>+E7</f>
        <v>5.5999999999999994E-2</v>
      </c>
      <c r="F8" s="10">
        <v>30</v>
      </c>
      <c r="G8" s="10">
        <v>0</v>
      </c>
      <c r="H8" s="10">
        <f t="shared" si="0"/>
        <v>93662316.51634191</v>
      </c>
      <c r="I8" s="36">
        <f t="shared" si="1"/>
        <v>1186276.5163419098</v>
      </c>
      <c r="J8" s="5">
        <f t="shared" si="2"/>
        <v>1.2827933769027196E-2</v>
      </c>
      <c r="L8" s="35" t="s">
        <v>23</v>
      </c>
      <c r="M8" s="67">
        <v>3802571.653620691</v>
      </c>
      <c r="T8"/>
    </row>
    <row r="9" spans="1:20" ht="13.8" thickBot="1">
      <c r="A9" s="3">
        <v>37803</v>
      </c>
      <c r="B9" s="41">
        <v>100371630</v>
      </c>
      <c r="C9" s="96">
        <v>5.7</v>
      </c>
      <c r="D9" s="96">
        <v>59.1</v>
      </c>
      <c r="E9" s="103">
        <f>+'Economic Indices'!C17</f>
        <v>5.2000000000000005E-2</v>
      </c>
      <c r="F9" s="10">
        <v>31</v>
      </c>
      <c r="G9" s="10">
        <v>0</v>
      </c>
      <c r="H9" s="10">
        <f t="shared" si="0"/>
        <v>98975274.728541389</v>
      </c>
      <c r="I9" s="36">
        <f t="shared" si="1"/>
        <v>-1396355.2714586109</v>
      </c>
      <c r="J9" s="5">
        <f t="shared" si="2"/>
        <v>-1.3911852098631963E-2</v>
      </c>
      <c r="L9" s="51" t="s">
        <v>24</v>
      </c>
      <c r="M9" s="68">
        <v>132</v>
      </c>
      <c r="T9"/>
    </row>
    <row r="10" spans="1:20">
      <c r="A10" s="3">
        <v>37834</v>
      </c>
      <c r="B10" s="41">
        <v>101507680</v>
      </c>
      <c r="C10" s="96">
        <v>10.4</v>
      </c>
      <c r="D10" s="96">
        <v>106.5</v>
      </c>
      <c r="E10" s="103">
        <f>+E9</f>
        <v>5.2000000000000005E-2</v>
      </c>
      <c r="F10" s="10">
        <v>31</v>
      </c>
      <c r="G10" s="10">
        <v>0</v>
      </c>
      <c r="H10" s="10">
        <f t="shared" si="0"/>
        <v>105820820.86804268</v>
      </c>
      <c r="I10" s="36">
        <f t="shared" si="1"/>
        <v>4313140.8680426776</v>
      </c>
      <c r="J10" s="5">
        <f t="shared" si="2"/>
        <v>4.2490783633737643E-2</v>
      </c>
      <c r="T10"/>
    </row>
    <row r="11" spans="1:20" ht="13.8" thickBot="1">
      <c r="A11" s="3">
        <v>37865</v>
      </c>
      <c r="B11" s="41">
        <v>91341000</v>
      </c>
      <c r="C11" s="96">
        <v>55.2</v>
      </c>
      <c r="D11" s="96">
        <v>12.1</v>
      </c>
      <c r="E11" s="103">
        <f>+E10</f>
        <v>5.2000000000000005E-2</v>
      </c>
      <c r="F11" s="10">
        <v>30</v>
      </c>
      <c r="G11" s="10">
        <v>1</v>
      </c>
      <c r="H11" s="10">
        <f t="shared" si="0"/>
        <v>84298838.82912071</v>
      </c>
      <c r="I11" s="36">
        <f t="shared" si="1"/>
        <v>-7042161.1708792895</v>
      </c>
      <c r="J11" s="5">
        <f t="shared" si="2"/>
        <v>-7.7097482739178352E-2</v>
      </c>
      <c r="L11" t="s">
        <v>25</v>
      </c>
      <c r="T11"/>
    </row>
    <row r="12" spans="1:20">
      <c r="A12" s="3">
        <v>37895</v>
      </c>
      <c r="B12" s="41">
        <v>95672250</v>
      </c>
      <c r="C12" s="96">
        <v>289.7</v>
      </c>
      <c r="D12" s="96">
        <v>0</v>
      </c>
      <c r="E12" s="103">
        <f>+'Economic Indices'!C18</f>
        <v>4.7E-2</v>
      </c>
      <c r="F12" s="10">
        <v>31</v>
      </c>
      <c r="G12" s="10">
        <v>1</v>
      </c>
      <c r="H12" s="10">
        <f t="shared" si="0"/>
        <v>95494540.17104502</v>
      </c>
      <c r="I12" s="36">
        <f t="shared" si="1"/>
        <v>-177709.82895497978</v>
      </c>
      <c r="J12" s="5">
        <f t="shared" si="2"/>
        <v>-1.8574856236262844E-3</v>
      </c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T12"/>
    </row>
    <row r="13" spans="1:20">
      <c r="A13" s="3">
        <v>37926</v>
      </c>
      <c r="B13" s="41">
        <v>101404920</v>
      </c>
      <c r="C13" s="96">
        <v>387.6</v>
      </c>
      <c r="D13" s="96">
        <v>0</v>
      </c>
      <c r="E13" s="103">
        <f>+E12</f>
        <v>4.7E-2</v>
      </c>
      <c r="F13" s="10">
        <v>30</v>
      </c>
      <c r="G13" s="10">
        <v>1</v>
      </c>
      <c r="H13" s="10">
        <f t="shared" si="0"/>
        <v>96591007.319765612</v>
      </c>
      <c r="I13" s="36">
        <f t="shared" si="1"/>
        <v>-4813912.6802343875</v>
      </c>
      <c r="J13" s="5">
        <f t="shared" si="2"/>
        <v>-4.747218064206734E-2</v>
      </c>
      <c r="L13" s="35" t="s">
        <v>26</v>
      </c>
      <c r="M13" s="67">
        <v>5</v>
      </c>
      <c r="N13" s="67">
        <v>1.2429078146617112E+16</v>
      </c>
      <c r="O13" s="67">
        <v>2485815629323422.5</v>
      </c>
      <c r="P13" s="67">
        <v>171.91513057498165</v>
      </c>
      <c r="Q13" s="67">
        <v>1.6650378552635689E-54</v>
      </c>
      <c r="T13"/>
    </row>
    <row r="14" spans="1:20">
      <c r="A14" s="3">
        <v>37956</v>
      </c>
      <c r="B14" s="41">
        <v>112847240</v>
      </c>
      <c r="C14" s="96">
        <v>548.20000000000005</v>
      </c>
      <c r="D14" s="96">
        <v>0</v>
      </c>
      <c r="E14" s="103">
        <f>+E13</f>
        <v>4.7E-2</v>
      </c>
      <c r="F14" s="10">
        <v>31</v>
      </c>
      <c r="G14" s="10">
        <v>0</v>
      </c>
      <c r="H14" s="10">
        <f t="shared" si="0"/>
        <v>113102980.24126291</v>
      </c>
      <c r="I14" s="36">
        <f t="shared" si="1"/>
        <v>255740.24126291275</v>
      </c>
      <c r="J14" s="5">
        <f t="shared" si="2"/>
        <v>2.2662516270926321E-3</v>
      </c>
      <c r="L14" s="35" t="s">
        <v>27</v>
      </c>
      <c r="M14" s="67">
        <v>126</v>
      </c>
      <c r="N14" s="67">
        <v>1821903448795869</v>
      </c>
      <c r="O14" s="67">
        <v>14459551180919.596</v>
      </c>
      <c r="P14" s="67"/>
      <c r="Q14" s="67"/>
      <c r="T14"/>
    </row>
    <row r="15" spans="1:20" ht="13.8" thickBot="1">
      <c r="A15" s="3">
        <v>37987</v>
      </c>
      <c r="B15" s="41">
        <v>127196340</v>
      </c>
      <c r="C15" s="96">
        <v>828.8</v>
      </c>
      <c r="D15" s="96">
        <v>0</v>
      </c>
      <c r="E15" s="103">
        <f>+'Economic Indices'!C19</f>
        <v>0.05</v>
      </c>
      <c r="F15" s="10">
        <v>31</v>
      </c>
      <c r="G15" s="10">
        <v>0</v>
      </c>
      <c r="H15" s="10">
        <f t="shared" si="0"/>
        <v>123983231.57523879</v>
      </c>
      <c r="I15" s="36">
        <f t="shared" si="1"/>
        <v>-3213108.4247612059</v>
      </c>
      <c r="J15" s="5">
        <f t="shared" si="2"/>
        <v>-2.5261013208093926E-2</v>
      </c>
      <c r="L15" s="51" t="s">
        <v>9</v>
      </c>
      <c r="M15" s="68">
        <v>131</v>
      </c>
      <c r="N15" s="68">
        <v>1.425098159541298E+16</v>
      </c>
      <c r="O15" s="68"/>
      <c r="P15" s="68"/>
      <c r="Q15" s="68"/>
      <c r="T15"/>
    </row>
    <row r="16" spans="1:20" ht="13.8" thickBot="1">
      <c r="A16" s="3">
        <v>38018</v>
      </c>
      <c r="B16" s="41">
        <v>108928270</v>
      </c>
      <c r="C16" s="96">
        <v>615.6</v>
      </c>
      <c r="D16" s="96">
        <v>0</v>
      </c>
      <c r="E16" s="103">
        <f>+E15</f>
        <v>0.05</v>
      </c>
      <c r="F16" s="10">
        <v>29</v>
      </c>
      <c r="G16" s="10">
        <v>0</v>
      </c>
      <c r="H16" s="10">
        <f t="shared" si="0"/>
        <v>109753506.97002482</v>
      </c>
      <c r="I16" s="36">
        <f t="shared" si="1"/>
        <v>825236.97002482414</v>
      </c>
      <c r="J16" s="5">
        <f t="shared" si="2"/>
        <v>7.5759669186412689E-3</v>
      </c>
      <c r="T16"/>
    </row>
    <row r="17" spans="1:20">
      <c r="A17" s="3">
        <v>38047</v>
      </c>
      <c r="B17" s="41">
        <v>105064150</v>
      </c>
      <c r="C17" s="96">
        <v>487.1</v>
      </c>
      <c r="D17" s="96">
        <v>0</v>
      </c>
      <c r="E17" s="103">
        <f>+E16</f>
        <v>0.05</v>
      </c>
      <c r="F17" s="10">
        <v>31</v>
      </c>
      <c r="G17" s="10">
        <v>1</v>
      </c>
      <c r="H17" s="10">
        <f t="shared" si="0"/>
        <v>103034045.24413849</v>
      </c>
      <c r="I17" s="36">
        <f t="shared" si="1"/>
        <v>-2030104.7558615059</v>
      </c>
      <c r="J17" s="5">
        <f t="shared" si="2"/>
        <v>-1.9322525865021568E-2</v>
      </c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</row>
    <row r="18" spans="1:20">
      <c r="A18" s="3">
        <v>38078</v>
      </c>
      <c r="B18" s="41">
        <v>91322380</v>
      </c>
      <c r="C18" s="96">
        <v>345</v>
      </c>
      <c r="D18" s="96">
        <v>0</v>
      </c>
      <c r="E18" s="103">
        <f>+'Economic Indices'!C20</f>
        <v>5.4000000000000006E-2</v>
      </c>
      <c r="F18" s="10">
        <v>30</v>
      </c>
      <c r="G18" s="10">
        <v>1</v>
      </c>
      <c r="H18" s="10">
        <f t="shared" si="0"/>
        <v>93978095.457351938</v>
      </c>
      <c r="I18" s="36">
        <f t="shared" si="1"/>
        <v>2655715.4573519379</v>
      </c>
      <c r="J18" s="5">
        <f t="shared" si="2"/>
        <v>2.9080664097365157E-2</v>
      </c>
      <c r="L18" s="35" t="s">
        <v>28</v>
      </c>
      <c r="M18" s="67">
        <v>9279404.3166922294</v>
      </c>
      <c r="N18" s="67">
        <v>13037924.908072893</v>
      </c>
      <c r="O18" s="67">
        <v>0.71172401913026495</v>
      </c>
      <c r="P18" s="67">
        <v>0.47795135276555889</v>
      </c>
      <c r="Q18" s="67">
        <v>-16522265.787345368</v>
      </c>
      <c r="R18" s="67">
        <v>35081074.420729831</v>
      </c>
      <c r="S18" s="67">
        <v>-16522265.787345368</v>
      </c>
      <c r="T18" s="67">
        <v>35081074.420729831</v>
      </c>
    </row>
    <row r="19" spans="1:20">
      <c r="A19" s="3">
        <v>38108</v>
      </c>
      <c r="B19" s="41">
        <v>86885250</v>
      </c>
      <c r="C19" s="96">
        <v>177.5</v>
      </c>
      <c r="D19" s="96">
        <v>0</v>
      </c>
      <c r="E19" s="103">
        <f>+E18</f>
        <v>5.4000000000000006E-2</v>
      </c>
      <c r="F19" s="10">
        <v>31</v>
      </c>
      <c r="G19" s="10">
        <v>1</v>
      </c>
      <c r="H19" s="10">
        <f t="shared" si="0"/>
        <v>90086965.571162418</v>
      </c>
      <c r="I19" s="36">
        <f t="shared" si="1"/>
        <v>3201715.5711624175</v>
      </c>
      <c r="J19" s="5">
        <f t="shared" si="2"/>
        <v>3.6849932194042347E-2</v>
      </c>
      <c r="L19" s="35" t="s">
        <v>3</v>
      </c>
      <c r="M19" s="67">
        <v>40153.200250990565</v>
      </c>
      <c r="N19" s="67">
        <v>2055.4628325509125</v>
      </c>
      <c r="O19" s="67">
        <v>19.534870499778787</v>
      </c>
      <c r="P19" s="67">
        <v>6.1180883969573391E-40</v>
      </c>
      <c r="Q19" s="67">
        <v>36085.499731887925</v>
      </c>
      <c r="R19" s="67">
        <v>44220.900770093205</v>
      </c>
      <c r="S19" s="67">
        <v>36085.499731887925</v>
      </c>
      <c r="T19" s="67">
        <v>44220.900770093205</v>
      </c>
    </row>
    <row r="20" spans="1:20">
      <c r="A20" s="3">
        <v>38139</v>
      </c>
      <c r="B20" s="41">
        <v>86876500</v>
      </c>
      <c r="C20" s="96">
        <v>73.2</v>
      </c>
      <c r="D20" s="96">
        <v>15.6</v>
      </c>
      <c r="E20" s="103">
        <f>+E19</f>
        <v>5.4000000000000006E-2</v>
      </c>
      <c r="F20" s="10">
        <v>30</v>
      </c>
      <c r="G20" s="10">
        <v>0</v>
      </c>
      <c r="H20" s="10">
        <f t="shared" si="0"/>
        <v>92484147.59341082</v>
      </c>
      <c r="I20" s="36">
        <f t="shared" si="1"/>
        <v>5607647.5934108198</v>
      </c>
      <c r="J20" s="5">
        <f t="shared" si="2"/>
        <v>6.4547347020319876E-2</v>
      </c>
      <c r="L20" s="35" t="s">
        <v>4</v>
      </c>
      <c r="M20" s="67">
        <v>140439.36916290395</v>
      </c>
      <c r="N20" s="67">
        <v>15308.980574394665</v>
      </c>
      <c r="O20" s="67">
        <v>9.1736591133833283</v>
      </c>
      <c r="P20" s="67">
        <v>1.1165759546625169E-15</v>
      </c>
      <c r="Q20" s="67">
        <v>110143.34665973134</v>
      </c>
      <c r="R20" s="67">
        <v>170735.39166607658</v>
      </c>
      <c r="S20" s="67">
        <v>110143.34665973134</v>
      </c>
      <c r="T20" s="67">
        <v>170735.39166607658</v>
      </c>
    </row>
    <row r="21" spans="1:20">
      <c r="A21" s="3">
        <v>38169</v>
      </c>
      <c r="B21" s="41">
        <v>92903530</v>
      </c>
      <c r="C21" s="96">
        <v>2</v>
      </c>
      <c r="D21" s="96">
        <v>69.3</v>
      </c>
      <c r="E21" s="103">
        <f>+'Economic Indices'!C21</f>
        <v>5.5E-2</v>
      </c>
      <c r="F21" s="10">
        <v>31</v>
      </c>
      <c r="G21" s="10">
        <v>0</v>
      </c>
      <c r="H21" s="10">
        <f t="shared" si="0"/>
        <v>99872452.796622276</v>
      </c>
      <c r="I21" s="36">
        <f t="shared" si="1"/>
        <v>6968922.7966222763</v>
      </c>
      <c r="J21" s="5">
        <f t="shared" si="2"/>
        <v>7.5012465044355978E-2</v>
      </c>
      <c r="L21" s="35" t="s">
        <v>218</v>
      </c>
      <c r="M21" s="67">
        <v>-128912218.81735335</v>
      </c>
      <c r="N21" s="67">
        <v>21115286.453336772</v>
      </c>
      <c r="O21" s="67">
        <v>-6.105160784924224</v>
      </c>
      <c r="P21" s="67">
        <v>1.1764889214566896E-8</v>
      </c>
      <c r="Q21" s="67">
        <v>-170698749.96111774</v>
      </c>
      <c r="R21" s="67">
        <v>-87125687.673588961</v>
      </c>
      <c r="S21" s="67">
        <v>-170698749.96111774</v>
      </c>
      <c r="T21" s="67">
        <v>-87125687.673588961</v>
      </c>
    </row>
    <row r="22" spans="1:20">
      <c r="A22" s="3">
        <v>38200</v>
      </c>
      <c r="B22" s="41">
        <v>94121760</v>
      </c>
      <c r="C22" s="96">
        <v>19.600000000000001</v>
      </c>
      <c r="D22" s="96">
        <v>53.6</v>
      </c>
      <c r="E22" s="103">
        <f>+E21</f>
        <v>5.5E-2</v>
      </c>
      <c r="F22" s="10">
        <v>31</v>
      </c>
      <c r="G22" s="10">
        <v>0</v>
      </c>
      <c r="H22" s="10">
        <f t="shared" si="0"/>
        <v>98374251.025182113</v>
      </c>
      <c r="I22" s="36">
        <f t="shared" si="1"/>
        <v>4252491.0251821131</v>
      </c>
      <c r="J22" s="5">
        <f t="shared" si="2"/>
        <v>4.5180742744102033E-2</v>
      </c>
      <c r="L22" s="35" t="s">
        <v>5</v>
      </c>
      <c r="M22" s="67">
        <v>2834531.1558513953</v>
      </c>
      <c r="N22" s="67">
        <v>427048.99591481709</v>
      </c>
      <c r="O22" s="67">
        <v>6.637484651566294</v>
      </c>
      <c r="P22" s="67">
        <v>8.5306677629250904E-10</v>
      </c>
      <c r="Q22" s="67">
        <v>1989413.7473263573</v>
      </c>
      <c r="R22" s="67">
        <v>3679648.5643764334</v>
      </c>
      <c r="S22" s="67">
        <v>1989413.7473263573</v>
      </c>
      <c r="T22" s="67">
        <v>3679648.5643764334</v>
      </c>
    </row>
    <row r="23" spans="1:20" ht="13.8" thickBot="1">
      <c r="A23" s="3">
        <v>38231</v>
      </c>
      <c r="B23" s="41">
        <v>88536700</v>
      </c>
      <c r="C23" s="96">
        <v>41.7</v>
      </c>
      <c r="D23" s="96">
        <v>26.7</v>
      </c>
      <c r="E23" s="103">
        <f>+E22</f>
        <v>5.5E-2</v>
      </c>
      <c r="F23" s="10">
        <v>30</v>
      </c>
      <c r="G23" s="10">
        <v>1</v>
      </c>
      <c r="H23" s="10">
        <f t="shared" si="0"/>
        <v>85420448.759058684</v>
      </c>
      <c r="I23" s="36">
        <f t="shared" si="1"/>
        <v>-3116251.2409413159</v>
      </c>
      <c r="J23" s="5">
        <f t="shared" si="2"/>
        <v>-3.5197282493489322E-2</v>
      </c>
      <c r="L23" s="51" t="s">
        <v>17</v>
      </c>
      <c r="M23" s="68">
        <v>-7228837.8053368237</v>
      </c>
      <c r="N23" s="68">
        <v>858465.52993021847</v>
      </c>
      <c r="O23" s="68">
        <v>-8.4206500474450383</v>
      </c>
      <c r="P23" s="68">
        <v>7.1069877769193136E-14</v>
      </c>
      <c r="Q23" s="68">
        <v>-8927715.8518910296</v>
      </c>
      <c r="R23" s="68">
        <v>-5529959.7587826168</v>
      </c>
      <c r="S23" s="68">
        <v>-8927715.8518910296</v>
      </c>
      <c r="T23" s="68">
        <v>-5529959.7587826168</v>
      </c>
    </row>
    <row r="24" spans="1:20">
      <c r="A24" s="3">
        <v>38261</v>
      </c>
      <c r="B24" s="41">
        <v>88377710</v>
      </c>
      <c r="C24" s="96">
        <v>235</v>
      </c>
      <c r="D24" s="96">
        <v>0</v>
      </c>
      <c r="E24" s="103">
        <f>+'Economic Indices'!C22</f>
        <v>5.7999999999999996E-2</v>
      </c>
      <c r="F24" s="10">
        <v>31</v>
      </c>
      <c r="G24" s="10">
        <v>1</v>
      </c>
      <c r="H24" s="10">
        <f t="shared" si="0"/>
        <v>91880125.710324958</v>
      </c>
      <c r="I24" s="36">
        <f t="shared" si="1"/>
        <v>3502415.710324958</v>
      </c>
      <c r="J24" s="5">
        <f t="shared" si="2"/>
        <v>3.9630079918623801E-2</v>
      </c>
      <c r="T24"/>
    </row>
    <row r="25" spans="1:20">
      <c r="A25" s="3">
        <v>38292</v>
      </c>
      <c r="B25" s="41">
        <v>94905100</v>
      </c>
      <c r="C25" s="96">
        <v>385.7</v>
      </c>
      <c r="D25" s="96">
        <v>0</v>
      </c>
      <c r="E25" s="103">
        <f>+E24</f>
        <v>5.7999999999999996E-2</v>
      </c>
      <c r="F25" s="10">
        <v>30</v>
      </c>
      <c r="G25" s="10">
        <v>1</v>
      </c>
      <c r="H25" s="10">
        <f t="shared" si="0"/>
        <v>95096681.832297847</v>
      </c>
      <c r="I25" s="36">
        <f t="shared" si="1"/>
        <v>191581.83229784667</v>
      </c>
      <c r="J25" s="5">
        <f t="shared" si="2"/>
        <v>2.01866740878885E-3</v>
      </c>
      <c r="T25"/>
    </row>
    <row r="26" spans="1:20">
      <c r="A26" s="3">
        <v>38322</v>
      </c>
      <c r="B26" s="41">
        <v>113323500</v>
      </c>
      <c r="C26" s="96">
        <v>627.5</v>
      </c>
      <c r="D26" s="96">
        <v>0</v>
      </c>
      <c r="E26" s="103">
        <f>+E25</f>
        <v>5.7999999999999996E-2</v>
      </c>
      <c r="F26" s="10">
        <v>31</v>
      </c>
      <c r="G26" s="10">
        <v>0</v>
      </c>
      <c r="H26" s="10">
        <f t="shared" si="0"/>
        <v>114869094.61417556</v>
      </c>
      <c r="I26" s="36">
        <f t="shared" si="1"/>
        <v>1545594.6141755581</v>
      </c>
      <c r="J26" s="5">
        <f t="shared" si="2"/>
        <v>1.3638782901830231E-2</v>
      </c>
      <c r="T26"/>
    </row>
    <row r="27" spans="1:20">
      <c r="A27" s="3">
        <v>38353</v>
      </c>
      <c r="B27" s="41">
        <v>118166820</v>
      </c>
      <c r="C27" s="96">
        <v>745.5</v>
      </c>
      <c r="D27" s="96">
        <v>0</v>
      </c>
      <c r="E27" s="103">
        <f>+'Economic Indices'!C23</f>
        <v>7.2000000000000008E-2</v>
      </c>
      <c r="F27" s="10">
        <v>31</v>
      </c>
      <c r="G27" s="10">
        <v>0</v>
      </c>
      <c r="H27" s="10">
        <f t="shared" si="0"/>
        <v>117802401.1803495</v>
      </c>
      <c r="I27" s="36">
        <f t="shared" si="1"/>
        <v>-364418.81965050101</v>
      </c>
      <c r="J27" s="5">
        <f t="shared" si="2"/>
        <v>-3.0839352336848955E-3</v>
      </c>
      <c r="T27"/>
    </row>
    <row r="28" spans="1:20">
      <c r="A28" s="3">
        <v>38384</v>
      </c>
      <c r="B28" s="41">
        <v>100566840</v>
      </c>
      <c r="C28" s="96">
        <v>589.5</v>
      </c>
      <c r="D28" s="96">
        <v>0</v>
      </c>
      <c r="E28" s="103">
        <f>+E27</f>
        <v>7.2000000000000008E-2</v>
      </c>
      <c r="F28" s="10">
        <v>28</v>
      </c>
      <c r="G28" s="10">
        <v>0</v>
      </c>
      <c r="H28" s="10">
        <f t="shared" si="0"/>
        <v>103034908.4736408</v>
      </c>
      <c r="I28" s="36">
        <f t="shared" si="1"/>
        <v>2468068.4736407995</v>
      </c>
      <c r="J28" s="5">
        <f t="shared" si="2"/>
        <v>2.4541573282413961E-2</v>
      </c>
      <c r="T28"/>
    </row>
    <row r="29" spans="1:20">
      <c r="A29" s="3">
        <v>38412</v>
      </c>
      <c r="B29" s="41">
        <v>104158730</v>
      </c>
      <c r="C29" s="96">
        <v>578.29999999999995</v>
      </c>
      <c r="D29" s="96">
        <v>0</v>
      </c>
      <c r="E29" s="103">
        <f>+E28</f>
        <v>7.2000000000000008E-2</v>
      </c>
      <c r="F29" s="10">
        <v>31</v>
      </c>
      <c r="G29" s="10">
        <v>1</v>
      </c>
      <c r="H29" s="10">
        <f t="shared" si="0"/>
        <v>103859948.29304707</v>
      </c>
      <c r="I29" s="36">
        <f t="shared" si="1"/>
        <v>-298781.7069529295</v>
      </c>
      <c r="J29" s="5">
        <f t="shared" si="2"/>
        <v>-2.8685229452483675E-3</v>
      </c>
      <c r="T29"/>
    </row>
    <row r="30" spans="1:20">
      <c r="A30" s="3">
        <v>38443</v>
      </c>
      <c r="B30" s="41">
        <v>84434840</v>
      </c>
      <c r="C30" s="96">
        <v>325.3</v>
      </c>
      <c r="D30" s="96">
        <v>0</v>
      </c>
      <c r="E30" s="103">
        <f>+'Economic Indices'!C24</f>
        <v>6.4000000000000001E-2</v>
      </c>
      <c r="F30" s="10">
        <v>30</v>
      </c>
      <c r="G30" s="10">
        <v>1</v>
      </c>
      <c r="H30" s="10">
        <f t="shared" si="0"/>
        <v>91897955.224233881</v>
      </c>
      <c r="I30" s="36">
        <f t="shared" si="1"/>
        <v>7463115.2242338806</v>
      </c>
      <c r="J30" s="5">
        <f t="shared" ref="J30:J61" si="3">I30/B30</f>
        <v>8.8389049167782882E-2</v>
      </c>
      <c r="T30"/>
    </row>
    <row r="31" spans="1:20">
      <c r="A31" s="3">
        <v>38473</v>
      </c>
      <c r="B31" s="41">
        <v>81831370</v>
      </c>
      <c r="C31" s="96">
        <v>216.1</v>
      </c>
      <c r="D31" s="96">
        <v>0.3</v>
      </c>
      <c r="E31" s="103">
        <f>+E30</f>
        <v>6.4000000000000001E-2</v>
      </c>
      <c r="F31" s="10">
        <v>31</v>
      </c>
      <c r="G31" s="10">
        <v>1</v>
      </c>
      <c r="H31" s="10">
        <f t="shared" si="0"/>
        <v>90389888.723425984</v>
      </c>
      <c r="I31" s="36">
        <f t="shared" si="1"/>
        <v>8558518.7234259844</v>
      </c>
      <c r="J31" s="5">
        <f t="shared" si="3"/>
        <v>0.10458725942662311</v>
      </c>
      <c r="T31"/>
    </row>
    <row r="32" spans="1:20">
      <c r="A32" s="3">
        <v>38504</v>
      </c>
      <c r="B32" s="41">
        <v>98362500</v>
      </c>
      <c r="C32" s="96">
        <v>13.7</v>
      </c>
      <c r="D32" s="96">
        <v>89.9</v>
      </c>
      <c r="E32" s="103">
        <f>+E31</f>
        <v>6.4000000000000001E-2</v>
      </c>
      <c r="F32" s="10">
        <v>30</v>
      </c>
      <c r="G32" s="10">
        <v>0</v>
      </c>
      <c r="H32" s="10">
        <f t="shared" si="0"/>
        <v>99240555.119107112</v>
      </c>
      <c r="I32" s="36">
        <f t="shared" si="1"/>
        <v>878055.11910711229</v>
      </c>
      <c r="J32" s="5">
        <f t="shared" si="3"/>
        <v>8.9267263348035315E-3</v>
      </c>
      <c r="T32"/>
    </row>
    <row r="33" spans="1:20">
      <c r="A33" s="3">
        <v>38534</v>
      </c>
      <c r="B33" s="41">
        <v>103745750</v>
      </c>
      <c r="C33" s="96">
        <v>2.2000000000000002</v>
      </c>
      <c r="D33" s="96">
        <v>153</v>
      </c>
      <c r="E33" s="103">
        <f>+'Economic Indices'!C25</f>
        <v>5.7999999999999996E-2</v>
      </c>
      <c r="F33" s="10">
        <v>31</v>
      </c>
      <c r="G33" s="10">
        <v>0</v>
      </c>
      <c r="H33" s="10">
        <f t="shared" si="0"/>
        <v>111248521.97915548</v>
      </c>
      <c r="I33" s="36">
        <f t="shared" si="1"/>
        <v>7502771.9791554809</v>
      </c>
      <c r="J33" s="5">
        <f t="shared" si="3"/>
        <v>7.2318836956265495E-2</v>
      </c>
      <c r="T33"/>
    </row>
    <row r="34" spans="1:20">
      <c r="A34" s="3">
        <v>38565</v>
      </c>
      <c r="B34" s="41">
        <v>101425330</v>
      </c>
      <c r="C34" s="96">
        <v>0</v>
      </c>
      <c r="D34" s="96">
        <v>108</v>
      </c>
      <c r="E34" s="103">
        <f>+E33</f>
        <v>5.7999999999999996E-2</v>
      </c>
      <c r="F34" s="10">
        <v>31</v>
      </c>
      <c r="G34" s="10">
        <v>0</v>
      </c>
      <c r="H34" s="10">
        <f t="shared" si="0"/>
        <v>104840413.32627262</v>
      </c>
      <c r="I34" s="36">
        <f t="shared" si="1"/>
        <v>3415083.3262726218</v>
      </c>
      <c r="J34" s="5">
        <f t="shared" si="3"/>
        <v>3.3670911657596989E-2</v>
      </c>
      <c r="T34"/>
    </row>
    <row r="35" spans="1:20">
      <c r="A35" s="3">
        <v>38596</v>
      </c>
      <c r="B35" s="41">
        <v>87813850</v>
      </c>
      <c r="C35" s="96">
        <v>36.700000000000003</v>
      </c>
      <c r="D35" s="96">
        <v>32.799999999999997</v>
      </c>
      <c r="E35" s="103">
        <f>+E34</f>
        <v>5.7999999999999996E-2</v>
      </c>
      <c r="F35" s="10">
        <v>30</v>
      </c>
      <c r="G35" s="10">
        <v>1</v>
      </c>
      <c r="H35" s="10">
        <f t="shared" si="0"/>
        <v>85689626.253245384</v>
      </c>
      <c r="I35" s="36">
        <f t="shared" ref="I35:I66" si="4">H35-B35</f>
        <v>-2124223.7467546165</v>
      </c>
      <c r="J35" s="5">
        <f t="shared" si="3"/>
        <v>-2.4190076471474791E-2</v>
      </c>
      <c r="T35"/>
    </row>
    <row r="36" spans="1:20">
      <c r="A36" s="3">
        <v>38626</v>
      </c>
      <c r="B36" s="41">
        <v>87350690</v>
      </c>
      <c r="C36" s="96">
        <v>223.8</v>
      </c>
      <c r="D36" s="96">
        <v>0.5</v>
      </c>
      <c r="E36" s="103">
        <f>+'Economic Indices'!C26</f>
        <v>6.7000000000000004E-2</v>
      </c>
      <c r="F36" s="10">
        <v>31</v>
      </c>
      <c r="G36" s="10">
        <v>1</v>
      </c>
      <c r="H36" s="10">
        <f t="shared" si="0"/>
        <v>90340419.58273913</v>
      </c>
      <c r="I36" s="36">
        <f t="shared" si="4"/>
        <v>2989729.5827391297</v>
      </c>
      <c r="J36" s="5">
        <f t="shared" si="3"/>
        <v>3.422674260202329E-2</v>
      </c>
      <c r="T36"/>
    </row>
    <row r="37" spans="1:20">
      <c r="A37" s="3">
        <v>38657</v>
      </c>
      <c r="B37" s="41">
        <v>94515140</v>
      </c>
      <c r="C37" s="96">
        <v>398.5</v>
      </c>
      <c r="D37" s="96">
        <v>0</v>
      </c>
      <c r="E37" s="103">
        <f>+E36</f>
        <v>6.7000000000000004E-2</v>
      </c>
      <c r="F37" s="10">
        <v>30</v>
      </c>
      <c r="G37" s="10">
        <v>1</v>
      </c>
      <c r="H37" s="10">
        <f t="shared" si="0"/>
        <v>94450432.826154336</v>
      </c>
      <c r="I37" s="36">
        <f t="shared" si="4"/>
        <v>-64707.173845663667</v>
      </c>
      <c r="J37" s="5">
        <f t="shared" si="3"/>
        <v>-6.8462231390297541E-4</v>
      </c>
      <c r="T37"/>
    </row>
    <row r="38" spans="1:20">
      <c r="A38" s="3">
        <v>38687</v>
      </c>
      <c r="B38" s="41">
        <v>112129490</v>
      </c>
      <c r="C38" s="96">
        <v>641.1</v>
      </c>
      <c r="D38" s="96">
        <v>0</v>
      </c>
      <c r="E38" s="103">
        <f>+E37</f>
        <v>6.7000000000000004E-2</v>
      </c>
      <c r="F38" s="10">
        <v>31</v>
      </c>
      <c r="G38" s="10">
        <v>0</v>
      </c>
      <c r="H38" s="10">
        <f t="shared" si="0"/>
        <v>114254968.16823286</v>
      </c>
      <c r="I38" s="36">
        <f t="shared" si="4"/>
        <v>2125478.1682328582</v>
      </c>
      <c r="J38" s="5">
        <f t="shared" si="3"/>
        <v>1.8955567961941665E-2</v>
      </c>
      <c r="T38"/>
    </row>
    <row r="39" spans="1:20">
      <c r="A39" s="3">
        <v>38718</v>
      </c>
      <c r="B39" s="38">
        <v>108586490</v>
      </c>
      <c r="C39" s="96">
        <v>558.20000000000005</v>
      </c>
      <c r="D39" s="96">
        <v>0</v>
      </c>
      <c r="E39" s="103">
        <f>+'Economic Indices'!C27</f>
        <v>6.6000000000000003E-2</v>
      </c>
      <c r="F39" s="10">
        <v>31</v>
      </c>
      <c r="G39" s="10">
        <v>0</v>
      </c>
      <c r="H39" s="10">
        <f t="shared" si="0"/>
        <v>111055180.08624309</v>
      </c>
      <c r="I39" s="36">
        <f t="shared" si="4"/>
        <v>2468690.086243093</v>
      </c>
      <c r="J39" s="5">
        <f t="shared" si="3"/>
        <v>2.2734781152269432E-2</v>
      </c>
      <c r="T39"/>
    </row>
    <row r="40" spans="1:20">
      <c r="A40" s="3">
        <v>38749</v>
      </c>
      <c r="B40" s="38">
        <v>101769990</v>
      </c>
      <c r="C40" s="96">
        <v>608.79999999999995</v>
      </c>
      <c r="D40" s="96">
        <v>0</v>
      </c>
      <c r="E40" s="103">
        <f>+E39</f>
        <v>6.6000000000000003E-2</v>
      </c>
      <c r="F40" s="10">
        <v>28</v>
      </c>
      <c r="G40" s="10">
        <v>0</v>
      </c>
      <c r="H40" s="10">
        <f t="shared" si="0"/>
        <v>104583338.55138904</v>
      </c>
      <c r="I40" s="36">
        <f t="shared" si="4"/>
        <v>2813348.5513890386</v>
      </c>
      <c r="J40" s="5">
        <f t="shared" si="3"/>
        <v>2.7644186182872166E-2</v>
      </c>
      <c r="T40"/>
    </row>
    <row r="41" spans="1:20">
      <c r="A41" s="3">
        <v>38777</v>
      </c>
      <c r="B41" s="38">
        <v>102729300</v>
      </c>
      <c r="C41" s="96">
        <v>534</v>
      </c>
      <c r="D41" s="96">
        <v>0</v>
      </c>
      <c r="E41" s="103">
        <f>+E40</f>
        <v>6.6000000000000003E-2</v>
      </c>
      <c r="F41" s="10">
        <v>31</v>
      </c>
      <c r="G41" s="10">
        <v>1</v>
      </c>
      <c r="H41" s="10">
        <f t="shared" si="0"/>
        <v>102854634.83483231</v>
      </c>
      <c r="I41" s="36">
        <f t="shared" si="4"/>
        <v>125334.83483231068</v>
      </c>
      <c r="J41" s="5">
        <f t="shared" si="3"/>
        <v>1.2200495363281039E-3</v>
      </c>
      <c r="T41"/>
    </row>
    <row r="42" spans="1:20">
      <c r="A42" s="3">
        <v>38808</v>
      </c>
      <c r="B42" s="38">
        <v>85245280</v>
      </c>
      <c r="C42" s="96">
        <v>323.60000000000002</v>
      </c>
      <c r="D42" s="96">
        <v>0</v>
      </c>
      <c r="E42" s="103">
        <f>+'Economic Indices'!C28</f>
        <v>6.5000000000000002E-2</v>
      </c>
      <c r="F42" s="10">
        <v>30</v>
      </c>
      <c r="G42" s="10">
        <v>1</v>
      </c>
      <c r="H42" s="10">
        <f t="shared" si="0"/>
        <v>91700782.56498985</v>
      </c>
      <c r="I42" s="36">
        <f t="shared" si="4"/>
        <v>6455502.5649898499</v>
      </c>
      <c r="J42" s="5">
        <f t="shared" si="3"/>
        <v>7.5728563094517962E-2</v>
      </c>
      <c r="T42"/>
    </row>
    <row r="43" spans="1:20">
      <c r="A43" s="3">
        <v>38838</v>
      </c>
      <c r="B43" s="38">
        <v>85191000</v>
      </c>
      <c r="C43" s="96">
        <v>172.6</v>
      </c>
      <c r="D43" s="96">
        <v>12.8</v>
      </c>
      <c r="E43" s="103">
        <f>+E42</f>
        <v>6.5000000000000002E-2</v>
      </c>
      <c r="F43" s="10">
        <v>31</v>
      </c>
      <c r="G43" s="10">
        <v>1</v>
      </c>
      <c r="H43" s="10">
        <f t="shared" si="0"/>
        <v>90269804.408226833</v>
      </c>
      <c r="I43" s="36">
        <f t="shared" si="4"/>
        <v>5078804.4082268327</v>
      </c>
      <c r="J43" s="5">
        <f t="shared" si="3"/>
        <v>5.9616677914648648E-2</v>
      </c>
      <c r="T43"/>
    </row>
    <row r="44" spans="1:20">
      <c r="A44" s="3">
        <v>38869</v>
      </c>
      <c r="B44" s="38">
        <v>91808310</v>
      </c>
      <c r="C44" s="96">
        <v>22.6</v>
      </c>
      <c r="D44" s="96">
        <v>36.200000000000003</v>
      </c>
      <c r="E44" s="103">
        <f>+E43</f>
        <v>6.5000000000000002E-2</v>
      </c>
      <c r="F44" s="10">
        <v>30</v>
      </c>
      <c r="G44" s="10">
        <v>0</v>
      </c>
      <c r="H44" s="10">
        <f t="shared" si="0"/>
        <v>91927412.258475631</v>
      </c>
      <c r="I44" s="36">
        <f t="shared" si="4"/>
        <v>119102.25847563148</v>
      </c>
      <c r="J44" s="5">
        <f t="shared" si="3"/>
        <v>1.2972927883721144E-3</v>
      </c>
      <c r="T44"/>
    </row>
    <row r="45" spans="1:20">
      <c r="A45" s="3">
        <v>38899</v>
      </c>
      <c r="B45" s="38">
        <v>103610940</v>
      </c>
      <c r="C45" s="96">
        <v>1.7</v>
      </c>
      <c r="D45" s="96">
        <v>107.6</v>
      </c>
      <c r="E45" s="103">
        <f>+'Economic Indices'!C29</f>
        <v>6.7000000000000004E-2</v>
      </c>
      <c r="F45" s="10">
        <v>31</v>
      </c>
      <c r="G45" s="10">
        <v>0</v>
      </c>
      <c r="H45" s="10">
        <f t="shared" si="0"/>
        <v>103692288.04967797</v>
      </c>
      <c r="I45" s="36">
        <f t="shared" si="4"/>
        <v>81348.049677968025</v>
      </c>
      <c r="J45" s="5">
        <f t="shared" si="3"/>
        <v>7.8512992622176798E-4</v>
      </c>
      <c r="T45"/>
    </row>
    <row r="46" spans="1:20">
      <c r="A46" s="3">
        <v>38930</v>
      </c>
      <c r="B46" s="38">
        <v>98252830</v>
      </c>
      <c r="C46" s="96">
        <v>4.4000000000000004</v>
      </c>
      <c r="D46" s="96">
        <v>82.1</v>
      </c>
      <c r="E46" s="103">
        <f>+E45</f>
        <v>6.7000000000000004E-2</v>
      </c>
      <c r="F46" s="10">
        <v>31</v>
      </c>
      <c r="G46" s="10">
        <v>0</v>
      </c>
      <c r="H46" s="10">
        <f t="shared" si="0"/>
        <v>100219497.77670158</v>
      </c>
      <c r="I46" s="36">
        <f t="shared" si="4"/>
        <v>1966667.7767015845</v>
      </c>
      <c r="J46" s="5">
        <f t="shared" si="3"/>
        <v>2.0016398272717281E-2</v>
      </c>
      <c r="T46"/>
    </row>
    <row r="47" spans="1:20">
      <c r="A47" s="3">
        <v>38961</v>
      </c>
      <c r="B47" s="38">
        <v>83090470</v>
      </c>
      <c r="C47" s="96">
        <v>70.7</v>
      </c>
      <c r="D47" s="96">
        <v>5.0999999999999996</v>
      </c>
      <c r="E47" s="103">
        <f>+E46</f>
        <v>6.7000000000000004E-2</v>
      </c>
      <c r="F47" s="10">
        <v>30</v>
      </c>
      <c r="G47" s="10">
        <v>1</v>
      </c>
      <c r="H47" s="10">
        <f t="shared" si="0"/>
        <v>82004454.566610441</v>
      </c>
      <c r="I47" s="36">
        <f t="shared" si="4"/>
        <v>-1086015.4333895594</v>
      </c>
      <c r="J47" s="5">
        <f t="shared" si="3"/>
        <v>-1.3070276692255554E-2</v>
      </c>
      <c r="T47"/>
    </row>
    <row r="48" spans="1:20">
      <c r="A48" s="3">
        <v>38991</v>
      </c>
      <c r="B48" s="38">
        <v>90859410</v>
      </c>
      <c r="C48" s="96">
        <v>274.60000000000002</v>
      </c>
      <c r="D48" s="96">
        <v>0</v>
      </c>
      <c r="E48" s="103">
        <f>+'Economic Indices'!C30</f>
        <v>6.8000000000000005E-2</v>
      </c>
      <c r="F48" s="10">
        <v>31</v>
      </c>
      <c r="G48" s="10">
        <v>1</v>
      </c>
      <c r="H48" s="10">
        <f t="shared" si="0"/>
        <v>92181070.252090648</v>
      </c>
      <c r="I48" s="36">
        <f t="shared" si="4"/>
        <v>1321660.2520906478</v>
      </c>
      <c r="J48" s="5">
        <f t="shared" si="3"/>
        <v>1.4546212132465397E-2</v>
      </c>
      <c r="T48"/>
    </row>
    <row r="49" spans="1:20">
      <c r="A49" s="3">
        <v>39022</v>
      </c>
      <c r="B49" s="38">
        <v>95117460</v>
      </c>
      <c r="C49" s="96">
        <v>367.5</v>
      </c>
      <c r="D49" s="96">
        <v>0</v>
      </c>
      <c r="E49" s="103">
        <f>+E48</f>
        <v>6.8000000000000005E-2</v>
      </c>
      <c r="F49" s="10">
        <v>30</v>
      </c>
      <c r="G49" s="10">
        <v>1</v>
      </c>
      <c r="H49" s="10">
        <f t="shared" si="0"/>
        <v>93076771.399556279</v>
      </c>
      <c r="I49" s="36">
        <f t="shared" si="4"/>
        <v>-2040688.6004437208</v>
      </c>
      <c r="J49" s="5">
        <f t="shared" si="3"/>
        <v>-2.145440595705269E-2</v>
      </c>
      <c r="T49"/>
    </row>
    <row r="50" spans="1:20">
      <c r="A50" s="3">
        <v>39052</v>
      </c>
      <c r="B50" s="38">
        <v>105098960</v>
      </c>
      <c r="C50" s="96">
        <v>471.5</v>
      </c>
      <c r="D50" s="96">
        <v>0</v>
      </c>
      <c r="E50" s="103">
        <f>+E49</f>
        <v>6.8000000000000005E-2</v>
      </c>
      <c r="F50" s="10">
        <v>31</v>
      </c>
      <c r="G50" s="10">
        <v>0</v>
      </c>
      <c r="H50" s="10">
        <f t="shared" si="0"/>
        <v>107316073.18684751</v>
      </c>
      <c r="I50" s="36">
        <f t="shared" si="4"/>
        <v>2217113.186847508</v>
      </c>
      <c r="J50" s="5">
        <f t="shared" si="3"/>
        <v>2.109548169503778E-2</v>
      </c>
      <c r="T50"/>
    </row>
    <row r="51" spans="1:20">
      <c r="A51" s="3">
        <v>39083</v>
      </c>
      <c r="B51" s="38">
        <v>112093789.99999999</v>
      </c>
      <c r="C51" s="96">
        <v>573.1</v>
      </c>
      <c r="D51" s="96">
        <v>0</v>
      </c>
      <c r="E51" s="103">
        <f>+'Economic Indices'!C31</f>
        <v>6.0999999999999999E-2</v>
      </c>
      <c r="F51" s="10">
        <v>31</v>
      </c>
      <c r="G51" s="10">
        <v>0</v>
      </c>
      <c r="H51" s="10">
        <f t="shared" si="0"/>
        <v>112298023.86406963</v>
      </c>
      <c r="I51" s="36">
        <f t="shared" si="4"/>
        <v>204233.86406964064</v>
      </c>
      <c r="J51" s="5">
        <f t="shared" si="3"/>
        <v>1.8219908887873331E-3</v>
      </c>
      <c r="T51"/>
    </row>
    <row r="52" spans="1:20">
      <c r="A52" s="3">
        <v>39114</v>
      </c>
      <c r="B52" s="38">
        <v>109302770</v>
      </c>
      <c r="C52" s="96">
        <v>693.5</v>
      </c>
      <c r="D52" s="96">
        <v>0</v>
      </c>
      <c r="E52" s="103">
        <f>+E51</f>
        <v>6.0999999999999999E-2</v>
      </c>
      <c r="F52" s="10">
        <v>28</v>
      </c>
      <c r="G52" s="10">
        <v>0</v>
      </c>
      <c r="H52" s="10">
        <f t="shared" si="0"/>
        <v>108628875.70673472</v>
      </c>
      <c r="I52" s="36">
        <f t="shared" si="4"/>
        <v>-673894.29326528311</v>
      </c>
      <c r="J52" s="5">
        <f t="shared" si="3"/>
        <v>-6.165390806338056E-3</v>
      </c>
      <c r="T52"/>
    </row>
    <row r="53" spans="1:20">
      <c r="A53" s="3">
        <v>39142</v>
      </c>
      <c r="B53" s="38">
        <v>106781890</v>
      </c>
      <c r="C53" s="96">
        <v>477.9</v>
      </c>
      <c r="D53" s="96">
        <v>0</v>
      </c>
      <c r="E53" s="103">
        <f>+E52</f>
        <v>6.0999999999999999E-2</v>
      </c>
      <c r="F53" s="10">
        <v>31</v>
      </c>
      <c r="G53" s="10">
        <v>1</v>
      </c>
      <c r="H53" s="10">
        <f t="shared" si="0"/>
        <v>101246601.3948385</v>
      </c>
      <c r="I53" s="36">
        <f t="shared" si="4"/>
        <v>-5535288.605161503</v>
      </c>
      <c r="J53" s="5">
        <f t="shared" si="3"/>
        <v>-5.1837335012158925E-2</v>
      </c>
      <c r="T53"/>
    </row>
    <row r="54" spans="1:20">
      <c r="A54" s="3">
        <v>39173</v>
      </c>
      <c r="B54" s="38">
        <v>92267850</v>
      </c>
      <c r="C54" s="96">
        <v>280.39999999999998</v>
      </c>
      <c r="D54" s="96">
        <v>0</v>
      </c>
      <c r="E54" s="103">
        <f>+'Economic Indices'!C32</f>
        <v>0.06</v>
      </c>
      <c r="F54" s="10">
        <v>30</v>
      </c>
      <c r="G54" s="10">
        <v>1</v>
      </c>
      <c r="H54" s="10">
        <f t="shared" si="0"/>
        <v>90610725.408233821</v>
      </c>
      <c r="I54" s="36">
        <f t="shared" si="4"/>
        <v>-1657124.5917661786</v>
      </c>
      <c r="J54" s="5">
        <f t="shared" si="3"/>
        <v>-1.795993503442617E-2</v>
      </c>
      <c r="T54"/>
    </row>
    <row r="55" spans="1:20">
      <c r="A55" s="3">
        <v>39203</v>
      </c>
      <c r="B55" s="38">
        <v>86029130</v>
      </c>
      <c r="C55" s="96">
        <v>72.8</v>
      </c>
      <c r="D55" s="96">
        <v>4.5</v>
      </c>
      <c r="E55" s="103">
        <f>+E54</f>
        <v>0.06</v>
      </c>
      <c r="F55" s="10">
        <v>31</v>
      </c>
      <c r="G55" s="10">
        <v>1</v>
      </c>
      <c r="H55" s="10">
        <f t="shared" si="0"/>
        <v>85741429.353212655</v>
      </c>
      <c r="I55" s="36">
        <f t="shared" si="4"/>
        <v>-287700.64678734541</v>
      </c>
      <c r="J55" s="5">
        <f t="shared" si="3"/>
        <v>-3.3442235994638725E-3</v>
      </c>
      <c r="T55"/>
    </row>
    <row r="56" spans="1:20">
      <c r="A56" s="3">
        <v>39234</v>
      </c>
      <c r="B56" s="38">
        <v>96829929.999999985</v>
      </c>
      <c r="C56" s="96">
        <v>6.2</v>
      </c>
      <c r="D56" s="96">
        <v>32.799999999999997</v>
      </c>
      <c r="E56" s="103">
        <f>+E55</f>
        <v>0.06</v>
      </c>
      <c r="F56" s="10">
        <v>30</v>
      </c>
      <c r="G56" s="10">
        <v>0</v>
      </c>
      <c r="H56" s="10">
        <f t="shared" si="0"/>
        <v>91435967.013292283</v>
      </c>
      <c r="I56" s="36">
        <f t="shared" si="4"/>
        <v>-5393962.9867077023</v>
      </c>
      <c r="J56" s="5">
        <f t="shared" si="3"/>
        <v>-5.5705534298204108E-2</v>
      </c>
      <c r="T56"/>
    </row>
    <row r="57" spans="1:20">
      <c r="A57" s="3">
        <v>39264</v>
      </c>
      <c r="B57" s="38">
        <v>96919610</v>
      </c>
      <c r="C57" s="96">
        <v>8.6999999999999993</v>
      </c>
      <c r="D57" s="96">
        <v>41.6</v>
      </c>
      <c r="E57" s="103">
        <f>+'Economic Indices'!C33</f>
        <v>6.5000000000000002E-2</v>
      </c>
      <c r="F57" s="10">
        <v>31</v>
      </c>
      <c r="G57" s="10">
        <v>0</v>
      </c>
      <c r="H57" s="10">
        <f t="shared" si="0"/>
        <v>94962186.524317935</v>
      </c>
      <c r="I57" s="36">
        <f t="shared" si="4"/>
        <v>-1957423.4756820649</v>
      </c>
      <c r="J57" s="5">
        <f t="shared" si="3"/>
        <v>-2.0196361455458445E-2</v>
      </c>
      <c r="T57"/>
    </row>
    <row r="58" spans="1:20">
      <c r="A58" s="3">
        <v>39295</v>
      </c>
      <c r="B58" s="38">
        <v>103644560</v>
      </c>
      <c r="C58" s="96">
        <v>4</v>
      </c>
      <c r="D58" s="96">
        <v>87.8</v>
      </c>
      <c r="E58" s="103">
        <f>+E57</f>
        <v>6.5000000000000002E-2</v>
      </c>
      <c r="F58" s="10">
        <v>31</v>
      </c>
      <c r="G58" s="10">
        <v>0</v>
      </c>
      <c r="H58" s="10">
        <f t="shared" si="0"/>
        <v>101261765.33846444</v>
      </c>
      <c r="I58" s="36">
        <f t="shared" si="4"/>
        <v>-2382794.6615355611</v>
      </c>
      <c r="J58" s="5">
        <f t="shared" si="3"/>
        <v>-2.2990060081644045E-2</v>
      </c>
      <c r="T58"/>
    </row>
    <row r="59" spans="1:20">
      <c r="A59" s="3">
        <v>39326</v>
      </c>
      <c r="B59" s="38">
        <v>87760000</v>
      </c>
      <c r="C59" s="96">
        <v>20.100000000000001</v>
      </c>
      <c r="D59" s="96">
        <v>12.3</v>
      </c>
      <c r="E59" s="103">
        <f>+E58</f>
        <v>6.5000000000000002E-2</v>
      </c>
      <c r="F59" s="10">
        <v>30</v>
      </c>
      <c r="G59" s="10">
        <v>1</v>
      </c>
      <c r="H59" s="10">
        <f t="shared" si="0"/>
        <v>81241690.529517934</v>
      </c>
      <c r="I59" s="36">
        <f t="shared" si="4"/>
        <v>-6518309.4704820663</v>
      </c>
      <c r="J59" s="5">
        <f t="shared" si="3"/>
        <v>-7.4274264704672591E-2</v>
      </c>
      <c r="T59"/>
    </row>
    <row r="60" spans="1:20">
      <c r="A60" s="3">
        <v>39356</v>
      </c>
      <c r="B60" s="38">
        <v>88883380</v>
      </c>
      <c r="C60" s="96">
        <v>101.5</v>
      </c>
      <c r="D60" s="96">
        <v>0</v>
      </c>
      <c r="E60" s="103">
        <f>+'Economic Indices'!C34</f>
        <v>6.3E-2</v>
      </c>
      <c r="F60" s="10">
        <v>31</v>
      </c>
      <c r="G60" s="10">
        <v>1</v>
      </c>
      <c r="H60" s="10">
        <f t="shared" si="0"/>
        <v>85875112.382730946</v>
      </c>
      <c r="I60" s="36">
        <f t="shared" si="4"/>
        <v>-3008267.6172690541</v>
      </c>
      <c r="J60" s="5">
        <f t="shared" si="3"/>
        <v>-3.3845108244860332E-2</v>
      </c>
      <c r="T60"/>
    </row>
    <row r="61" spans="1:20">
      <c r="A61" s="3">
        <v>39387</v>
      </c>
      <c r="B61" s="38">
        <v>97788230</v>
      </c>
      <c r="C61" s="96">
        <v>314.10000000000002</v>
      </c>
      <c r="D61" s="96">
        <v>0</v>
      </c>
      <c r="E61" s="103">
        <f>+E60</f>
        <v>6.3E-2</v>
      </c>
      <c r="F61" s="10">
        <v>30</v>
      </c>
      <c r="G61" s="10">
        <v>1</v>
      </c>
      <c r="H61" s="10">
        <f t="shared" si="0"/>
        <v>91577151.600240156</v>
      </c>
      <c r="I61" s="36">
        <f t="shared" si="4"/>
        <v>-6211078.3997598439</v>
      </c>
      <c r="J61" s="5">
        <f t="shared" si="3"/>
        <v>-6.3515603051204059E-2</v>
      </c>
      <c r="T61"/>
    </row>
    <row r="62" spans="1:20">
      <c r="A62" s="3">
        <v>39417</v>
      </c>
      <c r="B62" s="38">
        <v>112852450</v>
      </c>
      <c r="C62" s="96">
        <v>337.8</v>
      </c>
      <c r="D62" s="96">
        <v>0</v>
      </c>
      <c r="E62" s="103">
        <f>+E61</f>
        <v>6.3E-2</v>
      </c>
      <c r="F62" s="10">
        <v>31</v>
      </c>
      <c r="G62" s="10">
        <v>0</v>
      </c>
      <c r="H62" s="10">
        <f t="shared" si="0"/>
        <v>102592151.40737684</v>
      </c>
      <c r="I62" s="36">
        <f t="shared" si="4"/>
        <v>-10260298.592623159</v>
      </c>
      <c r="J62" s="5">
        <f t="shared" ref="J62:J93" si="5">I62/B62</f>
        <v>-9.0917818732541109E-2</v>
      </c>
      <c r="T62"/>
    </row>
    <row r="63" spans="1:20">
      <c r="A63" s="3">
        <v>39448</v>
      </c>
      <c r="B63" s="42">
        <v>111423480</v>
      </c>
      <c r="C63" s="97">
        <v>432.8</v>
      </c>
      <c r="D63" s="97">
        <v>0</v>
      </c>
      <c r="E63" s="103">
        <f>+'Economic Indices'!C35</f>
        <v>6.4000000000000001E-2</v>
      </c>
      <c r="F63" s="10">
        <v>31</v>
      </c>
      <c r="G63" s="10">
        <v>0</v>
      </c>
      <c r="H63" s="10">
        <f t="shared" si="0"/>
        <v>106277793.2124036</v>
      </c>
      <c r="I63" s="36">
        <f t="shared" si="4"/>
        <v>-5145686.7875964046</v>
      </c>
      <c r="J63" s="5">
        <f t="shared" si="5"/>
        <v>-4.6181350533984443E-2</v>
      </c>
      <c r="T63"/>
    </row>
    <row r="64" spans="1:20">
      <c r="A64" s="3">
        <v>39479</v>
      </c>
      <c r="B64" s="42">
        <v>106527560</v>
      </c>
      <c r="C64" s="97">
        <v>317.60000000000002</v>
      </c>
      <c r="D64" s="97">
        <v>0</v>
      </c>
      <c r="E64" s="103">
        <f>+E63</f>
        <v>6.4000000000000001E-2</v>
      </c>
      <c r="F64" s="10">
        <v>29</v>
      </c>
      <c r="G64" s="10">
        <v>0</v>
      </c>
      <c r="H64" s="10">
        <f t="shared" si="0"/>
        <v>95983082.231786683</v>
      </c>
      <c r="I64" s="36">
        <f t="shared" si="4"/>
        <v>-10544477.768213317</v>
      </c>
      <c r="J64" s="5">
        <f t="shared" si="5"/>
        <v>-9.8983566020035718E-2</v>
      </c>
      <c r="T64"/>
    </row>
    <row r="65" spans="1:36">
      <c r="A65" s="3">
        <v>39508</v>
      </c>
      <c r="B65" s="42">
        <v>105633899.99999999</v>
      </c>
      <c r="C65" s="97">
        <v>430</v>
      </c>
      <c r="D65" s="97">
        <v>0</v>
      </c>
      <c r="E65" s="103">
        <f>+E64</f>
        <v>6.4000000000000001E-2</v>
      </c>
      <c r="F65" s="10">
        <v>31</v>
      </c>
      <c r="G65" s="10">
        <v>1</v>
      </c>
      <c r="H65" s="10">
        <f t="shared" si="0"/>
        <v>98936526.446364</v>
      </c>
      <c r="I65" s="36">
        <f t="shared" si="4"/>
        <v>-6697373.5536359847</v>
      </c>
      <c r="J65" s="5">
        <f t="shared" si="5"/>
        <v>-6.3401744644815586E-2</v>
      </c>
      <c r="T65"/>
    </row>
    <row r="66" spans="1:36">
      <c r="A66" s="3">
        <v>39539</v>
      </c>
      <c r="B66" s="42">
        <v>86147429.999999985</v>
      </c>
      <c r="C66" s="97">
        <v>144.6</v>
      </c>
      <c r="D66" s="97">
        <v>0</v>
      </c>
      <c r="E66" s="103">
        <f>+'Economic Indices'!C36</f>
        <v>7.400000000000001E-2</v>
      </c>
      <c r="F66" s="10">
        <v>30</v>
      </c>
      <c r="G66" s="10">
        <v>1</v>
      </c>
      <c r="H66" s="10">
        <f t="shared" si="0"/>
        <v>83353149.75070636</v>
      </c>
      <c r="I66" s="36">
        <f t="shared" si="4"/>
        <v>-2794280.2492936254</v>
      </c>
      <c r="J66" s="5">
        <f t="shared" si="5"/>
        <v>-3.2436025651532793E-2</v>
      </c>
      <c r="T66"/>
    </row>
    <row r="67" spans="1:36">
      <c r="A67" s="3">
        <v>39569</v>
      </c>
      <c r="B67" s="42">
        <v>82776310</v>
      </c>
      <c r="C67" s="97">
        <v>151</v>
      </c>
      <c r="D67" s="97">
        <v>0</v>
      </c>
      <c r="E67" s="103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86444661.388164088</v>
      </c>
      <c r="I67" s="36">
        <f t="shared" ref="I67:I98" si="7">H67-B67</f>
        <v>3668351.3881640881</v>
      </c>
      <c r="J67" s="5">
        <f t="shared" si="5"/>
        <v>4.4316440152551956E-2</v>
      </c>
      <c r="T67"/>
    </row>
    <row r="68" spans="1:36">
      <c r="A68" s="3">
        <v>39600</v>
      </c>
      <c r="B68" s="42">
        <v>90692793</v>
      </c>
      <c r="C68" s="97">
        <v>15.5</v>
      </c>
      <c r="D68" s="97">
        <v>23.6</v>
      </c>
      <c r="E68" s="103">
        <f>+E67</f>
        <v>7.400000000000001E-2</v>
      </c>
      <c r="F68" s="10">
        <v>30</v>
      </c>
      <c r="G68" s="10">
        <v>0</v>
      </c>
      <c r="H68" s="10">
        <f t="shared" si="6"/>
        <v>88712578.515884832</v>
      </c>
      <c r="I68" s="36">
        <f t="shared" si="7"/>
        <v>-1980214.4841151685</v>
      </c>
      <c r="J68" s="5">
        <f t="shared" si="5"/>
        <v>-2.1834309194945275E-2</v>
      </c>
      <c r="T68"/>
    </row>
    <row r="69" spans="1:36">
      <c r="A69" s="3">
        <v>39630</v>
      </c>
      <c r="B69" s="42">
        <v>98868440</v>
      </c>
      <c r="C69" s="97">
        <v>1</v>
      </c>
      <c r="D69" s="97">
        <v>61.4</v>
      </c>
      <c r="E69" s="103">
        <f>+'Economic Indices'!C37</f>
        <v>6.8000000000000005E-2</v>
      </c>
      <c r="F69" s="10">
        <v>31</v>
      </c>
      <c r="G69" s="10">
        <v>0</v>
      </c>
      <c r="H69" s="10">
        <f t="shared" si="6"/>
        <v>97046969.735358745</v>
      </c>
      <c r="I69" s="36">
        <f t="shared" si="7"/>
        <v>-1821470.2646412551</v>
      </c>
      <c r="J69" s="5">
        <f t="shared" si="5"/>
        <v>-1.8423171890253907E-2</v>
      </c>
      <c r="T69"/>
    </row>
    <row r="70" spans="1:36">
      <c r="A70" s="3">
        <v>39661</v>
      </c>
      <c r="B70" s="42">
        <v>93432320</v>
      </c>
      <c r="C70" s="97">
        <v>13.8</v>
      </c>
      <c r="D70" s="97">
        <v>29.9</v>
      </c>
      <c r="E70" s="103">
        <f>+E69</f>
        <v>6.8000000000000005E-2</v>
      </c>
      <c r="F70" s="10">
        <v>31</v>
      </c>
      <c r="G70" s="10">
        <v>0</v>
      </c>
      <c r="H70" s="10">
        <f t="shared" si="6"/>
        <v>93137090.569939956</v>
      </c>
      <c r="I70" s="36">
        <f t="shared" si="7"/>
        <v>-295229.43006004393</v>
      </c>
      <c r="J70" s="5">
        <f t="shared" si="5"/>
        <v>-3.1598212487931794E-3</v>
      </c>
      <c r="T70"/>
    </row>
    <row r="71" spans="1:36">
      <c r="A71" s="3">
        <v>39692</v>
      </c>
      <c r="B71" s="42">
        <v>86855072</v>
      </c>
      <c r="C71" s="97">
        <v>51.6</v>
      </c>
      <c r="D71" s="97">
        <v>15.1</v>
      </c>
      <c r="E71" s="103">
        <f>+E70</f>
        <v>6.8000000000000005E-2</v>
      </c>
      <c r="F71" s="10">
        <v>30</v>
      </c>
      <c r="G71" s="10">
        <v>1</v>
      </c>
      <c r="H71" s="10">
        <f t="shared" si="6"/>
        <v>82513009.914628208</v>
      </c>
      <c r="I71" s="36">
        <f t="shared" si="7"/>
        <v>-4342062.0853717923</v>
      </c>
      <c r="J71" s="5">
        <f t="shared" si="5"/>
        <v>-4.9992038293075067E-2</v>
      </c>
      <c r="T71"/>
    </row>
    <row r="72" spans="1:36">
      <c r="A72" s="3">
        <v>39722</v>
      </c>
      <c r="B72" s="42">
        <v>88294618</v>
      </c>
      <c r="C72" s="97">
        <v>203.1</v>
      </c>
      <c r="D72" s="97">
        <v>0</v>
      </c>
      <c r="E72" s="103">
        <f>+'Economic Indices'!C38</f>
        <v>7.9000000000000001E-2</v>
      </c>
      <c r="F72" s="10">
        <v>31</v>
      </c>
      <c r="G72" s="10">
        <v>1</v>
      </c>
      <c r="H72" s="10">
        <f t="shared" si="6"/>
        <v>87892082.027153939</v>
      </c>
      <c r="I72" s="36">
        <f t="shared" si="7"/>
        <v>-402535.97284606099</v>
      </c>
      <c r="J72" s="5">
        <f t="shared" si="5"/>
        <v>-4.5590091668561384E-3</v>
      </c>
      <c r="T72"/>
    </row>
    <row r="73" spans="1:36">
      <c r="A73" s="3">
        <v>39753</v>
      </c>
      <c r="B73" s="42">
        <v>95870835</v>
      </c>
      <c r="C73" s="97">
        <v>268.8</v>
      </c>
      <c r="D73" s="97">
        <v>0</v>
      </c>
      <c r="E73" s="103">
        <f>+E72</f>
        <v>7.9000000000000001E-2</v>
      </c>
      <c r="F73" s="10">
        <v>30</v>
      </c>
      <c r="G73" s="10">
        <v>1</v>
      </c>
      <c r="H73" s="10">
        <f t="shared" si="6"/>
        <v>87695616.127792627</v>
      </c>
      <c r="I73" s="36">
        <f t="shared" si="7"/>
        <v>-8175218.8722073734</v>
      </c>
      <c r="J73" s="5">
        <f t="shared" si="5"/>
        <v>-8.5273262428635088E-2</v>
      </c>
      <c r="T73"/>
    </row>
    <row r="74" spans="1:36">
      <c r="A74" s="3">
        <v>39783</v>
      </c>
      <c r="B74" s="42">
        <v>112359168</v>
      </c>
      <c r="C74" s="97">
        <v>378.9</v>
      </c>
      <c r="D74" s="97">
        <v>0</v>
      </c>
      <c r="E74" s="103">
        <f>+E73</f>
        <v>7.9000000000000001E-2</v>
      </c>
      <c r="F74" s="10">
        <v>31</v>
      </c>
      <c r="G74" s="10">
        <v>0</v>
      </c>
      <c r="H74" s="10">
        <f t="shared" si="6"/>
        <v>102179852.4366149</v>
      </c>
      <c r="I74" s="36">
        <f t="shared" si="7"/>
        <v>-10179315.563385099</v>
      </c>
      <c r="J74" s="5">
        <f t="shared" si="5"/>
        <v>-9.0596216976126936E-2</v>
      </c>
      <c r="T74"/>
    </row>
    <row r="75" spans="1:36" s="14" customFormat="1">
      <c r="A75" s="3">
        <v>39814</v>
      </c>
      <c r="B75" s="38">
        <v>119321706</v>
      </c>
      <c r="C75" s="97">
        <v>684.3</v>
      </c>
      <c r="D75" s="97">
        <v>0</v>
      </c>
      <c r="E75" s="103">
        <f>+'Economic Indices'!C39</f>
        <v>8.5000000000000006E-2</v>
      </c>
      <c r="F75" s="10">
        <v>31</v>
      </c>
      <c r="G75" s="10">
        <v>0</v>
      </c>
      <c r="H75" s="10">
        <f t="shared" si="6"/>
        <v>113669166.48036329</v>
      </c>
      <c r="I75" s="36">
        <f t="shared" si="7"/>
        <v>-5652539.5196367055</v>
      </c>
      <c r="J75" s="5">
        <f t="shared" si="5"/>
        <v>-4.7372265358297055E-2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>
      <c r="A76" s="3">
        <v>39845</v>
      </c>
      <c r="B76" s="38">
        <v>99385016</v>
      </c>
      <c r="C76" s="97">
        <v>595.29999999999995</v>
      </c>
      <c r="D76" s="97">
        <v>0</v>
      </c>
      <c r="E76" s="103">
        <f>+E75</f>
        <v>8.5000000000000006E-2</v>
      </c>
      <c r="F76" s="10">
        <v>28</v>
      </c>
      <c r="G76" s="10">
        <v>0</v>
      </c>
      <c r="H76" s="10">
        <f t="shared" si="6"/>
        <v>101591938.19047095</v>
      </c>
      <c r="I76" s="36">
        <f t="shared" si="7"/>
        <v>2206922.1904709488</v>
      </c>
      <c r="J76" s="5">
        <f t="shared" si="5"/>
        <v>2.2205783922909957E-2</v>
      </c>
      <c r="T76"/>
    </row>
    <row r="77" spans="1:36">
      <c r="A77" s="3">
        <v>39873</v>
      </c>
      <c r="B77" s="38">
        <v>100852310</v>
      </c>
      <c r="C77" s="97">
        <v>442.2</v>
      </c>
      <c r="D77" s="97">
        <v>0</v>
      </c>
      <c r="E77" s="103">
        <f>+E76</f>
        <v>8.5000000000000006E-2</v>
      </c>
      <c r="F77" s="10">
        <v>31</v>
      </c>
      <c r="G77" s="10">
        <v>1</v>
      </c>
      <c r="H77" s="10">
        <f t="shared" si="6"/>
        <v>96719238.894261658</v>
      </c>
      <c r="I77" s="36">
        <f t="shared" si="7"/>
        <v>-4133071.1057383418</v>
      </c>
      <c r="J77" s="5">
        <f t="shared" si="5"/>
        <v>-4.0981422297003828E-2</v>
      </c>
      <c r="T77"/>
    </row>
    <row r="78" spans="1:36">
      <c r="A78" s="3">
        <v>39904</v>
      </c>
      <c r="B78" s="38">
        <v>86741668</v>
      </c>
      <c r="C78" s="97">
        <v>313.8</v>
      </c>
      <c r="D78" s="97">
        <v>0</v>
      </c>
      <c r="E78" s="103">
        <f>+'Economic Indices'!C40</f>
        <v>8.6999999999999994E-2</v>
      </c>
      <c r="F78" s="10">
        <v>30</v>
      </c>
      <c r="G78" s="10">
        <v>1</v>
      </c>
      <c r="H78" s="10">
        <f t="shared" si="6"/>
        <v>88471212.388548374</v>
      </c>
      <c r="I78" s="36">
        <f t="shared" si="7"/>
        <v>1729544.3885483742</v>
      </c>
      <c r="J78" s="5">
        <f t="shared" si="5"/>
        <v>1.9939026173077214E-2</v>
      </c>
      <c r="T78"/>
    </row>
    <row r="79" spans="1:36">
      <c r="A79" s="3">
        <v>39934</v>
      </c>
      <c r="B79" s="38">
        <v>80591893.384615391</v>
      </c>
      <c r="C79" s="97">
        <v>170.1</v>
      </c>
      <c r="D79" s="97">
        <v>0</v>
      </c>
      <c r="E79" s="103">
        <f>+E78</f>
        <v>8.6999999999999994E-2</v>
      </c>
      <c r="F79" s="10">
        <v>31</v>
      </c>
      <c r="G79" s="10">
        <v>1</v>
      </c>
      <c r="H79" s="10">
        <f t="shared" si="6"/>
        <v>85535728.668332428</v>
      </c>
      <c r="I79" s="36">
        <f t="shared" si="7"/>
        <v>4943835.2837170362</v>
      </c>
      <c r="J79" s="5">
        <f t="shared" si="5"/>
        <v>6.1344076632163985E-2</v>
      </c>
      <c r="T79"/>
    </row>
    <row r="80" spans="1:36">
      <c r="A80" s="3">
        <v>39965</v>
      </c>
      <c r="B80" s="38">
        <v>84198050.923076928</v>
      </c>
      <c r="C80" s="97">
        <v>57.9</v>
      </c>
      <c r="D80" s="97">
        <v>26.3</v>
      </c>
      <c r="E80" s="103">
        <f>+E79</f>
        <v>8.6999999999999994E-2</v>
      </c>
      <c r="F80" s="10">
        <v>30</v>
      </c>
      <c r="G80" s="10">
        <v>0</v>
      </c>
      <c r="H80" s="10">
        <f t="shared" si="6"/>
        <v>89118401.658641085</v>
      </c>
      <c r="I80" s="36">
        <f t="shared" si="7"/>
        <v>4920350.7355641574</v>
      </c>
      <c r="J80" s="5">
        <f t="shared" si="5"/>
        <v>5.8437822272862046E-2</v>
      </c>
      <c r="T80"/>
    </row>
    <row r="81" spans="1:20">
      <c r="A81" s="3">
        <v>39995</v>
      </c>
      <c r="B81" s="38">
        <v>87831701.059230775</v>
      </c>
      <c r="C81" s="97">
        <v>16.8</v>
      </c>
      <c r="D81" s="97">
        <v>25.6</v>
      </c>
      <c r="E81" s="103">
        <f>+'Economic Indices'!C41</f>
        <v>9.1999999999999998E-2</v>
      </c>
      <c r="F81" s="10">
        <v>31</v>
      </c>
      <c r="G81" s="10">
        <v>0</v>
      </c>
      <c r="H81" s="10">
        <f t="shared" si="6"/>
        <v>89559767.631675959</v>
      </c>
      <c r="I81" s="36">
        <f t="shared" si="7"/>
        <v>1728066.572445184</v>
      </c>
      <c r="J81" s="5">
        <f t="shared" si="5"/>
        <v>1.9674747859885277E-2</v>
      </c>
      <c r="T81"/>
    </row>
    <row r="82" spans="1:20">
      <c r="A82" s="3">
        <v>40026</v>
      </c>
      <c r="B82" s="38">
        <v>97879755</v>
      </c>
      <c r="C82" s="97">
        <v>13.1</v>
      </c>
      <c r="D82" s="97">
        <v>77.7</v>
      </c>
      <c r="E82" s="103">
        <f>+E81</f>
        <v>9.1999999999999998E-2</v>
      </c>
      <c r="F82" s="10">
        <v>31</v>
      </c>
      <c r="G82" s="10">
        <v>0</v>
      </c>
      <c r="H82" s="10">
        <f t="shared" si="6"/>
        <v>96728091.924134597</v>
      </c>
      <c r="I82" s="36">
        <f t="shared" si="7"/>
        <v>-1151663.0758654028</v>
      </c>
      <c r="J82" s="5">
        <f t="shared" si="5"/>
        <v>-1.1766100925215871E-2</v>
      </c>
      <c r="T82"/>
    </row>
    <row r="83" spans="1:20">
      <c r="A83" s="3">
        <v>40057</v>
      </c>
      <c r="B83" s="38">
        <v>83907661.687692314</v>
      </c>
      <c r="C83" s="97">
        <v>64.8</v>
      </c>
      <c r="D83" s="97">
        <v>9</v>
      </c>
      <c r="E83" s="103">
        <f>+E82</f>
        <v>9.1999999999999998E-2</v>
      </c>
      <c r="F83" s="10">
        <v>30</v>
      </c>
      <c r="G83" s="10">
        <v>1</v>
      </c>
      <c r="H83" s="10">
        <f t="shared" si="6"/>
        <v>79092458.754431084</v>
      </c>
      <c r="I83" s="36">
        <f t="shared" si="7"/>
        <v>-4815202.9332612306</v>
      </c>
      <c r="J83" s="5">
        <f t="shared" si="5"/>
        <v>-5.7386927920642206E-2</v>
      </c>
      <c r="T83"/>
    </row>
    <row r="84" spans="1:20">
      <c r="A84" s="3">
        <v>40087</v>
      </c>
      <c r="B84" s="38">
        <v>88097164.336923078</v>
      </c>
      <c r="C84" s="97">
        <v>287.89999999999998</v>
      </c>
      <c r="D84" s="97">
        <v>0</v>
      </c>
      <c r="E84" s="103">
        <f>+'Economic Indices'!C42</f>
        <v>9.9000000000000005E-2</v>
      </c>
      <c r="F84" s="10">
        <v>31</v>
      </c>
      <c r="G84" s="10">
        <v>1</v>
      </c>
      <c r="H84" s="10">
        <f t="shared" si="6"/>
        <v>88718829.032090873</v>
      </c>
      <c r="I84" s="36">
        <f t="shared" si="7"/>
        <v>621664.69516779482</v>
      </c>
      <c r="J84" s="5">
        <f t="shared" si="5"/>
        <v>7.0565800823085539E-3</v>
      </c>
      <c r="T84"/>
    </row>
    <row r="85" spans="1:20">
      <c r="A85" s="3">
        <v>40118</v>
      </c>
      <c r="B85" s="38">
        <v>89873866.688461557</v>
      </c>
      <c r="C85" s="97">
        <v>347.4</v>
      </c>
      <c r="D85" s="97">
        <v>0</v>
      </c>
      <c r="E85" s="103">
        <f>+E84</f>
        <v>9.9000000000000005E-2</v>
      </c>
      <c r="F85" s="10">
        <v>30</v>
      </c>
      <c r="G85" s="10">
        <v>1</v>
      </c>
      <c r="H85" s="10">
        <f t="shared" si="6"/>
        <v>88273413.291173413</v>
      </c>
      <c r="I85" s="36">
        <f t="shared" si="7"/>
        <v>-1600453.3972881436</v>
      </c>
      <c r="J85" s="5">
        <f t="shared" si="5"/>
        <v>-1.7807772784895853E-2</v>
      </c>
      <c r="T85"/>
    </row>
    <row r="86" spans="1:20" s="31" customFormat="1">
      <c r="A86" s="3">
        <v>40148</v>
      </c>
      <c r="B86" s="38">
        <v>109709991.43076923</v>
      </c>
      <c r="C86" s="97">
        <v>619.1</v>
      </c>
      <c r="D86" s="97">
        <v>0</v>
      </c>
      <c r="E86" s="103">
        <f>+E85</f>
        <v>9.9000000000000005E-2</v>
      </c>
      <c r="F86" s="10">
        <v>31</v>
      </c>
      <c r="G86" s="10">
        <v>0</v>
      </c>
      <c r="H86" s="10">
        <f t="shared" si="6"/>
        <v>109246406.76055576</v>
      </c>
      <c r="I86" s="36">
        <f t="shared" si="7"/>
        <v>-463584.67021347582</v>
      </c>
      <c r="J86" s="5">
        <f t="shared" si="5"/>
        <v>-4.2255464991628735E-3</v>
      </c>
      <c r="K86"/>
      <c r="L86"/>
      <c r="M86"/>
      <c r="N86"/>
      <c r="O86"/>
      <c r="P86"/>
      <c r="Q86"/>
      <c r="R86"/>
      <c r="S86"/>
      <c r="T86"/>
    </row>
    <row r="87" spans="1:20">
      <c r="A87" s="3">
        <v>40179</v>
      </c>
      <c r="B87" s="38">
        <v>114148404.02769232</v>
      </c>
      <c r="C87" s="97">
        <v>699.9</v>
      </c>
      <c r="D87" s="97">
        <v>0</v>
      </c>
      <c r="E87" s="103">
        <f>+'Economic Indices'!C43</f>
        <v>0.10300000000000001</v>
      </c>
      <c r="F87" s="10">
        <v>31</v>
      </c>
      <c r="G87" s="10">
        <v>0</v>
      </c>
      <c r="H87" s="10">
        <f t="shared" si="6"/>
        <v>111975136.46556638</v>
      </c>
      <c r="I87" s="36">
        <f t="shared" si="7"/>
        <v>-2173267.5621259362</v>
      </c>
      <c r="J87" s="5">
        <f t="shared" si="5"/>
        <v>-1.9038965815051632E-2</v>
      </c>
      <c r="T87"/>
    </row>
    <row r="88" spans="1:20">
      <c r="A88" s="3">
        <v>40210</v>
      </c>
      <c r="B88" s="38">
        <v>100280891.65769231</v>
      </c>
      <c r="C88" s="97">
        <v>583.79999999999995</v>
      </c>
      <c r="D88" s="97">
        <v>0</v>
      </c>
      <c r="E88" s="103">
        <f>+E87</f>
        <v>0.10300000000000001</v>
      </c>
      <c r="F88" s="10">
        <v>28</v>
      </c>
      <c r="G88" s="10">
        <v>0</v>
      </c>
      <c r="H88" s="10">
        <f t="shared" si="6"/>
        <v>98809756.448872194</v>
      </c>
      <c r="I88" s="36">
        <f t="shared" si="7"/>
        <v>-1471135.2088201195</v>
      </c>
      <c r="J88" s="5">
        <f t="shared" si="5"/>
        <v>-1.467014487507573E-2</v>
      </c>
      <c r="T88"/>
    </row>
    <row r="89" spans="1:20">
      <c r="A89" s="3">
        <v>40238</v>
      </c>
      <c r="B89" s="38">
        <v>95443611.384615391</v>
      </c>
      <c r="C89" s="97">
        <v>411</v>
      </c>
      <c r="D89" s="97">
        <v>0</v>
      </c>
      <c r="E89" s="103">
        <f>+E88</f>
        <v>0.10300000000000001</v>
      </c>
      <c r="F89" s="10">
        <v>31</v>
      </c>
      <c r="G89" s="10">
        <v>1</v>
      </c>
      <c r="H89" s="10">
        <f t="shared" si="6"/>
        <v>93146039.107718393</v>
      </c>
      <c r="I89" s="36">
        <f t="shared" si="7"/>
        <v>-2297572.2768969983</v>
      </c>
      <c r="J89" s="5">
        <f t="shared" si="5"/>
        <v>-2.407256225498761E-2</v>
      </c>
      <c r="T89"/>
    </row>
    <row r="90" spans="1:20">
      <c r="A90" s="3">
        <v>40269</v>
      </c>
      <c r="B90" s="38">
        <v>80941805.90538463</v>
      </c>
      <c r="C90" s="97">
        <v>244</v>
      </c>
      <c r="D90" s="97">
        <v>0</v>
      </c>
      <c r="E90" s="103">
        <f>+'Economic Indices'!C44</f>
        <v>9.9000000000000005E-2</v>
      </c>
      <c r="F90" s="10">
        <v>30</v>
      </c>
      <c r="G90" s="10">
        <v>1</v>
      </c>
      <c r="H90" s="10">
        <f t="shared" si="6"/>
        <v>84121572.38522099</v>
      </c>
      <c r="I90" s="36">
        <f t="shared" si="7"/>
        <v>3179766.4798363596</v>
      </c>
      <c r="J90" s="5">
        <f t="shared" si="5"/>
        <v>3.9284600142888912E-2</v>
      </c>
      <c r="T90"/>
    </row>
    <row r="91" spans="1:20">
      <c r="A91" s="3">
        <v>40299</v>
      </c>
      <c r="B91" s="38">
        <v>87418768.25846155</v>
      </c>
      <c r="C91" s="97">
        <v>121.7</v>
      </c>
      <c r="D91" s="97">
        <v>23.2</v>
      </c>
      <c r="E91" s="103">
        <f>+E90</f>
        <v>9.9000000000000005E-2</v>
      </c>
      <c r="F91" s="10">
        <v>31</v>
      </c>
      <c r="G91" s="10">
        <v>1</v>
      </c>
      <c r="H91" s="10">
        <f t="shared" si="6"/>
        <v>85303560.51495561</v>
      </c>
      <c r="I91" s="36">
        <f t="shared" si="7"/>
        <v>-2115207.7435059398</v>
      </c>
      <c r="J91" s="5">
        <f t="shared" si="5"/>
        <v>-2.4196265694937904E-2</v>
      </c>
      <c r="T91"/>
    </row>
    <row r="92" spans="1:20">
      <c r="A92" s="3">
        <v>40330</v>
      </c>
      <c r="B92" s="38">
        <v>89087288.937692314</v>
      </c>
      <c r="C92" s="97">
        <v>19.399999999999999</v>
      </c>
      <c r="D92" s="97">
        <v>46.6</v>
      </c>
      <c r="E92" s="103">
        <f>+E91</f>
        <v>9.9000000000000005E-2</v>
      </c>
      <c r="F92" s="10">
        <v>30</v>
      </c>
      <c r="G92" s="10">
        <v>0</v>
      </c>
      <c r="H92" s="10">
        <f t="shared" si="6"/>
        <v>88876476.017176658</v>
      </c>
      <c r="I92" s="36">
        <f t="shared" si="7"/>
        <v>-210812.92051565647</v>
      </c>
      <c r="J92" s="5">
        <f t="shared" si="5"/>
        <v>-2.3663636308777912E-3</v>
      </c>
      <c r="T92"/>
    </row>
    <row r="93" spans="1:20">
      <c r="A93" s="3">
        <v>40360</v>
      </c>
      <c r="B93" s="38">
        <v>107904059.08</v>
      </c>
      <c r="C93" s="97">
        <v>3.5</v>
      </c>
      <c r="D93" s="97">
        <v>124</v>
      </c>
      <c r="E93" s="103">
        <f>+'Economic Indices'!C45</f>
        <v>0.10400000000000001</v>
      </c>
      <c r="F93" s="10">
        <v>31</v>
      </c>
      <c r="G93" s="10">
        <v>0</v>
      </c>
      <c r="H93" s="10">
        <f t="shared" si="6"/>
        <v>101298017.36815929</v>
      </c>
      <c r="I93" s="36">
        <f t="shared" si="7"/>
        <v>-6606041.7118407041</v>
      </c>
      <c r="J93" s="5">
        <f t="shared" si="5"/>
        <v>-6.1221438453422677E-2</v>
      </c>
      <c r="T93"/>
    </row>
    <row r="94" spans="1:20">
      <c r="A94" s="3">
        <v>40391</v>
      </c>
      <c r="B94" s="38">
        <v>102274426.19461538</v>
      </c>
      <c r="C94" s="97">
        <v>3.2</v>
      </c>
      <c r="D94" s="97">
        <v>96.8</v>
      </c>
      <c r="E94" s="103">
        <f>+E93</f>
        <v>0.10400000000000001</v>
      </c>
      <c r="F94" s="10">
        <v>31</v>
      </c>
      <c r="G94" s="10">
        <v>0</v>
      </c>
      <c r="H94" s="10">
        <f t="shared" si="6"/>
        <v>97466020.566853017</v>
      </c>
      <c r="I94" s="36">
        <f t="shared" si="7"/>
        <v>-4808405.6277623624</v>
      </c>
      <c r="J94" s="5">
        <f t="shared" ref="J94:J125" si="8">I94/B94</f>
        <v>-4.7014740699816503E-2</v>
      </c>
      <c r="T94"/>
    </row>
    <row r="95" spans="1:20">
      <c r="A95" s="3">
        <v>40422</v>
      </c>
      <c r="B95" s="38">
        <v>83491002.500769228</v>
      </c>
      <c r="C95" s="97">
        <v>85.5</v>
      </c>
      <c r="D95" s="97">
        <v>18.5</v>
      </c>
      <c r="E95" s="103">
        <f>+E94</f>
        <v>0.10400000000000001</v>
      </c>
      <c r="F95" s="10">
        <v>30</v>
      </c>
      <c r="G95" s="10">
        <v>1</v>
      </c>
      <c r="H95" s="10">
        <f t="shared" si="6"/>
        <v>79710857.380865946</v>
      </c>
      <c r="I95" s="36">
        <f t="shared" si="7"/>
        <v>-3780145.1199032813</v>
      </c>
      <c r="J95" s="5">
        <f t="shared" si="8"/>
        <v>-4.5276077741053043E-2</v>
      </c>
      <c r="T95"/>
    </row>
    <row r="96" spans="1:20">
      <c r="A96" s="3">
        <v>40452</v>
      </c>
      <c r="B96" s="38">
        <v>84900189.230769232</v>
      </c>
      <c r="C96" s="97">
        <v>247.8</v>
      </c>
      <c r="D96" s="97">
        <v>0</v>
      </c>
      <c r="E96" s="103">
        <f>+'Economic Indices'!C46</f>
        <v>9.3000000000000013E-2</v>
      </c>
      <c r="F96" s="10">
        <v>31</v>
      </c>
      <c r="G96" s="10">
        <v>1</v>
      </c>
      <c r="H96" s="10">
        <f t="shared" si="6"/>
        <v>87882159.014930263</v>
      </c>
      <c r="I96" s="36">
        <f t="shared" si="7"/>
        <v>2981969.7841610312</v>
      </c>
      <c r="J96" s="5">
        <f t="shared" si="8"/>
        <v>3.5123240727481395E-2</v>
      </c>
      <c r="T96"/>
    </row>
    <row r="97" spans="1:20">
      <c r="A97" s="3">
        <v>40483</v>
      </c>
      <c r="B97" s="38">
        <v>91736751.63692309</v>
      </c>
      <c r="C97" s="97">
        <v>389.2</v>
      </c>
      <c r="D97" s="97">
        <v>0</v>
      </c>
      <c r="E97" s="103">
        <f>+E96</f>
        <v>9.3000000000000013E-2</v>
      </c>
      <c r="F97" s="10">
        <v>30</v>
      </c>
      <c r="G97" s="10">
        <v>1</v>
      </c>
      <c r="H97" s="10">
        <f t="shared" si="6"/>
        <v>90725290.374568939</v>
      </c>
      <c r="I97" s="36">
        <f t="shared" si="7"/>
        <v>-1011461.2623541504</v>
      </c>
      <c r="J97" s="5">
        <f t="shared" si="8"/>
        <v>-1.1025693021672764E-2</v>
      </c>
      <c r="T97"/>
    </row>
    <row r="98" spans="1:20">
      <c r="A98" s="3">
        <v>40513</v>
      </c>
      <c r="B98" s="38">
        <v>110862133</v>
      </c>
      <c r="C98" s="97">
        <v>628.70000000000005</v>
      </c>
      <c r="D98" s="97">
        <v>0</v>
      </c>
      <c r="E98" s="103">
        <f>+E97</f>
        <v>9.3000000000000013E-2</v>
      </c>
      <c r="F98" s="10">
        <v>31</v>
      </c>
      <c r="G98" s="10">
        <v>0</v>
      </c>
      <c r="H98" s="10">
        <f t="shared" si="6"/>
        <v>110405350.7958694</v>
      </c>
      <c r="I98" s="36">
        <f t="shared" si="7"/>
        <v>-456782.20413060486</v>
      </c>
      <c r="J98" s="5">
        <f t="shared" si="8"/>
        <v>-4.1202725562803745E-3</v>
      </c>
      <c r="T98"/>
    </row>
    <row r="99" spans="1:20">
      <c r="A99" s="3">
        <v>40544</v>
      </c>
      <c r="B99" s="105">
        <v>113644387.32076925</v>
      </c>
      <c r="C99" s="175">
        <v>760.9</v>
      </c>
      <c r="D99" s="175">
        <v>0</v>
      </c>
      <c r="E99" s="103">
        <f>+'Economic Indices'!C47</f>
        <v>8.6999999999999994E-2</v>
      </c>
      <c r="F99" s="47">
        <v>31</v>
      </c>
      <c r="G99" s="10">
        <v>0</v>
      </c>
      <c r="H99" s="10">
        <f t="shared" si="6"/>
        <v>116487077.18195447</v>
      </c>
      <c r="I99" s="36">
        <f t="shared" ref="I99:I130" si="9">H99-B99</f>
        <v>2842689.8611852229</v>
      </c>
      <c r="J99" s="5">
        <f t="shared" si="8"/>
        <v>2.5013904586079834E-2</v>
      </c>
      <c r="T99"/>
    </row>
    <row r="100" spans="1:20">
      <c r="A100" s="3">
        <v>40575</v>
      </c>
      <c r="B100" s="105">
        <v>100561048.38461539</v>
      </c>
      <c r="C100" s="175">
        <v>634.19999999999993</v>
      </c>
      <c r="D100" s="175">
        <v>0</v>
      </c>
      <c r="E100" s="103">
        <f>+E99</f>
        <v>8.6999999999999994E-2</v>
      </c>
      <c r="F100" s="47">
        <v>28</v>
      </c>
      <c r="G100" s="10">
        <v>0</v>
      </c>
      <c r="H100" s="10">
        <f t="shared" si="6"/>
        <v>102896073.24259979</v>
      </c>
      <c r="I100" s="36">
        <f t="shared" si="9"/>
        <v>2335024.8579843938</v>
      </c>
      <c r="J100" s="5">
        <f t="shared" si="8"/>
        <v>2.3219973294765529E-2</v>
      </c>
      <c r="T100"/>
    </row>
    <row r="101" spans="1:20">
      <c r="A101" s="3">
        <v>40603</v>
      </c>
      <c r="B101" s="105">
        <v>102613396.81846155</v>
      </c>
      <c r="C101" s="175">
        <v>559.80000000000007</v>
      </c>
      <c r="D101" s="175">
        <v>0</v>
      </c>
      <c r="E101" s="103">
        <f>+E100</f>
        <v>8.6999999999999994E-2</v>
      </c>
      <c r="F101" s="47">
        <v>31</v>
      </c>
      <c r="G101" s="10">
        <v>1</v>
      </c>
      <c r="H101" s="10">
        <f t="shared" si="6"/>
        <v>101183430.80614345</v>
      </c>
      <c r="I101" s="36">
        <f t="shared" si="9"/>
        <v>-1429966.0123181045</v>
      </c>
      <c r="J101" s="5">
        <f t="shared" si="8"/>
        <v>-1.3935470968258933E-2</v>
      </c>
      <c r="T101"/>
    </row>
    <row r="102" spans="1:20">
      <c r="A102" s="3">
        <v>40634</v>
      </c>
      <c r="B102" s="105">
        <v>87015565.163076922</v>
      </c>
      <c r="C102" s="175">
        <v>350.79999999999995</v>
      </c>
      <c r="D102" s="175">
        <v>0</v>
      </c>
      <c r="E102" s="103">
        <f>+'Economic Indices'!C48</f>
        <v>9.3000000000000013E-2</v>
      </c>
      <c r="F102" s="47">
        <v>30</v>
      </c>
      <c r="G102" s="10">
        <v>1</v>
      </c>
      <c r="H102" s="10">
        <f t="shared" si="6"/>
        <v>89183407.484930903</v>
      </c>
      <c r="I102" s="36">
        <f t="shared" si="9"/>
        <v>2167842.3218539804</v>
      </c>
      <c r="J102" s="5">
        <f t="shared" si="8"/>
        <v>2.4913270606140417E-2</v>
      </c>
      <c r="T102"/>
    </row>
    <row r="103" spans="1:20">
      <c r="A103" s="3">
        <v>40664</v>
      </c>
      <c r="B103" s="105">
        <v>82921009.75</v>
      </c>
      <c r="C103" s="175">
        <v>157.69999999999996</v>
      </c>
      <c r="D103" s="175">
        <v>2.8</v>
      </c>
      <c r="E103" s="103">
        <f>+E102</f>
        <v>9.3000000000000013E-2</v>
      </c>
      <c r="F103" s="47">
        <v>31</v>
      </c>
      <c r="G103" s="10">
        <v>1</v>
      </c>
      <c r="H103" s="10">
        <f t="shared" si="6"/>
        <v>84657585.905972138</v>
      </c>
      <c r="I103" s="36">
        <f t="shared" si="9"/>
        <v>1736576.155972138</v>
      </c>
      <c r="J103" s="5">
        <f t="shared" si="8"/>
        <v>2.094253508498958E-2</v>
      </c>
      <c r="T103"/>
    </row>
    <row r="104" spans="1:20">
      <c r="A104" s="3">
        <v>40695</v>
      </c>
      <c r="B104" s="105">
        <v>88149132.009230778</v>
      </c>
      <c r="C104" s="175">
        <v>26.699999999999996</v>
      </c>
      <c r="D104" s="175">
        <v>36.900000000000006</v>
      </c>
      <c r="E104" s="103">
        <f>+E103</f>
        <v>9.3000000000000013E-2</v>
      </c>
      <c r="F104" s="47">
        <v>30</v>
      </c>
      <c r="G104" s="10">
        <v>0</v>
      </c>
      <c r="H104" s="10">
        <f t="shared" si="6"/>
        <v>88580805.811032832</v>
      </c>
      <c r="I104" s="36">
        <f t="shared" si="9"/>
        <v>431673.80180205405</v>
      </c>
      <c r="J104" s="5">
        <f t="shared" si="8"/>
        <v>4.897085109775671E-3</v>
      </c>
      <c r="T104"/>
    </row>
    <row r="105" spans="1:20">
      <c r="A105" s="3">
        <v>40725</v>
      </c>
      <c r="B105" s="105">
        <v>108927664.71923079</v>
      </c>
      <c r="C105" s="175">
        <v>0.2</v>
      </c>
      <c r="D105" s="175">
        <v>141.19999999999999</v>
      </c>
      <c r="E105" s="103">
        <f>+'Economic Indices'!C49</f>
        <v>7.0999999999999994E-2</v>
      </c>
      <c r="F105" s="47">
        <v>31</v>
      </c>
      <c r="G105" s="10">
        <v>0</v>
      </c>
      <c r="H105" s="10">
        <f t="shared" si="6"/>
        <v>107835172.17790563</v>
      </c>
      <c r="I105" s="36">
        <f t="shared" si="9"/>
        <v>-1092492.5413251519</v>
      </c>
      <c r="J105" s="5">
        <f t="shared" si="8"/>
        <v>-1.0029523208278938E-2</v>
      </c>
      <c r="T105"/>
    </row>
    <row r="106" spans="1:20">
      <c r="A106" s="3">
        <v>40756</v>
      </c>
      <c r="B106" s="105">
        <v>100307973.92692308</v>
      </c>
      <c r="C106" s="175">
        <v>3.7</v>
      </c>
      <c r="D106" s="175">
        <v>80.499999999999957</v>
      </c>
      <c r="E106" s="103">
        <f>+E105</f>
        <v>7.0999999999999994E-2</v>
      </c>
      <c r="F106" s="47">
        <v>31</v>
      </c>
      <c r="G106" s="10">
        <v>0</v>
      </c>
      <c r="H106" s="10">
        <f t="shared" si="6"/>
        <v>99451038.670595825</v>
      </c>
      <c r="I106" s="36">
        <f t="shared" si="9"/>
        <v>-856935.25632725656</v>
      </c>
      <c r="J106" s="5">
        <f t="shared" si="8"/>
        <v>-8.5430422206668813E-3</v>
      </c>
      <c r="T106"/>
    </row>
    <row r="107" spans="1:20">
      <c r="A107" s="3">
        <v>40787</v>
      </c>
      <c r="B107" s="105">
        <v>85805170.040769234</v>
      </c>
      <c r="C107" s="175">
        <v>48.900000000000006</v>
      </c>
      <c r="D107" s="175">
        <v>34.6</v>
      </c>
      <c r="E107" s="103">
        <f>+E106</f>
        <v>7.0999999999999994E-2</v>
      </c>
      <c r="F107" s="47">
        <v>30</v>
      </c>
      <c r="G107" s="10">
        <v>1</v>
      </c>
      <c r="H107" s="10">
        <f t="shared" si="6"/>
        <v>84756427.316175103</v>
      </c>
      <c r="I107" s="36">
        <f t="shared" si="9"/>
        <v>-1048742.7245941311</v>
      </c>
      <c r="J107" s="5">
        <f t="shared" si="8"/>
        <v>-1.2222372196172263E-2</v>
      </c>
      <c r="T107"/>
    </row>
    <row r="108" spans="1:20">
      <c r="A108" s="3">
        <v>40817</v>
      </c>
      <c r="B108" s="105">
        <v>85767949.723076925</v>
      </c>
      <c r="C108" s="175">
        <v>225.29999999999998</v>
      </c>
      <c r="D108" s="175">
        <v>0</v>
      </c>
      <c r="E108" s="103">
        <f>+'Economic Indices'!C50</f>
        <v>7.400000000000001E-2</v>
      </c>
      <c r="F108" s="47">
        <v>31</v>
      </c>
      <c r="G108" s="10">
        <v>1</v>
      </c>
      <c r="H108" s="10">
        <f t="shared" si="6"/>
        <v>89428044.166812688</v>
      </c>
      <c r="I108" s="36">
        <f t="shared" si="9"/>
        <v>3660094.4437357634</v>
      </c>
      <c r="J108" s="5">
        <f t="shared" si="8"/>
        <v>4.2674384260709103E-2</v>
      </c>
      <c r="T108"/>
    </row>
    <row r="109" spans="1:20">
      <c r="A109" s="3">
        <v>40848</v>
      </c>
      <c r="B109" s="105">
        <v>89407468.154615387</v>
      </c>
      <c r="C109" s="175">
        <v>349.69999999999993</v>
      </c>
      <c r="D109" s="175">
        <v>0</v>
      </c>
      <c r="E109" s="103">
        <f>+E108</f>
        <v>7.400000000000001E-2</v>
      </c>
      <c r="F109" s="47">
        <v>30</v>
      </c>
      <c r="G109" s="10">
        <v>1</v>
      </c>
      <c r="H109" s="10">
        <f t="shared" si="6"/>
        <v>91588571.122184515</v>
      </c>
      <c r="I109" s="36">
        <f t="shared" si="9"/>
        <v>2181102.9675691277</v>
      </c>
      <c r="J109" s="5">
        <f t="shared" si="8"/>
        <v>2.4395087039007432E-2</v>
      </c>
      <c r="T109"/>
    </row>
    <row r="110" spans="1:20">
      <c r="A110" s="3">
        <v>40878</v>
      </c>
      <c r="B110" s="105">
        <v>103511621.38461539</v>
      </c>
      <c r="C110" s="175">
        <v>531.20000000000005</v>
      </c>
      <c r="D110" s="175">
        <v>0</v>
      </c>
      <c r="E110" s="103">
        <f>+E109</f>
        <v>7.400000000000001E-2</v>
      </c>
      <c r="F110" s="47">
        <v>31</v>
      </c>
      <c r="G110" s="10">
        <v>0</v>
      </c>
      <c r="H110" s="10">
        <f t="shared" si="6"/>
        <v>108939745.92892753</v>
      </c>
      <c r="I110" s="36">
        <f t="shared" si="9"/>
        <v>5428124.5443121344</v>
      </c>
      <c r="J110" s="5">
        <f t="shared" si="8"/>
        <v>5.2439759629916295E-2</v>
      </c>
      <c r="T110"/>
    </row>
    <row r="111" spans="1:20">
      <c r="A111" s="3">
        <v>40909</v>
      </c>
      <c r="B111" s="105">
        <v>107982172.33461541</v>
      </c>
      <c r="C111" s="175">
        <v>611</v>
      </c>
      <c r="D111" s="175">
        <v>0</v>
      </c>
      <c r="E111" s="103">
        <f>+'Economic Indices'!C51</f>
        <v>0.08</v>
      </c>
      <c r="F111" s="10">
        <v>31</v>
      </c>
      <c r="G111" s="10">
        <v>0</v>
      </c>
      <c r="H111" s="10">
        <f t="shared" si="6"/>
        <v>111370497.99605244</v>
      </c>
      <c r="I111" s="36">
        <f t="shared" si="9"/>
        <v>3388325.6614370346</v>
      </c>
      <c r="J111" s="5">
        <f t="shared" si="8"/>
        <v>3.1378565444463213E-2</v>
      </c>
      <c r="T111"/>
    </row>
    <row r="112" spans="1:20">
      <c r="A112" s="3">
        <v>40940</v>
      </c>
      <c r="B112" s="105">
        <v>97310518.529230773</v>
      </c>
      <c r="C112" s="175">
        <v>536.20000000000005</v>
      </c>
      <c r="D112" s="175">
        <v>0</v>
      </c>
      <c r="E112" s="103">
        <f>+E111</f>
        <v>0.08</v>
      </c>
      <c r="F112" s="10">
        <v>29</v>
      </c>
      <c r="G112" s="10">
        <v>0</v>
      </c>
      <c r="H112" s="10">
        <f t="shared" si="6"/>
        <v>102697976.30557558</v>
      </c>
      <c r="I112" s="36">
        <f t="shared" si="9"/>
        <v>5387457.776344806</v>
      </c>
      <c r="J112" s="5">
        <f t="shared" si="8"/>
        <v>5.5363570740058134E-2</v>
      </c>
      <c r="T112"/>
    </row>
    <row r="113" spans="1:20">
      <c r="A113" s="3">
        <v>40969</v>
      </c>
      <c r="B113" s="105">
        <v>92940593.720769227</v>
      </c>
      <c r="C113" s="175">
        <v>399.39999999999992</v>
      </c>
      <c r="D113" s="175">
        <v>0</v>
      </c>
      <c r="E113" s="103">
        <f>+E112</f>
        <v>0.08</v>
      </c>
      <c r="F113" s="10">
        <v>31</v>
      </c>
      <c r="G113" s="10">
        <v>1</v>
      </c>
      <c r="H113" s="10">
        <f t="shared" si="6"/>
        <v>95645243.01760602</v>
      </c>
      <c r="I113" s="36">
        <f t="shared" si="9"/>
        <v>2704649.2968367934</v>
      </c>
      <c r="J113" s="5">
        <f t="shared" si="8"/>
        <v>2.9100839456251412E-2</v>
      </c>
      <c r="T113"/>
    </row>
    <row r="114" spans="1:20">
      <c r="A114" s="3">
        <v>41000</v>
      </c>
      <c r="B114" s="105">
        <v>84061512.170000002</v>
      </c>
      <c r="C114" s="175">
        <v>336.89999999999992</v>
      </c>
      <c r="D114" s="175">
        <v>0</v>
      </c>
      <c r="E114" s="103">
        <f>+'Economic Indices'!C52</f>
        <v>8.4000000000000005E-2</v>
      </c>
      <c r="F114" s="10">
        <v>30</v>
      </c>
      <c r="G114" s="10">
        <v>1</v>
      </c>
      <c r="H114" s="10">
        <f t="shared" si="6"/>
        <v>89785487.970798314</v>
      </c>
      <c r="I114" s="36">
        <f t="shared" si="9"/>
        <v>5723975.8007983118</v>
      </c>
      <c r="J114" s="5">
        <f t="shared" si="8"/>
        <v>6.8092705603755396E-2</v>
      </c>
      <c r="T114"/>
    </row>
    <row r="115" spans="1:20">
      <c r="A115" s="3">
        <v>41030</v>
      </c>
      <c r="B115" s="105">
        <v>84298340.921818167</v>
      </c>
      <c r="C115" s="175">
        <v>109.30000000000001</v>
      </c>
      <c r="D115" s="175">
        <v>21.8</v>
      </c>
      <c r="E115" s="103">
        <f>+E114</f>
        <v>8.4000000000000005E-2</v>
      </c>
      <c r="F115" s="10">
        <v>31</v>
      </c>
      <c r="G115" s="10">
        <v>1</v>
      </c>
      <c r="H115" s="10">
        <f t="shared" si="6"/>
        <v>86542728.997275561</v>
      </c>
      <c r="I115" s="36">
        <f t="shared" si="9"/>
        <v>2244388.0754573941</v>
      </c>
      <c r="J115" s="5">
        <f t="shared" si="8"/>
        <v>2.6624344570896529E-2</v>
      </c>
      <c r="T115"/>
    </row>
    <row r="116" spans="1:20">
      <c r="A116" s="3">
        <v>41061</v>
      </c>
      <c r="B116" s="105">
        <v>93187121.853636354</v>
      </c>
      <c r="C116" s="175">
        <v>28.2</v>
      </c>
      <c r="D116" s="175">
        <v>64.3</v>
      </c>
      <c r="E116" s="103">
        <f>+E115</f>
        <v>8.4000000000000005E-2</v>
      </c>
      <c r="F116" s="10">
        <v>30</v>
      </c>
      <c r="G116" s="10">
        <v>0</v>
      </c>
      <c r="H116" s="10">
        <f t="shared" si="6"/>
        <v>93649284.295829073</v>
      </c>
      <c r="I116" s="36">
        <f t="shared" si="9"/>
        <v>462162.44219271839</v>
      </c>
      <c r="J116" s="5">
        <f t="shared" si="8"/>
        <v>4.9595097798879372E-3</v>
      </c>
      <c r="T116"/>
    </row>
    <row r="117" spans="1:20">
      <c r="A117" s="3">
        <v>41091</v>
      </c>
      <c r="B117" s="105">
        <v>110767074.55090907</v>
      </c>
      <c r="C117" s="175">
        <v>0</v>
      </c>
      <c r="D117" s="175">
        <v>155.30000000000001</v>
      </c>
      <c r="E117" s="103">
        <f>+'Economic Indices'!C53</f>
        <v>9.0999999999999998E-2</v>
      </c>
      <c r="F117" s="10">
        <v>31</v>
      </c>
      <c r="G117" s="10">
        <v>0</v>
      </c>
      <c r="H117" s="10">
        <f t="shared" si="6"/>
        <v>107229092.26670532</v>
      </c>
      <c r="I117" s="36">
        <f t="shared" si="9"/>
        <v>-3537982.2842037529</v>
      </c>
      <c r="J117" s="5">
        <f t="shared" si="8"/>
        <v>-3.1940739597466572E-2</v>
      </c>
      <c r="K117" s="179"/>
      <c r="T117"/>
    </row>
    <row r="118" spans="1:20">
      <c r="A118" s="3">
        <v>41122</v>
      </c>
      <c r="B118" s="105">
        <v>101373951.59181817</v>
      </c>
      <c r="C118" s="175">
        <v>4.4000000000000004</v>
      </c>
      <c r="D118" s="175">
        <v>102.79999999999998</v>
      </c>
      <c r="E118" s="103">
        <f>+E117</f>
        <v>9.0999999999999998E-2</v>
      </c>
      <c r="F118" s="10">
        <v>31</v>
      </c>
      <c r="G118" s="10">
        <v>0</v>
      </c>
      <c r="H118" s="10">
        <f t="shared" si="6"/>
        <v>100032699.46675721</v>
      </c>
      <c r="I118" s="36">
        <f t="shared" si="9"/>
        <v>-1341252.1250609607</v>
      </c>
      <c r="J118" s="5">
        <f t="shared" si="8"/>
        <v>-1.3230737324529947E-2</v>
      </c>
      <c r="K118" s="179"/>
      <c r="T118"/>
    </row>
    <row r="119" spans="1:20">
      <c r="A119" s="3">
        <v>41153</v>
      </c>
      <c r="B119" s="105">
        <v>85023139.218181819</v>
      </c>
      <c r="C119" s="175">
        <v>84</v>
      </c>
      <c r="D119" s="175">
        <v>24.400000000000002</v>
      </c>
      <c r="E119" s="103">
        <f>+E118</f>
        <v>9.0999999999999998E-2</v>
      </c>
      <c r="F119" s="10">
        <v>30</v>
      </c>
      <c r="G119" s="10">
        <v>1</v>
      </c>
      <c r="H119" s="10">
        <f t="shared" si="6"/>
        <v>82155078.703176185</v>
      </c>
      <c r="I119" s="36">
        <f t="shared" si="9"/>
        <v>-2868060.5150056332</v>
      </c>
      <c r="J119" s="5">
        <f t="shared" si="8"/>
        <v>-3.3732705489099506E-2</v>
      </c>
      <c r="K119" s="179"/>
      <c r="T119"/>
    </row>
    <row r="120" spans="1:20">
      <c r="A120" s="3">
        <v>41183</v>
      </c>
      <c r="B120" s="105">
        <v>85295690.281818166</v>
      </c>
      <c r="C120" s="175">
        <v>228.99999999999994</v>
      </c>
      <c r="D120" s="175">
        <v>0</v>
      </c>
      <c r="E120" s="103">
        <f>+'Economic Indices'!C54</f>
        <v>9.6000000000000002E-2</v>
      </c>
      <c r="F120" s="10">
        <v>31</v>
      </c>
      <c r="G120" s="10">
        <v>1</v>
      </c>
      <c r="H120" s="10">
        <f t="shared" si="6"/>
        <v>86740542.193759575</v>
      </c>
      <c r="I120" s="36">
        <f t="shared" si="9"/>
        <v>1444851.9119414091</v>
      </c>
      <c r="J120" s="5">
        <f t="shared" si="8"/>
        <v>1.693933078174991E-2</v>
      </c>
      <c r="K120" s="179"/>
      <c r="T120"/>
    </row>
    <row r="121" spans="1:20">
      <c r="A121" s="3">
        <v>41214</v>
      </c>
      <c r="B121" s="105">
        <v>91679199.734545454</v>
      </c>
      <c r="C121" s="175">
        <v>427.89999999999992</v>
      </c>
      <c r="D121" s="175">
        <v>0</v>
      </c>
      <c r="E121" s="103">
        <f>+E120</f>
        <v>9.6000000000000002E-2</v>
      </c>
      <c r="F121" s="10">
        <v>30</v>
      </c>
      <c r="G121" s="10">
        <v>1</v>
      </c>
      <c r="H121" s="10">
        <f t="shared" si="6"/>
        <v>91892482.56783022</v>
      </c>
      <c r="I121" s="36">
        <f t="shared" si="9"/>
        <v>213282.83328476548</v>
      </c>
      <c r="J121" s="5">
        <f t="shared" si="8"/>
        <v>2.3264037415500999E-3</v>
      </c>
      <c r="K121" s="179"/>
      <c r="T121"/>
    </row>
    <row r="122" spans="1:20">
      <c r="A122" s="3">
        <v>41244</v>
      </c>
      <c r="B122" s="105">
        <v>102292637.76363637</v>
      </c>
      <c r="C122" s="175">
        <v>451.09999999999997</v>
      </c>
      <c r="D122" s="175">
        <v>0</v>
      </c>
      <c r="E122" s="103">
        <f>+E121</f>
        <v>9.6000000000000002E-2</v>
      </c>
      <c r="F122" s="10">
        <v>31</v>
      </c>
      <c r="G122" s="10">
        <v>0</v>
      </c>
      <c r="H122" s="10">
        <f t="shared" si="6"/>
        <v>102887405.7748414</v>
      </c>
      <c r="I122" s="36">
        <f t="shared" si="9"/>
        <v>594768.01120503247</v>
      </c>
      <c r="J122" s="5">
        <f t="shared" si="8"/>
        <v>5.8143774978150417E-3</v>
      </c>
      <c r="K122" s="179"/>
      <c r="T122"/>
    </row>
    <row r="123" spans="1:20">
      <c r="A123" s="3">
        <v>41275</v>
      </c>
      <c r="B123" s="105">
        <v>107376383.33333334</v>
      </c>
      <c r="C123" s="175">
        <v>615.40000000000009</v>
      </c>
      <c r="D123" s="175">
        <v>0</v>
      </c>
      <c r="E123" s="103">
        <f>+'Economic Indices'!C55</f>
        <v>8.6000110000000005E-2</v>
      </c>
      <c r="F123" s="47">
        <v>31</v>
      </c>
      <c r="G123" s="10">
        <v>0</v>
      </c>
      <c r="H123" s="10">
        <f t="shared" si="6"/>
        <v>110773684.58390863</v>
      </c>
      <c r="I123" s="36">
        <f t="shared" si="9"/>
        <v>3397301.2505752891</v>
      </c>
      <c r="J123" s="5">
        <f t="shared" si="8"/>
        <v>3.1639184940965036E-2</v>
      </c>
      <c r="K123" s="179"/>
      <c r="T123"/>
    </row>
    <row r="124" spans="1:20">
      <c r="A124" s="3">
        <v>41306</v>
      </c>
      <c r="B124" s="105">
        <v>98702891.666666672</v>
      </c>
      <c r="C124" s="175">
        <v>611.5</v>
      </c>
      <c r="D124" s="175">
        <v>0</v>
      </c>
      <c r="E124" s="103">
        <f>+E123</f>
        <v>8.6000110000000005E-2</v>
      </c>
      <c r="F124" s="47">
        <v>28</v>
      </c>
      <c r="G124" s="10">
        <v>0</v>
      </c>
      <c r="H124" s="10">
        <f t="shared" si="6"/>
        <v>102113493.63537557</v>
      </c>
      <c r="I124" s="36">
        <f t="shared" si="9"/>
        <v>3410601.9687089026</v>
      </c>
      <c r="J124" s="5">
        <f t="shared" si="8"/>
        <v>3.4554225424590169E-2</v>
      </c>
      <c r="K124" s="179"/>
      <c r="T124"/>
    </row>
    <row r="125" spans="1:20">
      <c r="A125" s="3">
        <v>41334</v>
      </c>
      <c r="B125" s="105">
        <v>98851083.333333343</v>
      </c>
      <c r="C125" s="175">
        <v>545</v>
      </c>
      <c r="D125" s="175">
        <v>0</v>
      </c>
      <c r="E125" s="103">
        <f>+E124</f>
        <v>8.6000110000000005E-2</v>
      </c>
      <c r="F125" s="47">
        <v>31</v>
      </c>
      <c r="G125" s="10">
        <v>1</v>
      </c>
      <c r="H125" s="10">
        <f t="shared" si="6"/>
        <v>100718061.48090206</v>
      </c>
      <c r="I125" s="36">
        <f t="shared" si="9"/>
        <v>1866978.1475687176</v>
      </c>
      <c r="J125" s="5">
        <f t="shared" si="8"/>
        <v>1.888677477891796E-2</v>
      </c>
      <c r="K125" s="179"/>
      <c r="T125"/>
    </row>
    <row r="126" spans="1:20">
      <c r="A126" s="3">
        <v>41365</v>
      </c>
      <c r="B126" s="105">
        <v>87330008.333333343</v>
      </c>
      <c r="C126" s="175">
        <v>366.49999999999994</v>
      </c>
      <c r="D126" s="175">
        <v>0</v>
      </c>
      <c r="E126" s="103">
        <f>+'Economic Indices'!C56</f>
        <v>7.8295169999999997E-2</v>
      </c>
      <c r="F126" s="47">
        <v>30</v>
      </c>
      <c r="G126" s="10">
        <v>1</v>
      </c>
      <c r="H126" s="10">
        <f t="shared" si="6"/>
        <v>91709444.991503432</v>
      </c>
      <c r="I126" s="36">
        <f t="shared" si="9"/>
        <v>4379436.6581700891</v>
      </c>
      <c r="J126" s="5">
        <f t="shared" ref="J126:J133" si="10">I126/B126</f>
        <v>5.0148130542413842E-2</v>
      </c>
      <c r="K126" s="179"/>
      <c r="T126"/>
    </row>
    <row r="127" spans="1:20">
      <c r="A127" s="3">
        <v>41395</v>
      </c>
      <c r="B127" s="105">
        <v>81913958.333333343</v>
      </c>
      <c r="C127" s="175">
        <v>133.4</v>
      </c>
      <c r="D127" s="175">
        <v>3</v>
      </c>
      <c r="E127" s="103">
        <f>+E126</f>
        <v>7.8295169999999997E-2</v>
      </c>
      <c r="F127" s="47">
        <v>31</v>
      </c>
      <c r="G127" s="10">
        <v>1</v>
      </c>
      <c r="H127" s="10">
        <f t="shared" si="6"/>
        <v>85605583.276337638</v>
      </c>
      <c r="I127" s="36">
        <f t="shared" si="9"/>
        <v>3691624.9430042952</v>
      </c>
      <c r="J127" s="5">
        <f t="shared" si="10"/>
        <v>4.5067104778185992E-2</v>
      </c>
      <c r="K127" s="179"/>
      <c r="T127"/>
    </row>
    <row r="128" spans="1:20">
      <c r="A128" s="3">
        <v>41426</v>
      </c>
      <c r="B128" s="105">
        <v>86391933.333333343</v>
      </c>
      <c r="C128" s="175">
        <v>42.900000000000006</v>
      </c>
      <c r="D128" s="175">
        <v>32.200000000000003</v>
      </c>
      <c r="E128" s="103">
        <f>+E127</f>
        <v>7.8295169999999997E-2</v>
      </c>
      <c r="F128" s="47">
        <v>30</v>
      </c>
      <c r="G128" s="10">
        <v>0</v>
      </c>
      <c r="H128" s="10">
        <f t="shared" si="6"/>
        <v>90466854.882665217</v>
      </c>
      <c r="I128" s="36">
        <f t="shared" si="9"/>
        <v>4074921.5493318737</v>
      </c>
      <c r="J128" s="5">
        <f t="shared" si="10"/>
        <v>4.7167847646252543E-2</v>
      </c>
      <c r="K128" s="179"/>
      <c r="T128"/>
    </row>
    <row r="129" spans="1:20">
      <c r="A129" s="3">
        <v>41456</v>
      </c>
      <c r="B129" s="105">
        <v>104037066.66666667</v>
      </c>
      <c r="C129" s="175">
        <v>4.4000000000000004</v>
      </c>
      <c r="D129" s="175">
        <v>109.99999999999999</v>
      </c>
      <c r="E129" s="103">
        <f>+'Economic Indices'!C57</f>
        <v>6.7434110000000005E-2</v>
      </c>
      <c r="F129" s="47">
        <v>31</v>
      </c>
      <c r="G129" s="10">
        <v>0</v>
      </c>
      <c r="H129" s="10">
        <f t="shared" si="6"/>
        <v>104081794.0930358</v>
      </c>
      <c r="I129" s="36">
        <f t="shared" si="9"/>
        <v>44727.426369130611</v>
      </c>
      <c r="J129" s="5">
        <f t="shared" si="10"/>
        <v>4.2991818014666511E-4</v>
      </c>
      <c r="K129" s="179"/>
      <c r="T129"/>
    </row>
    <row r="130" spans="1:20">
      <c r="A130" s="3">
        <v>41487</v>
      </c>
      <c r="B130" s="105">
        <v>95663441.666666672</v>
      </c>
      <c r="C130" s="175">
        <v>11</v>
      </c>
      <c r="D130" s="175">
        <v>57.899999999999991</v>
      </c>
      <c r="E130" s="103">
        <f>+E129</f>
        <v>6.7434110000000005E-2</v>
      </c>
      <c r="F130" s="47">
        <v>31</v>
      </c>
      <c r="G130" s="10">
        <v>0</v>
      </c>
      <c r="H130" s="10">
        <f t="shared" si="6"/>
        <v>97029914.081305042</v>
      </c>
      <c r="I130" s="36">
        <f t="shared" si="9"/>
        <v>1366472.4146383703</v>
      </c>
      <c r="J130" s="5">
        <f t="shared" si="10"/>
        <v>1.4284165307367454E-2</v>
      </c>
      <c r="K130" s="179"/>
      <c r="T130"/>
    </row>
    <row r="131" spans="1:20">
      <c r="A131" s="3">
        <v>41518</v>
      </c>
      <c r="B131" s="105">
        <v>83012108.333333343</v>
      </c>
      <c r="C131" s="175">
        <v>96.600000000000009</v>
      </c>
      <c r="D131" s="175">
        <v>15.700000000000001</v>
      </c>
      <c r="E131" s="103">
        <f>+E130</f>
        <v>6.7434110000000005E-2</v>
      </c>
      <c r="F131" s="47">
        <v>30</v>
      </c>
      <c r="G131" s="10">
        <v>1</v>
      </c>
      <c r="H131" s="10">
        <f t="shared" ref="H131:H194" si="11">$M$18+C131*$M$19+D131*$M$20+E131*$M$21+F131*$M$22+G131*$M$23</f>
        <v>84477117.682927072</v>
      </c>
      <c r="I131" s="36">
        <f t="shared" ref="I131:I133" si="12">H131-B131</f>
        <v>1465009.3495937288</v>
      </c>
      <c r="J131" s="5">
        <f t="shared" si="10"/>
        <v>1.7648140482241639E-2</v>
      </c>
      <c r="K131" s="179"/>
      <c r="T131"/>
    </row>
    <row r="132" spans="1:20">
      <c r="A132" s="3">
        <v>41548</v>
      </c>
      <c r="B132" s="105">
        <v>84463400.000000015</v>
      </c>
      <c r="C132" s="175">
        <v>221</v>
      </c>
      <c r="D132" s="175">
        <v>3</v>
      </c>
      <c r="E132" s="103">
        <f>+'Economic Indices'!C58</f>
        <v>7.5499999999999998E-2</v>
      </c>
      <c r="F132" s="47">
        <v>31</v>
      </c>
      <c r="G132" s="10">
        <v>1</v>
      </c>
      <c r="H132" s="10">
        <f t="shared" si="11"/>
        <v>89483335.184996113</v>
      </c>
      <c r="I132" s="36">
        <f t="shared" si="12"/>
        <v>5019935.1849960983</v>
      </c>
      <c r="J132" s="5">
        <f t="shared" si="10"/>
        <v>5.9433259672190528E-2</v>
      </c>
      <c r="K132" s="179"/>
      <c r="T132"/>
    </row>
    <row r="133" spans="1:20">
      <c r="A133" s="3">
        <v>41579</v>
      </c>
      <c r="B133" s="105">
        <v>94249183.333333343</v>
      </c>
      <c r="C133" s="175">
        <v>458.6</v>
      </c>
      <c r="D133" s="175">
        <v>0</v>
      </c>
      <c r="E133" s="103">
        <f>+E132</f>
        <v>7.5499999999999998E-2</v>
      </c>
      <c r="F133" s="47">
        <v>30</v>
      </c>
      <c r="G133" s="10">
        <v>1</v>
      </c>
      <c r="H133" s="10">
        <f t="shared" si="11"/>
        <v>95767886.301291361</v>
      </c>
      <c r="I133" s="36">
        <f t="shared" si="12"/>
        <v>1518702.9679580182</v>
      </c>
      <c r="J133" s="5">
        <f t="shared" si="10"/>
        <v>1.611369896529273E-2</v>
      </c>
      <c r="K133" s="179"/>
      <c r="T133"/>
    </row>
    <row r="134" spans="1:20">
      <c r="A134" s="3">
        <v>41609</v>
      </c>
      <c r="B134" s="105">
        <v>108415583.33333334</v>
      </c>
      <c r="C134" s="175">
        <v>472.8</v>
      </c>
      <c r="D134" s="175">
        <f ca="1">(+D122/SUM(D$122:D$133))*Trends!C$20</f>
        <v>0</v>
      </c>
      <c r="E134" s="103">
        <f>+E133</f>
        <v>7.5499999999999998E-2</v>
      </c>
      <c r="F134" s="47">
        <v>31</v>
      </c>
      <c r="G134" s="10">
        <v>0</v>
      </c>
      <c r="H134" s="10">
        <f t="shared" ca="1" si="11"/>
        <v>106401430.70604365</v>
      </c>
      <c r="I134" s="36">
        <f t="shared" ref="I134" ca="1" si="13">H134-B134</f>
        <v>-2014152.6272896975</v>
      </c>
      <c r="J134" s="5">
        <f t="shared" ref="J134" ca="1" si="14">I134/B134</f>
        <v>-1.8578073053363613E-2</v>
      </c>
      <c r="K134" s="179"/>
      <c r="T134"/>
    </row>
    <row r="135" spans="1:20">
      <c r="A135" s="3">
        <v>41640</v>
      </c>
      <c r="C135" s="98">
        <f>(+C123/SUM(C$123:C$134))*Trends!B$13</f>
        <v>552.13385193331999</v>
      </c>
      <c r="D135" s="98">
        <f ca="1">(+D123/SUM(D$123:D$134))*Trends!C$13</f>
        <v>0</v>
      </c>
      <c r="E135" s="103">
        <f>+E134</f>
        <v>7.5499999999999998E-2</v>
      </c>
      <c r="F135" s="47">
        <v>31</v>
      </c>
      <c r="G135" s="10">
        <v>0</v>
      </c>
      <c r="H135" s="10">
        <f t="shared" ca="1" si="11"/>
        <v>109586938.74940468</v>
      </c>
      <c r="I135" s="36"/>
      <c r="J135" s="5"/>
      <c r="K135" s="179"/>
      <c r="T135"/>
    </row>
    <row r="136" spans="1:20">
      <c r="A136" s="3">
        <v>41671</v>
      </c>
      <c r="C136" s="98">
        <f>(+C124/SUM(C$123:C$134))*Trends!B$13</f>
        <v>548.63479112321284</v>
      </c>
      <c r="D136" s="98">
        <f ca="1">(+D124/SUM(D$123:D$134))*Trends!C$13</f>
        <v>0</v>
      </c>
      <c r="E136" s="103">
        <f t="shared" ref="E136:E199" si="15">+E135</f>
        <v>7.5499999999999998E-2</v>
      </c>
      <c r="F136" s="47">
        <v>28</v>
      </c>
      <c r="G136" s="10">
        <v>0</v>
      </c>
      <c r="H136" s="10">
        <f t="shared" ca="1" si="11"/>
        <v>100942846.79245187</v>
      </c>
      <c r="I136" s="36"/>
      <c r="J136" s="5"/>
      <c r="K136" s="179"/>
      <c r="T136"/>
    </row>
    <row r="137" spans="1:20">
      <c r="A137" s="3">
        <v>41699</v>
      </c>
      <c r="C137" s="98">
        <f>(+C125/SUM(C$123:C$134))*Trends!B$13</f>
        <v>488.97131833548809</v>
      </c>
      <c r="D137" s="98">
        <f ca="1">(+D125/SUM(D$123:D$134))*Trends!C$13</f>
        <v>0</v>
      </c>
      <c r="E137" s="103">
        <f t="shared" si="15"/>
        <v>7.5499999999999998E-2</v>
      </c>
      <c r="F137" s="47">
        <v>31</v>
      </c>
      <c r="G137" s="10">
        <v>1</v>
      </c>
      <c r="H137" s="10">
        <f t="shared" ca="1" si="11"/>
        <v>99821923.084154204</v>
      </c>
      <c r="I137" s="36"/>
      <c r="J137" s="5"/>
      <c r="K137" s="179"/>
      <c r="T137"/>
    </row>
    <row r="138" spans="1:20">
      <c r="A138" s="3">
        <v>41730</v>
      </c>
      <c r="C138" s="98">
        <f>(+C126/SUM(C$123:C$134))*Trends!B$13</f>
        <v>328.82199664212175</v>
      </c>
      <c r="D138" s="98">
        <f ca="1">(+D126/SUM(D$123:D$134))*Trends!C$13</f>
        <v>0</v>
      </c>
      <c r="E138" s="103">
        <f t="shared" si="15"/>
        <v>7.5499999999999998E-2</v>
      </c>
      <c r="F138" s="47">
        <v>30</v>
      </c>
      <c r="G138" s="10">
        <v>1</v>
      </c>
      <c r="H138" s="10">
        <f t="shared" ca="1" si="11"/>
        <v>90556884.144288763</v>
      </c>
      <c r="I138" s="36"/>
      <c r="J138" s="5"/>
      <c r="K138" s="179"/>
      <c r="T138"/>
    </row>
    <row r="139" spans="1:20">
      <c r="A139" s="3">
        <v>41760</v>
      </c>
      <c r="C139" s="98">
        <f>(+C127/SUM(C$123:C$134))*Trends!B$13</f>
        <v>119.68582360725524</v>
      </c>
      <c r="D139" s="98">
        <f ca="1">(+D127/SUM(D$123:D$134))*Trends!C$13</f>
        <v>3.6853840478727715</v>
      </c>
      <c r="E139" s="103">
        <f t="shared" si="15"/>
        <v>7.5499999999999998E-2</v>
      </c>
      <c r="F139" s="47">
        <v>31</v>
      </c>
      <c r="G139" s="10">
        <v>1</v>
      </c>
      <c r="H139" s="10">
        <f t="shared" ca="1" si="11"/>
        <v>85511501.67535162</v>
      </c>
      <c r="I139" s="36"/>
      <c r="J139" s="5"/>
      <c r="K139" s="179"/>
      <c r="T139"/>
    </row>
    <row r="140" spans="1:20">
      <c r="A140" s="3">
        <v>41791</v>
      </c>
      <c r="C140" s="98">
        <f>(+C128/SUM(C$123:C$134))*Trends!B$13</f>
        <v>38.489668911178789</v>
      </c>
      <c r="D140" s="98">
        <f ca="1">(+D128/SUM(D$123:D$134))*Trends!C$13</f>
        <v>39.55645544716775</v>
      </c>
      <c r="E140" s="103">
        <f t="shared" si="15"/>
        <v>7.5499999999999998E-2</v>
      </c>
      <c r="F140" s="47">
        <v>30</v>
      </c>
      <c r="G140" s="10">
        <v>0</v>
      </c>
      <c r="H140" s="10">
        <f t="shared" ca="1" si="11"/>
        <v>91683233.50422956</v>
      </c>
      <c r="I140" s="36"/>
      <c r="J140" s="5"/>
      <c r="K140" s="179"/>
      <c r="T140"/>
    </row>
    <row r="141" spans="1:20">
      <c r="A141" s="3">
        <v>41821</v>
      </c>
      <c r="C141" s="98">
        <f>(+C129/SUM(C$123:C$134))*Trends!B$13</f>
        <v>3.9476583498644913</v>
      </c>
      <c r="D141" s="98">
        <f ca="1">(+D129/SUM(D$123:D$134))*Trends!C$13</f>
        <v>135.1307484220016</v>
      </c>
      <c r="E141" s="103">
        <f t="shared" si="15"/>
        <v>7.5499999999999998E-2</v>
      </c>
      <c r="F141" s="47">
        <v>31</v>
      </c>
      <c r="G141" s="10">
        <v>0</v>
      </c>
      <c r="H141" s="10">
        <f t="shared" ca="1" si="11"/>
        <v>106553185.8065169</v>
      </c>
      <c r="I141" s="36"/>
      <c r="J141" s="5"/>
      <c r="K141" s="179"/>
      <c r="T141"/>
    </row>
    <row r="142" spans="1:20">
      <c r="A142" s="3">
        <v>41852</v>
      </c>
      <c r="C142" s="98">
        <f>(+C130/SUM(C$123:C$134))*Trends!B$13</f>
        <v>9.8691458746612266</v>
      </c>
      <c r="D142" s="98">
        <f ca="1">(+D130/SUM(D$123:D$134))*Trends!C$13</f>
        <v>71.127912123944469</v>
      </c>
      <c r="E142" s="103">
        <f t="shared" si="15"/>
        <v>7.5499999999999998E-2</v>
      </c>
      <c r="F142" s="47">
        <v>31</v>
      </c>
      <c r="G142" s="10">
        <v>0</v>
      </c>
      <c r="H142" s="10">
        <f t="shared" ca="1" si="11"/>
        <v>97802434.526548043</v>
      </c>
      <c r="I142" s="36"/>
      <c r="J142" s="5"/>
      <c r="K142" s="179"/>
      <c r="T142"/>
    </row>
    <row r="143" spans="1:20">
      <c r="A143" s="3">
        <v>41883</v>
      </c>
      <c r="C143" s="98">
        <f>(+C131/SUM(C$123:C$134))*Trends!B$13</f>
        <v>86.669044681115878</v>
      </c>
      <c r="D143" s="98">
        <f ca="1">(+D131/SUM(D$123:D$134))*Trends!C$13</f>
        <v>19.286843183867507</v>
      </c>
      <c r="E143" s="103">
        <f t="shared" si="15"/>
        <v>7.5499999999999998E-2</v>
      </c>
      <c r="F143" s="47">
        <v>30</v>
      </c>
      <c r="G143" s="10">
        <v>1</v>
      </c>
      <c r="H143" s="10">
        <f t="shared" ca="1" si="11"/>
        <v>83542300.262716204</v>
      </c>
      <c r="I143" s="36"/>
      <c r="J143" s="5"/>
      <c r="K143" s="179"/>
      <c r="T143"/>
    </row>
    <row r="144" spans="1:20">
      <c r="A144" s="3">
        <v>41913</v>
      </c>
      <c r="C144" s="98">
        <f>(+C132/SUM(C$123:C$134))*Trends!B$13</f>
        <v>198.2801125727392</v>
      </c>
      <c r="D144" s="98">
        <f ca="1">(+D132/SUM(D$123:D$134))*Trends!C$13</f>
        <v>3.6853840478727715</v>
      </c>
      <c r="E144" s="103">
        <f t="shared" si="15"/>
        <v>7.5499999999999998E-2</v>
      </c>
      <c r="F144" s="47">
        <v>31</v>
      </c>
      <c r="G144" s="10">
        <v>1</v>
      </c>
      <c r="H144" s="10">
        <f t="shared" ca="1" si="11"/>
        <v>88667313.89876692</v>
      </c>
      <c r="I144" s="36"/>
      <c r="J144" s="5"/>
      <c r="K144" s="179"/>
      <c r="T144"/>
    </row>
    <row r="145" spans="1:20">
      <c r="A145" s="3">
        <v>41944</v>
      </c>
      <c r="C145" s="98">
        <f>(+C133/SUM(C$123:C$134))*Trends!B$13</f>
        <v>411.45366346542176</v>
      </c>
      <c r="D145" s="98">
        <f ca="1">(+D133/SUM(D$123:D$134))*Trends!C$13</f>
        <v>0</v>
      </c>
      <c r="E145" s="103">
        <f t="shared" si="15"/>
        <v>7.5499999999999998E-2</v>
      </c>
      <c r="F145" s="47">
        <v>30</v>
      </c>
      <c r="G145" s="10">
        <v>1</v>
      </c>
      <c r="H145" s="10">
        <f t="shared" ca="1" si="11"/>
        <v>93874810.00931786</v>
      </c>
      <c r="I145" s="36"/>
      <c r="J145" s="5"/>
      <c r="K145" s="179"/>
      <c r="T145"/>
    </row>
    <row r="146" spans="1:20">
      <c r="A146" s="3">
        <v>41974</v>
      </c>
      <c r="C146" s="98">
        <f>(+C134/SUM(C$123:C$134))*Trends!B$13</f>
        <v>424.19383359452985</v>
      </c>
      <c r="D146" s="98">
        <f ca="1">(+D134/SUM(D$123:D$134))*Trends!C$13</f>
        <v>0</v>
      </c>
      <c r="E146" s="103">
        <f t="shared" si="15"/>
        <v>7.5499999999999998E-2</v>
      </c>
      <c r="F146" s="47">
        <v>31</v>
      </c>
      <c r="G146" s="10">
        <v>0</v>
      </c>
      <c r="H146" s="10">
        <f t="shared" ca="1" si="11"/>
        <v>104449737.57293183</v>
      </c>
      <c r="I146" s="36"/>
      <c r="J146" s="5"/>
      <c r="K146" s="179"/>
      <c r="T146"/>
    </row>
    <row r="147" spans="1:20">
      <c r="A147" s="3">
        <v>42005</v>
      </c>
      <c r="C147" s="98">
        <f>(+C135/SUM(C$135:C$146))*Trends!B$14</f>
        <v>545.6611483841823</v>
      </c>
      <c r="D147" s="98">
        <f ca="1">(+D135/SUM(D$135:D$146))*Trends!C$14</f>
        <v>0</v>
      </c>
      <c r="E147" s="103">
        <f t="shared" si="15"/>
        <v>7.5499999999999998E-2</v>
      </c>
      <c r="F147" s="47">
        <v>31</v>
      </c>
      <c r="G147" s="10">
        <v>0</v>
      </c>
      <c r="H147" s="10">
        <f t="shared" ca="1" si="11"/>
        <v>109327038.98763086</v>
      </c>
      <c r="I147" s="36"/>
      <c r="J147" s="5"/>
      <c r="K147" s="179"/>
      <c r="T147"/>
    </row>
    <row r="148" spans="1:20">
      <c r="A148" s="3">
        <v>42036</v>
      </c>
      <c r="C148" s="98">
        <f>(+C136/SUM(C$135:C$146))*Trends!B$14</f>
        <v>542.20310730732444</v>
      </c>
      <c r="D148" s="98">
        <f ca="1">(+D136/SUM(D$135:D$146))*Trends!C$14</f>
        <v>0</v>
      </c>
      <c r="E148" s="103">
        <f t="shared" si="15"/>
        <v>7.5499999999999998E-2</v>
      </c>
      <c r="F148" s="47">
        <v>28</v>
      </c>
      <c r="G148" s="10">
        <v>0</v>
      </c>
      <c r="H148" s="10">
        <f t="shared" ca="1" si="11"/>
        <v>100684594.10424145</v>
      </c>
      <c r="I148" s="36"/>
      <c r="J148" s="5"/>
      <c r="K148" s="179"/>
      <c r="T148"/>
    </row>
    <row r="149" spans="1:20">
      <c r="A149" s="3">
        <v>42064</v>
      </c>
      <c r="C149" s="98">
        <f>(+C137/SUM(C$135:C$146))*Trends!B$14</f>
        <v>483.23907356090245</v>
      </c>
      <c r="D149" s="98">
        <f ca="1">(+D137/SUM(D$135:D$146))*Trends!C$14</f>
        <v>0</v>
      </c>
      <c r="E149" s="103">
        <f t="shared" si="15"/>
        <v>7.5499999999999998E-2</v>
      </c>
      <c r="F149" s="47">
        <v>31</v>
      </c>
      <c r="G149" s="10">
        <v>1</v>
      </c>
      <c r="H149" s="10">
        <f t="shared" ca="1" si="11"/>
        <v>99591755.111832574</v>
      </c>
      <c r="I149" s="36"/>
      <c r="J149" s="5"/>
      <c r="K149" s="179"/>
      <c r="T149"/>
    </row>
    <row r="150" spans="1:20">
      <c r="A150" s="3">
        <v>42095</v>
      </c>
      <c r="C150" s="98">
        <f>(+C138/SUM(C$135:C$146))*Trends!B$14</f>
        <v>324.96719350471687</v>
      </c>
      <c r="D150" s="98">
        <f ca="1">(+D138/SUM(D$135:D$146))*Trends!C$14</f>
        <v>0</v>
      </c>
      <c r="E150" s="103">
        <f t="shared" si="15"/>
        <v>7.5499999999999998E-2</v>
      </c>
      <c r="F150" s="47">
        <v>30</v>
      </c>
      <c r="G150" s="10">
        <v>1</v>
      </c>
      <c r="H150" s="10">
        <f t="shared" ca="1" si="11"/>
        <v>90402101.461984396</v>
      </c>
      <c r="I150" s="36"/>
      <c r="J150" s="5"/>
      <c r="K150" s="179"/>
      <c r="T150"/>
    </row>
    <row r="151" spans="1:20">
      <c r="A151" s="3">
        <v>42125</v>
      </c>
      <c r="C151" s="98">
        <f>(+C139/SUM(C$135:C$146))*Trends!B$14</f>
        <v>118.28273837252181</v>
      </c>
      <c r="D151" s="98">
        <f ca="1">(+D139/SUM(D$135:D$146))*Trends!C$14</f>
        <v>3.7719239281908306</v>
      </c>
      <c r="E151" s="103">
        <f t="shared" si="15"/>
        <v>7.5499999999999998E-2</v>
      </c>
      <c r="F151" s="47">
        <v>31</v>
      </c>
      <c r="G151" s="10">
        <v>1</v>
      </c>
      <c r="H151" s="10">
        <f t="shared" ca="1" si="11"/>
        <v>85467316.91915147</v>
      </c>
      <c r="I151" s="36"/>
      <c r="J151" s="5"/>
      <c r="K151" s="179"/>
      <c r="T151"/>
    </row>
    <row r="152" spans="1:20">
      <c r="A152" s="3">
        <v>42156</v>
      </c>
      <c r="C152" s="98">
        <f>(+C140/SUM(C$135:C$146))*Trends!B$14</f>
        <v>38.038451845436171</v>
      </c>
      <c r="D152" s="98">
        <f ca="1">(+D140/SUM(D$135:D$146))*Trends!C$14</f>
        <v>40.485316829248255</v>
      </c>
      <c r="E152" s="103">
        <f t="shared" si="15"/>
        <v>7.5499999999999998E-2</v>
      </c>
      <c r="F152" s="47">
        <v>30</v>
      </c>
      <c r="G152" s="10">
        <v>0</v>
      </c>
      <c r="H152" s="10">
        <f t="shared" ca="1" si="11"/>
        <v>91795564.401571304</v>
      </c>
      <c r="I152" s="36"/>
      <c r="J152" s="5"/>
      <c r="K152" s="179"/>
      <c r="T152"/>
    </row>
    <row r="153" spans="1:20">
      <c r="A153" s="3">
        <v>42186</v>
      </c>
      <c r="C153" s="98">
        <f>(+C141/SUM(C$135:C$146))*Trends!B$14</f>
        <v>3.9013796764549924</v>
      </c>
      <c r="D153" s="98">
        <f ca="1">(+D141/SUM(D$135:D$146))*Trends!C$14</f>
        <v>138.30387736699711</v>
      </c>
      <c r="E153" s="103">
        <f t="shared" si="15"/>
        <v>7.5499999999999998E-2</v>
      </c>
      <c r="F153" s="47">
        <v>31</v>
      </c>
      <c r="G153" s="10">
        <v>0</v>
      </c>
      <c r="H153" s="10">
        <f t="shared" ca="1" si="11"/>
        <v>106996959.79698385</v>
      </c>
      <c r="I153" s="36"/>
      <c r="J153" s="5"/>
      <c r="K153" s="179"/>
      <c r="T153"/>
    </row>
    <row r="154" spans="1:20">
      <c r="A154" s="3">
        <v>42217</v>
      </c>
      <c r="C154" s="98">
        <f>(+C142/SUM(C$135:C$146))*Trends!B$14</f>
        <v>9.753449191137479</v>
      </c>
      <c r="D154" s="98">
        <f ca="1">(+D142/SUM(D$135:D$146))*Trends!C$14</f>
        <v>72.798131814083021</v>
      </c>
      <c r="E154" s="103">
        <f t="shared" si="15"/>
        <v>7.5499999999999998E-2</v>
      </c>
      <c r="F154" s="47">
        <v>31</v>
      </c>
      <c r="G154" s="10">
        <v>0</v>
      </c>
      <c r="H154" s="10">
        <f t="shared" ca="1" si="11"/>
        <v>98032353.534092665</v>
      </c>
      <c r="I154" s="36"/>
      <c r="J154" s="5"/>
      <c r="K154" s="179"/>
      <c r="T154"/>
    </row>
    <row r="155" spans="1:20">
      <c r="A155" s="3">
        <v>42248</v>
      </c>
      <c r="C155" s="98">
        <f>(+C143/SUM(C$135:C$146))*Trends!B$14</f>
        <v>85.653017442170963</v>
      </c>
      <c r="D155" s="98">
        <f ca="1">(+D143/SUM(D$135:D$146))*Trends!C$14</f>
        <v>19.739735224198682</v>
      </c>
      <c r="E155" s="103">
        <f t="shared" si="15"/>
        <v>7.5499999999999998E-2</v>
      </c>
      <c r="F155" s="47">
        <v>30</v>
      </c>
      <c r="G155" s="10">
        <v>1</v>
      </c>
      <c r="H155" s="10">
        <f t="shared" ca="1" si="11"/>
        <v>83565107.389973387</v>
      </c>
      <c r="I155" s="36"/>
      <c r="J155" s="5"/>
      <c r="K155" s="179"/>
      <c r="T155"/>
    </row>
    <row r="156" spans="1:20">
      <c r="A156" s="3">
        <v>42278</v>
      </c>
      <c r="C156" s="98">
        <f>(+C144/SUM(C$135:C$146))*Trends!B$14</f>
        <v>195.95566102194391</v>
      </c>
      <c r="D156" s="98">
        <f ca="1">(+D144/SUM(D$135:D$146))*Trends!C$14</f>
        <v>3.7719239281908306</v>
      </c>
      <c r="E156" s="103">
        <f t="shared" si="15"/>
        <v>7.5499999999999998E-2</v>
      </c>
      <c r="F156" s="47">
        <v>31</v>
      </c>
      <c r="G156" s="10">
        <v>1</v>
      </c>
      <c r="H156" s="10">
        <f t="shared" ca="1" si="11"/>
        <v>88586133.336373419</v>
      </c>
      <c r="I156" s="36"/>
      <c r="J156" s="5"/>
      <c r="K156" s="179"/>
      <c r="T156"/>
    </row>
    <row r="157" spans="1:20">
      <c r="A157" s="3">
        <v>42309</v>
      </c>
      <c r="C157" s="98">
        <f>(+C145/SUM(C$135:C$146))*Trends!B$14</f>
        <v>406.63016355051349</v>
      </c>
      <c r="D157" s="98">
        <f ca="1">(+D145/SUM(D$135:D$146))*Trends!C$14</f>
        <v>0</v>
      </c>
      <c r="E157" s="103">
        <f t="shared" si="15"/>
        <v>7.5499999999999998E-2</v>
      </c>
      <c r="F157" s="47">
        <v>30</v>
      </c>
      <c r="G157" s="10">
        <v>1</v>
      </c>
      <c r="H157" s="10">
        <f t="shared" ca="1" si="11"/>
        <v>93681131.051323906</v>
      </c>
      <c r="I157" s="36"/>
      <c r="J157" s="5"/>
      <c r="K157" s="179"/>
      <c r="T157"/>
    </row>
    <row r="158" spans="1:20">
      <c r="A158" s="3">
        <v>42339</v>
      </c>
      <c r="C158" s="98">
        <f>(+C146/SUM(C$135:C$146))*Trends!B$14</f>
        <v>419.22097977907276</v>
      </c>
      <c r="D158" s="98">
        <f ca="1">(+D146/SUM(D$135:D$146))*Trends!C$14</f>
        <v>0</v>
      </c>
      <c r="E158" s="103">
        <f t="shared" si="15"/>
        <v>7.5499999999999998E-2</v>
      </c>
      <c r="F158" s="47">
        <v>31</v>
      </c>
      <c r="G158" s="10">
        <v>0</v>
      </c>
      <c r="H158" s="10">
        <f t="shared" ca="1" si="11"/>
        <v>104250061.57786089</v>
      </c>
      <c r="I158" s="36"/>
      <c r="J158" s="5"/>
      <c r="K158" s="179"/>
      <c r="T158"/>
    </row>
    <row r="159" spans="1:20">
      <c r="A159" s="3">
        <v>42370</v>
      </c>
      <c r="C159" s="98">
        <f>(+C147/SUM(C$147:C$158))*Trends!B$15</f>
        <v>539.18844483504199</v>
      </c>
      <c r="D159" s="98">
        <f ca="1">(+D147/SUM(D$147:D$158))*Trends!C$15</f>
        <v>0</v>
      </c>
      <c r="E159" s="103">
        <f t="shared" si="15"/>
        <v>7.5499999999999998E-2</v>
      </c>
      <c r="F159" s="47">
        <v>31</v>
      </c>
      <c r="G159" s="10">
        <v>0</v>
      </c>
      <c r="H159" s="10">
        <f t="shared" ca="1" si="11"/>
        <v>109067139.22585693</v>
      </c>
      <c r="I159" s="36"/>
      <c r="J159" s="5"/>
      <c r="K159" s="179"/>
      <c r="T159"/>
    </row>
    <row r="160" spans="1:20">
      <c r="A160" s="3">
        <v>42401</v>
      </c>
      <c r="C160" s="98">
        <f>(+C148/SUM(C$147:C$158))*Trends!B$15</f>
        <v>535.77142349143355</v>
      </c>
      <c r="D160" s="98">
        <f ca="1">(+D148/SUM(D$147:D$158))*Trends!C$15</f>
        <v>0</v>
      </c>
      <c r="E160" s="103">
        <f t="shared" si="15"/>
        <v>7.5499999999999998E-2</v>
      </c>
      <c r="F160" s="47">
        <v>29</v>
      </c>
      <c r="G160" s="10">
        <v>0</v>
      </c>
      <c r="H160" s="10">
        <f t="shared" ca="1" si="11"/>
        <v>103260872.57188232</v>
      </c>
      <c r="I160" s="36"/>
      <c r="J160" s="5"/>
      <c r="K160" s="179"/>
      <c r="T160"/>
    </row>
    <row r="161" spans="1:20">
      <c r="A161" s="3">
        <v>42430</v>
      </c>
      <c r="C161" s="98">
        <f>(+C149/SUM(C$147:C$158))*Trends!B$15</f>
        <v>477.50682878631443</v>
      </c>
      <c r="D161" s="98">
        <f ca="1">(+D149/SUM(D$147:D$158))*Trends!C$15</f>
        <v>0</v>
      </c>
      <c r="E161" s="103">
        <f t="shared" si="15"/>
        <v>7.5499999999999998E-2</v>
      </c>
      <c r="F161" s="47">
        <v>31</v>
      </c>
      <c r="G161" s="10">
        <v>1</v>
      </c>
      <c r="H161" s="10">
        <f t="shared" ca="1" si="11"/>
        <v>99361587.13951084</v>
      </c>
      <c r="I161" s="36"/>
      <c r="J161" s="5"/>
      <c r="K161" s="179"/>
      <c r="T161"/>
    </row>
    <row r="162" spans="1:20">
      <c r="A162" s="3">
        <v>42461</v>
      </c>
      <c r="C162" s="98">
        <f>(+C150/SUM(C$147:C$158))*Trends!B$15</f>
        <v>321.11239036731047</v>
      </c>
      <c r="D162" s="98">
        <f ca="1">(+D150/SUM(D$147:D$158))*Trends!C$15</f>
        <v>0</v>
      </c>
      <c r="E162" s="103">
        <f t="shared" si="15"/>
        <v>7.5499999999999998E-2</v>
      </c>
      <c r="F162" s="47">
        <v>30</v>
      </c>
      <c r="G162" s="10">
        <v>1</v>
      </c>
      <c r="H162" s="10">
        <f t="shared" ca="1" si="11"/>
        <v>90247318.779679969</v>
      </c>
      <c r="I162" s="36"/>
      <c r="J162" s="5"/>
      <c r="K162" s="179"/>
      <c r="T162"/>
    </row>
    <row r="163" spans="1:20">
      <c r="A163" s="3">
        <v>42491</v>
      </c>
      <c r="C163" s="98">
        <f>(+C151/SUM(C$147:C$158))*Trends!B$15</f>
        <v>116.8796531377878</v>
      </c>
      <c r="D163" s="98">
        <f ca="1">(+D151/SUM(D$147:D$158))*Trends!C$15</f>
        <v>3.8584638085088909</v>
      </c>
      <c r="E163" s="103">
        <f t="shared" si="15"/>
        <v>7.5499999999999998E-2</v>
      </c>
      <c r="F163" s="47">
        <v>31</v>
      </c>
      <c r="G163" s="10">
        <v>1</v>
      </c>
      <c r="H163" s="10">
        <f t="shared" ca="1" si="11"/>
        <v>85423132.162951291</v>
      </c>
      <c r="I163" s="36"/>
      <c r="J163" s="5"/>
      <c r="K163" s="179"/>
      <c r="T163"/>
    </row>
    <row r="164" spans="1:20">
      <c r="A164" s="3">
        <v>42522</v>
      </c>
      <c r="C164" s="98">
        <f>(+C152/SUM(C$147:C$158))*Trends!B$15</f>
        <v>37.587234779693375</v>
      </c>
      <c r="D164" s="98">
        <f ca="1">(+D152/SUM(D$147:D$158))*Trends!C$15</f>
        <v>41.414178211328768</v>
      </c>
      <c r="E164" s="103">
        <f t="shared" si="15"/>
        <v>7.5499999999999998E-2</v>
      </c>
      <c r="F164" s="47">
        <v>30</v>
      </c>
      <c r="G164" s="10">
        <v>0</v>
      </c>
      <c r="H164" s="10">
        <f t="shared" ca="1" si="11"/>
        <v>91907895.298913032</v>
      </c>
      <c r="I164" s="36"/>
      <c r="J164" s="5"/>
      <c r="K164" s="179"/>
      <c r="T164"/>
    </row>
    <row r="165" spans="1:20">
      <c r="A165" s="3">
        <v>42552</v>
      </c>
      <c r="C165" s="98">
        <f>(+C153/SUM(C$147:C$158))*Trends!B$15</f>
        <v>3.8551010030454749</v>
      </c>
      <c r="D165" s="98">
        <f ca="1">(+D153/SUM(D$147:D$158))*Trends!C$15</f>
        <v>141.47700631199265</v>
      </c>
      <c r="E165" s="103">
        <f t="shared" si="15"/>
        <v>7.5499999999999998E-2</v>
      </c>
      <c r="F165" s="47">
        <v>31</v>
      </c>
      <c r="G165" s="10">
        <v>0</v>
      </c>
      <c r="H165" s="10">
        <f t="shared" ca="1" si="11"/>
        <v>107440733.78745082</v>
      </c>
      <c r="I165" s="36"/>
      <c r="J165" s="5"/>
      <c r="K165" s="179"/>
      <c r="T165"/>
    </row>
    <row r="166" spans="1:20">
      <c r="A166" s="3">
        <v>42583</v>
      </c>
      <c r="C166" s="98">
        <f>(+C154/SUM(C$147:C$158))*Trends!B$15</f>
        <v>9.6377525076136852</v>
      </c>
      <c r="D166" s="98">
        <f ca="1">(+D154/SUM(D$147:D$158))*Trends!C$15</f>
        <v>74.468351504221573</v>
      </c>
      <c r="E166" s="103">
        <f t="shared" si="15"/>
        <v>7.5499999999999998E-2</v>
      </c>
      <c r="F166" s="47">
        <v>31</v>
      </c>
      <c r="G166" s="10">
        <v>0</v>
      </c>
      <c r="H166" s="10">
        <f t="shared" ca="1" si="11"/>
        <v>98262272.541637272</v>
      </c>
      <c r="I166" s="36"/>
      <c r="J166" s="5"/>
      <c r="K166" s="179"/>
      <c r="T166"/>
    </row>
    <row r="167" spans="1:20">
      <c r="A167" s="3">
        <v>42614</v>
      </c>
      <c r="C167" s="98">
        <f>(+C155/SUM(C$147:C$158))*Trends!B$15</f>
        <v>84.636990203225636</v>
      </c>
      <c r="D167" s="98">
        <f ca="1">(+D155/SUM(D$147:D$158))*Trends!C$15</f>
        <v>20.192627264529865</v>
      </c>
      <c r="E167" s="103">
        <f t="shared" si="15"/>
        <v>7.5499999999999998E-2</v>
      </c>
      <c r="F167" s="47">
        <v>30</v>
      </c>
      <c r="G167" s="10">
        <v>1</v>
      </c>
      <c r="H167" s="10">
        <f t="shared" ca="1" si="11"/>
        <v>83587914.51723057</v>
      </c>
      <c r="I167" s="36"/>
      <c r="J167" s="5"/>
      <c r="K167" s="179"/>
      <c r="T167"/>
    </row>
    <row r="168" spans="1:20">
      <c r="A168" s="3">
        <v>42644</v>
      </c>
      <c r="C168" s="98">
        <f>(+C156/SUM(C$147:C$158))*Trends!B$15</f>
        <v>193.63120947114768</v>
      </c>
      <c r="D168" s="98">
        <f ca="1">(+D156/SUM(D$147:D$158))*Trends!C$15</f>
        <v>3.8584638085088909</v>
      </c>
      <c r="E168" s="103">
        <f t="shared" si="15"/>
        <v>7.5499999999999998E-2</v>
      </c>
      <c r="F168" s="47">
        <v>31</v>
      </c>
      <c r="G168" s="10">
        <v>1</v>
      </c>
      <c r="H168" s="10">
        <f t="shared" ca="1" si="11"/>
        <v>88504952.773979872</v>
      </c>
      <c r="I168" s="36"/>
      <c r="J168" s="5"/>
      <c r="K168" s="179"/>
      <c r="T168"/>
    </row>
    <row r="169" spans="1:20">
      <c r="A169" s="3">
        <v>42675</v>
      </c>
      <c r="C169" s="98">
        <f>(+C157/SUM(C$147:C$158))*Trends!B$15</f>
        <v>401.80666363560329</v>
      </c>
      <c r="D169" s="98">
        <f ca="1">(+D157/SUM(D$147:D$158))*Trends!C$15</f>
        <v>0</v>
      </c>
      <c r="E169" s="103">
        <f t="shared" si="15"/>
        <v>7.5499999999999998E-2</v>
      </c>
      <c r="F169" s="47">
        <v>30</v>
      </c>
      <c r="G169" s="10">
        <v>1</v>
      </c>
      <c r="H169" s="10">
        <f t="shared" ca="1" si="11"/>
        <v>93487452.093329892</v>
      </c>
      <c r="I169" s="36"/>
      <c r="J169" s="5"/>
      <c r="K169" s="179"/>
      <c r="T169"/>
    </row>
    <row r="170" spans="1:20">
      <c r="A170" s="3">
        <v>42705</v>
      </c>
      <c r="C170" s="98">
        <f>(+C158/SUM(C$147:C$158))*Trends!B$15</f>
        <v>414.24812596361369</v>
      </c>
      <c r="D170" s="98">
        <f ca="1">(+D158/SUM(D$147:D$158))*Trends!C$15</f>
        <v>0</v>
      </c>
      <c r="E170" s="103">
        <f t="shared" si="15"/>
        <v>7.5499999999999998E-2</v>
      </c>
      <c r="F170" s="47">
        <v>31</v>
      </c>
      <c r="G170" s="10">
        <v>0</v>
      </c>
      <c r="H170" s="10">
        <f t="shared" ca="1" si="11"/>
        <v>104050385.58278985</v>
      </c>
      <c r="I170" s="36"/>
      <c r="J170" s="5"/>
      <c r="K170" s="179"/>
      <c r="T170"/>
    </row>
    <row r="171" spans="1:20">
      <c r="A171" s="3">
        <v>42736</v>
      </c>
      <c r="C171" s="98">
        <f>(+C159/SUM(C$159:C$170))*Trends!B$16</f>
        <v>532.7157412859018</v>
      </c>
      <c r="D171" s="98">
        <f ca="1">(+D159/SUM(D$159:D$170))*Trends!C$16</f>
        <v>0</v>
      </c>
      <c r="E171" s="103">
        <f t="shared" si="15"/>
        <v>7.5499999999999998E-2</v>
      </c>
      <c r="F171" s="47">
        <v>31</v>
      </c>
      <c r="G171" s="10">
        <v>0</v>
      </c>
      <c r="H171" s="10">
        <f t="shared" ca="1" si="11"/>
        <v>108807239.464083</v>
      </c>
      <c r="I171" s="36"/>
      <c r="J171" s="5"/>
      <c r="K171" s="179"/>
      <c r="T171"/>
    </row>
    <row r="172" spans="1:20">
      <c r="A172" s="3">
        <v>42767</v>
      </c>
      <c r="C172" s="98">
        <f>(+C160/SUM(C$159:C$170))*Trends!B$16</f>
        <v>529.33973967554266</v>
      </c>
      <c r="D172" s="98">
        <f ca="1">(+D160/SUM(D$159:D$170))*Trends!C$16</f>
        <v>0</v>
      </c>
      <c r="E172" s="103">
        <f t="shared" si="15"/>
        <v>7.5499999999999998E-2</v>
      </c>
      <c r="F172" s="47">
        <v>28</v>
      </c>
      <c r="G172" s="10">
        <v>0</v>
      </c>
      <c r="H172" s="10">
        <f t="shared" ca="1" si="11"/>
        <v>100168088.72782041</v>
      </c>
      <c r="I172" s="36"/>
      <c r="J172" s="5"/>
      <c r="K172" s="179"/>
      <c r="T172"/>
    </row>
    <row r="173" spans="1:20">
      <c r="A173" s="3">
        <v>42795</v>
      </c>
      <c r="C173" s="98">
        <f>(+C161/SUM(C$159:C$170))*Trends!B$16</f>
        <v>471.77458401172646</v>
      </c>
      <c r="D173" s="98">
        <f ca="1">(+D161/SUM(D$159:D$170))*Trends!C$16</f>
        <v>0</v>
      </c>
      <c r="E173" s="103">
        <f t="shared" si="15"/>
        <v>7.5499999999999998E-2</v>
      </c>
      <c r="F173" s="47">
        <v>31</v>
      </c>
      <c r="G173" s="10">
        <v>1</v>
      </c>
      <c r="H173" s="10">
        <f t="shared" ca="1" si="11"/>
        <v>99131419.167189106</v>
      </c>
      <c r="I173" s="36"/>
      <c r="J173" s="5"/>
      <c r="K173" s="179"/>
      <c r="T173"/>
    </row>
    <row r="174" spans="1:20">
      <c r="A174" s="3">
        <v>42826</v>
      </c>
      <c r="C174" s="98">
        <f>(+C162/SUM(C$159:C$170))*Trends!B$16</f>
        <v>317.25758722990406</v>
      </c>
      <c r="D174" s="98">
        <f ca="1">(+D162/SUM(D$159:D$170))*Trends!C$16</f>
        <v>0</v>
      </c>
      <c r="E174" s="103">
        <f t="shared" si="15"/>
        <v>7.5499999999999998E-2</v>
      </c>
      <c r="F174" s="47">
        <v>30</v>
      </c>
      <c r="G174" s="10">
        <v>1</v>
      </c>
      <c r="H174" s="10">
        <f t="shared" ca="1" si="11"/>
        <v>90092536.097375542</v>
      </c>
      <c r="I174" s="36"/>
      <c r="J174" s="5"/>
      <c r="K174" s="179"/>
      <c r="T174"/>
    </row>
    <row r="175" spans="1:20">
      <c r="A175" s="3">
        <v>42856</v>
      </c>
      <c r="C175" s="98">
        <f>(+C163/SUM(C$159:C$170))*Trends!B$16</f>
        <v>115.47656790305378</v>
      </c>
      <c r="D175" s="98">
        <f ca="1">(+D163/SUM(D$159:D$170))*Trends!C$16</f>
        <v>3.9450036888269517</v>
      </c>
      <c r="E175" s="103">
        <f t="shared" si="15"/>
        <v>7.5499999999999998E-2</v>
      </c>
      <c r="F175" s="47">
        <v>31</v>
      </c>
      <c r="G175" s="10">
        <v>1</v>
      </c>
      <c r="H175" s="10">
        <f t="shared" ca="1" si="11"/>
        <v>85378947.406751111</v>
      </c>
      <c r="I175" s="36"/>
      <c r="J175" s="5"/>
      <c r="K175" s="179"/>
      <c r="T175"/>
    </row>
    <row r="176" spans="1:20">
      <c r="A176" s="3">
        <v>42887</v>
      </c>
      <c r="C176" s="98">
        <f>(+C164/SUM(C$159:C$170))*Trends!B$16</f>
        <v>37.136017713950579</v>
      </c>
      <c r="D176" s="98">
        <f ca="1">(+D164/SUM(D$159:D$170))*Trends!C$16</f>
        <v>42.343039593409287</v>
      </c>
      <c r="E176" s="103">
        <f t="shared" si="15"/>
        <v>7.5499999999999998E-2</v>
      </c>
      <c r="F176" s="47">
        <v>30</v>
      </c>
      <c r="G176" s="10">
        <v>0</v>
      </c>
      <c r="H176" s="10">
        <f t="shared" ca="1" si="11"/>
        <v>92020226.196254775</v>
      </c>
      <c r="I176" s="36"/>
      <c r="J176" s="5"/>
      <c r="K176" s="179"/>
      <c r="T176"/>
    </row>
    <row r="177" spans="1:20">
      <c r="A177" s="3">
        <v>42917</v>
      </c>
      <c r="C177" s="98">
        <f>(+C165/SUM(C$159:C$170))*Trends!B$16</f>
        <v>3.8088223296359573</v>
      </c>
      <c r="D177" s="98">
        <f ca="1">(+D165/SUM(D$159:D$170))*Trends!C$16</f>
        <v>144.65013525698822</v>
      </c>
      <c r="E177" s="103">
        <f t="shared" si="15"/>
        <v>7.5499999999999998E-2</v>
      </c>
      <c r="F177" s="47">
        <v>31</v>
      </c>
      <c r="G177" s="10">
        <v>0</v>
      </c>
      <c r="H177" s="10">
        <f t="shared" ca="1" si="11"/>
        <v>107884507.77791779</v>
      </c>
      <c r="I177" s="36"/>
      <c r="J177" s="5"/>
      <c r="K177" s="179"/>
      <c r="T177"/>
    </row>
    <row r="178" spans="1:20">
      <c r="A178" s="3">
        <v>42948</v>
      </c>
      <c r="C178" s="98">
        <f>(+C166/SUM(C$159:C$170))*Trends!B$16</f>
        <v>9.5220558240898914</v>
      </c>
      <c r="D178" s="98">
        <f ca="1">(+D166/SUM(D$159:D$170))*Trends!C$16</f>
        <v>76.138571194360154</v>
      </c>
      <c r="E178" s="103">
        <f t="shared" si="15"/>
        <v>7.5499999999999998E-2</v>
      </c>
      <c r="F178" s="47">
        <v>31</v>
      </c>
      <c r="G178" s="10">
        <v>0</v>
      </c>
      <c r="H178" s="10">
        <f t="shared" ca="1" si="11"/>
        <v>98492191.549181893</v>
      </c>
      <c r="I178" s="36"/>
      <c r="J178" s="5"/>
      <c r="K178" s="179"/>
      <c r="T178"/>
    </row>
    <row r="179" spans="1:20">
      <c r="A179" s="3">
        <v>42979</v>
      </c>
      <c r="C179" s="98">
        <f>(+C167/SUM(C$159:C$170))*Trends!B$16</f>
        <v>83.620962964280309</v>
      </c>
      <c r="D179" s="98">
        <f ca="1">(+D167/SUM(D$159:D$170))*Trends!C$16</f>
        <v>20.64551930486105</v>
      </c>
      <c r="E179" s="103">
        <f t="shared" si="15"/>
        <v>7.5499999999999998E-2</v>
      </c>
      <c r="F179" s="47">
        <v>30</v>
      </c>
      <c r="G179" s="10">
        <v>1</v>
      </c>
      <c r="H179" s="10">
        <f t="shared" ca="1" si="11"/>
        <v>83610721.644487754</v>
      </c>
      <c r="I179" s="36"/>
      <c r="J179" s="5"/>
      <c r="K179" s="179"/>
      <c r="T179"/>
    </row>
    <row r="180" spans="1:20">
      <c r="A180" s="3">
        <v>43009</v>
      </c>
      <c r="C180" s="98">
        <f>(+C168/SUM(C$159:C$170))*Trends!B$16</f>
        <v>191.30675792035146</v>
      </c>
      <c r="D180" s="98">
        <f ca="1">(+D168/SUM(D$159:D$170))*Trends!C$16</f>
        <v>3.9450036888269517</v>
      </c>
      <c r="E180" s="103">
        <f t="shared" si="15"/>
        <v>7.5499999999999998E-2</v>
      </c>
      <c r="F180" s="47">
        <v>31</v>
      </c>
      <c r="G180" s="10">
        <v>1</v>
      </c>
      <c r="H180" s="10">
        <f t="shared" ca="1" si="11"/>
        <v>88423772.211586326</v>
      </c>
      <c r="I180" s="36"/>
      <c r="J180" s="5"/>
      <c r="K180" s="179"/>
      <c r="T180"/>
    </row>
    <row r="181" spans="1:20">
      <c r="A181" s="3">
        <v>43040</v>
      </c>
      <c r="C181" s="98">
        <f>(+C169/SUM(C$159:C$170))*Trends!B$16</f>
        <v>396.98316372069308</v>
      </c>
      <c r="D181" s="98">
        <f ca="1">(+D169/SUM(D$159:D$170))*Trends!C$16</f>
        <v>0</v>
      </c>
      <c r="E181" s="103">
        <f t="shared" si="15"/>
        <v>7.5499999999999998E-2</v>
      </c>
      <c r="F181" s="47">
        <v>30</v>
      </c>
      <c r="G181" s="10">
        <v>1</v>
      </c>
      <c r="H181" s="10">
        <f t="shared" ca="1" si="11"/>
        <v>93293773.135335863</v>
      </c>
      <c r="I181" s="36"/>
      <c r="J181" s="5"/>
      <c r="K181" s="179"/>
      <c r="T181"/>
    </row>
    <row r="182" spans="1:20">
      <c r="A182" s="3">
        <v>43070</v>
      </c>
      <c r="C182" s="98">
        <f>(+C170/SUM(C$159:C$170))*Trends!B$16</f>
        <v>409.27527214815461</v>
      </c>
      <c r="D182" s="98">
        <f ca="1">(+D170/SUM(D$159:D$170))*Trends!C$16</f>
        <v>0</v>
      </c>
      <c r="E182" s="103">
        <f t="shared" si="15"/>
        <v>7.5499999999999998E-2</v>
      </c>
      <c r="F182" s="47">
        <v>31</v>
      </c>
      <c r="G182" s="10">
        <v>0</v>
      </c>
      <c r="H182" s="10">
        <f t="shared" ca="1" si="11"/>
        <v>103850709.58771881</v>
      </c>
      <c r="I182" s="36"/>
      <c r="J182" s="5"/>
      <c r="K182" s="179"/>
      <c r="T182"/>
    </row>
    <row r="183" spans="1:20">
      <c r="A183" s="3">
        <v>43101</v>
      </c>
      <c r="C183" s="98">
        <f>(+C171/SUM(C$171:C$182))*Trends!B$17</f>
        <v>526.24303773676161</v>
      </c>
      <c r="D183" s="98">
        <f ca="1">(+D171/SUM(D$171:D$182))*Trends!C$17</f>
        <v>0</v>
      </c>
      <c r="E183" s="103">
        <f t="shared" si="15"/>
        <v>7.5499999999999998E-2</v>
      </c>
      <c r="F183" s="47">
        <v>31</v>
      </c>
      <c r="G183" s="10">
        <v>0</v>
      </c>
      <c r="H183" s="10">
        <f t="shared" ca="1" si="11"/>
        <v>108547339.70230909</v>
      </c>
      <c r="I183" s="36"/>
      <c r="J183" s="5"/>
      <c r="K183" s="179"/>
      <c r="T183"/>
    </row>
    <row r="184" spans="1:20">
      <c r="A184" s="3">
        <v>43132</v>
      </c>
      <c r="C184" s="98">
        <f>(+C172/SUM(C$171:C$182))*Trends!B$17</f>
        <v>522.90805585965177</v>
      </c>
      <c r="D184" s="98">
        <f ca="1">(+D172/SUM(D$171:D$182))*Trends!C$17</f>
        <v>0</v>
      </c>
      <c r="E184" s="103">
        <f t="shared" si="15"/>
        <v>7.5499999999999998E-2</v>
      </c>
      <c r="F184" s="47">
        <v>28</v>
      </c>
      <c r="G184" s="10">
        <v>0</v>
      </c>
      <c r="H184" s="10">
        <f t="shared" ca="1" si="11"/>
        <v>99909836.039609879</v>
      </c>
      <c r="I184" s="36"/>
      <c r="J184" s="5"/>
      <c r="K184" s="179"/>
      <c r="T184"/>
    </row>
    <row r="185" spans="1:20">
      <c r="A185" s="3">
        <v>43160</v>
      </c>
      <c r="C185" s="98">
        <f>(+C173/SUM(C$171:C$182))*Trends!B$17</f>
        <v>466.04233923713849</v>
      </c>
      <c r="D185" s="98">
        <f ca="1">(+D173/SUM(D$171:D$182))*Trends!C$17</f>
        <v>0</v>
      </c>
      <c r="E185" s="103">
        <f t="shared" si="15"/>
        <v>7.5499999999999998E-2</v>
      </c>
      <c r="F185" s="47">
        <v>31</v>
      </c>
      <c r="G185" s="10">
        <v>1</v>
      </c>
      <c r="H185" s="10">
        <f t="shared" ca="1" si="11"/>
        <v>98901251.194867387</v>
      </c>
      <c r="I185" s="36"/>
      <c r="J185" s="5"/>
      <c r="K185" s="179"/>
      <c r="T185"/>
    </row>
    <row r="186" spans="1:20">
      <c r="A186" s="3">
        <v>43191</v>
      </c>
      <c r="C186" s="98">
        <f>(+C174/SUM(C$171:C$182))*Trends!B$17</f>
        <v>313.40278409249765</v>
      </c>
      <c r="D186" s="98">
        <f ca="1">(+D174/SUM(D$171:D$182))*Trends!C$17</f>
        <v>0</v>
      </c>
      <c r="E186" s="103">
        <f t="shared" si="15"/>
        <v>7.5499999999999998E-2</v>
      </c>
      <c r="F186" s="47">
        <v>30</v>
      </c>
      <c r="G186" s="10">
        <v>1</v>
      </c>
      <c r="H186" s="10">
        <f t="shared" ca="1" si="11"/>
        <v>89937753.415071115</v>
      </c>
      <c r="I186" s="36"/>
      <c r="J186" s="5"/>
      <c r="K186" s="179"/>
      <c r="T186"/>
    </row>
    <row r="187" spans="1:20">
      <c r="A187" s="3">
        <v>43221</v>
      </c>
      <c r="C187" s="98">
        <f>(+C175/SUM(C$171:C$182))*Trends!B$17</f>
        <v>114.07348266831977</v>
      </c>
      <c r="D187" s="98">
        <f ca="1">(+D175/SUM(D$171:D$182))*Trends!C$17</f>
        <v>4.0315435691450112</v>
      </c>
      <c r="E187" s="103">
        <f t="shared" si="15"/>
        <v>7.5499999999999998E-2</v>
      </c>
      <c r="F187" s="47">
        <v>31</v>
      </c>
      <c r="G187" s="10">
        <v>1</v>
      </c>
      <c r="H187" s="10">
        <f t="shared" ca="1" si="11"/>
        <v>85334762.650550917</v>
      </c>
      <c r="I187" s="36"/>
      <c r="J187" s="5"/>
      <c r="K187" s="179"/>
      <c r="T187"/>
    </row>
    <row r="188" spans="1:20">
      <c r="A188" s="3">
        <v>43252</v>
      </c>
      <c r="C188" s="98">
        <f>(+C176/SUM(C$171:C$182))*Trends!B$17</f>
        <v>36.684800648207784</v>
      </c>
      <c r="D188" s="98">
        <f ca="1">(+D176/SUM(D$171:D$182))*Trends!C$17</f>
        <v>43.271900975489793</v>
      </c>
      <c r="E188" s="103">
        <f t="shared" si="15"/>
        <v>7.5499999999999998E-2</v>
      </c>
      <c r="F188" s="47">
        <v>30</v>
      </c>
      <c r="G188" s="10">
        <v>0</v>
      </c>
      <c r="H188" s="10">
        <f t="shared" ca="1" si="11"/>
        <v>92132557.093596503</v>
      </c>
      <c r="I188" s="36"/>
      <c r="J188" s="5"/>
      <c r="K188" s="179"/>
      <c r="T188"/>
    </row>
    <row r="189" spans="1:20">
      <c r="A189" s="3">
        <v>43282</v>
      </c>
      <c r="C189" s="98">
        <f>(+C177/SUM(C$171:C$182))*Trends!B$17</f>
        <v>3.7625436562264398</v>
      </c>
      <c r="D189" s="98">
        <f ca="1">(+D177/SUM(D$171:D$182))*Trends!C$17</f>
        <v>147.82326420198373</v>
      </c>
      <c r="E189" s="103">
        <f t="shared" si="15"/>
        <v>7.5499999999999998E-2</v>
      </c>
      <c r="F189" s="47">
        <v>31</v>
      </c>
      <c r="G189" s="10">
        <v>0</v>
      </c>
      <c r="H189" s="10">
        <f t="shared" ca="1" si="11"/>
        <v>108328281.76838474</v>
      </c>
      <c r="I189" s="36"/>
      <c r="J189" s="5"/>
      <c r="K189" s="179"/>
      <c r="T189"/>
    </row>
    <row r="190" spans="1:20">
      <c r="A190" s="3">
        <v>43313</v>
      </c>
      <c r="C190" s="98">
        <f>(+C178/SUM(C$171:C$182))*Trends!B$17</f>
        <v>9.4063591405660976</v>
      </c>
      <c r="D190" s="98">
        <f ca="1">(+D178/SUM(D$171:D$182))*Trends!C$17</f>
        <v>77.808790884498691</v>
      </c>
      <c r="E190" s="103">
        <f t="shared" si="15"/>
        <v>7.5499999999999998E-2</v>
      </c>
      <c r="F190" s="47">
        <v>31</v>
      </c>
      <c r="G190" s="10">
        <v>0</v>
      </c>
      <c r="H190" s="10">
        <f t="shared" ca="1" si="11"/>
        <v>98722110.5567265</v>
      </c>
      <c r="I190" s="36"/>
      <c r="J190" s="5"/>
      <c r="K190" s="179"/>
      <c r="T190"/>
    </row>
    <row r="191" spans="1:20">
      <c r="A191" s="3">
        <v>43344</v>
      </c>
      <c r="C191" s="98">
        <f>(+C179/SUM(C$171:C$182))*Trends!B$17</f>
        <v>82.604935725334997</v>
      </c>
      <c r="D191" s="98">
        <f ca="1">(+D179/SUM(D$171:D$182))*Trends!C$17</f>
        <v>21.098411345192229</v>
      </c>
      <c r="E191" s="103">
        <f t="shared" si="15"/>
        <v>7.5499999999999998E-2</v>
      </c>
      <c r="F191" s="47">
        <v>30</v>
      </c>
      <c r="G191" s="10">
        <v>1</v>
      </c>
      <c r="H191" s="10">
        <f t="shared" ca="1" si="11"/>
        <v>83633528.771744937</v>
      </c>
      <c r="I191" s="36"/>
      <c r="J191" s="5"/>
      <c r="K191" s="179"/>
      <c r="T191"/>
    </row>
    <row r="192" spans="1:20">
      <c r="A192" s="3">
        <v>43374</v>
      </c>
      <c r="C192" s="98">
        <f>(+C180/SUM(C$171:C$182))*Trends!B$17</f>
        <v>188.98230636955523</v>
      </c>
      <c r="D192" s="98">
        <f ca="1">(+D180/SUM(D$171:D$182))*Trends!C$17</f>
        <v>4.0315435691450112</v>
      </c>
      <c r="E192" s="103">
        <f t="shared" si="15"/>
        <v>7.5499999999999998E-2</v>
      </c>
      <c r="F192" s="47">
        <v>31</v>
      </c>
      <c r="G192" s="10">
        <v>1</v>
      </c>
      <c r="H192" s="10">
        <f t="shared" ca="1" si="11"/>
        <v>88342591.64919278</v>
      </c>
      <c r="I192" s="36"/>
      <c r="J192" s="5"/>
      <c r="K192" s="179"/>
      <c r="T192"/>
    </row>
    <row r="193" spans="1:20">
      <c r="A193" s="3">
        <v>43405</v>
      </c>
      <c r="C193" s="98">
        <f>(+C181/SUM(C$171:C$182))*Trends!B$17</f>
        <v>392.15966380578294</v>
      </c>
      <c r="D193" s="98">
        <f ca="1">(+D181/SUM(D$171:D$182))*Trends!C$17</f>
        <v>0</v>
      </c>
      <c r="E193" s="103">
        <f t="shared" si="15"/>
        <v>7.5499999999999998E-2</v>
      </c>
      <c r="F193" s="47">
        <v>30</v>
      </c>
      <c r="G193" s="10">
        <v>1</v>
      </c>
      <c r="H193" s="10">
        <f t="shared" ca="1" si="11"/>
        <v>93100094.177341834</v>
      </c>
      <c r="I193" s="36"/>
      <c r="J193" s="5"/>
      <c r="K193" s="179"/>
      <c r="T193"/>
    </row>
    <row r="194" spans="1:20">
      <c r="A194" s="3">
        <v>43435</v>
      </c>
      <c r="C194" s="98">
        <f>(+C182/SUM(C$171:C$182))*Trends!B$17</f>
        <v>404.30241833269554</v>
      </c>
      <c r="D194" s="98">
        <f ca="1">(+D182/SUM(D$171:D$182))*Trends!C$17</f>
        <v>0</v>
      </c>
      <c r="E194" s="103">
        <f t="shared" si="15"/>
        <v>7.5499999999999998E-2</v>
      </c>
      <c r="F194" s="47">
        <v>31</v>
      </c>
      <c r="G194" s="10">
        <v>0</v>
      </c>
      <c r="H194" s="10">
        <f t="shared" ca="1" si="11"/>
        <v>103651033.59264779</v>
      </c>
      <c r="I194" s="36"/>
      <c r="J194" s="5"/>
      <c r="K194" s="179"/>
      <c r="T194"/>
    </row>
    <row r="195" spans="1:20">
      <c r="A195" s="3">
        <v>43466</v>
      </c>
      <c r="C195" s="98">
        <f>(+C183/SUM(C$183:C$194))*Trends!B$18</f>
        <v>519.7703341876213</v>
      </c>
      <c r="D195" s="98">
        <f ca="1">(+D183/SUM(D$183:D$194))*Trends!C$18</f>
        <v>0</v>
      </c>
      <c r="E195" s="103">
        <f t="shared" si="15"/>
        <v>7.5499999999999998E-2</v>
      </c>
      <c r="F195" s="47">
        <v>31</v>
      </c>
      <c r="G195" s="10">
        <v>0</v>
      </c>
      <c r="H195" s="10">
        <f t="shared" ref="H195:H206" ca="1" si="16">$M$18+C195*$M$19+D195*$M$20+E195*$M$21+F195*$M$22+G195*$M$23</f>
        <v>108287439.94053516</v>
      </c>
      <c r="I195" s="36"/>
      <c r="J195" s="5"/>
      <c r="K195" s="179"/>
      <c r="T195"/>
    </row>
    <row r="196" spans="1:20">
      <c r="A196" s="3">
        <v>43497</v>
      </c>
      <c r="C196" s="98">
        <f>(+C184/SUM(C$183:C$194))*Trends!B$18</f>
        <v>516.47637204376076</v>
      </c>
      <c r="D196" s="98">
        <f ca="1">(+D184/SUM(D$183:D$194))*Trends!C$18</f>
        <v>0</v>
      </c>
      <c r="E196" s="103">
        <f t="shared" si="15"/>
        <v>7.5499999999999998E-2</v>
      </c>
      <c r="F196" s="47">
        <v>28</v>
      </c>
      <c r="G196" s="10">
        <v>0</v>
      </c>
      <c r="H196" s="10">
        <f t="shared" ca="1" si="16"/>
        <v>99651583.351399362</v>
      </c>
      <c r="I196" s="36"/>
      <c r="J196" s="5"/>
      <c r="K196" s="179"/>
      <c r="T196"/>
    </row>
    <row r="197" spans="1:20">
      <c r="A197" s="3">
        <v>43525</v>
      </c>
      <c r="C197" s="98">
        <f>(+C185/SUM(C$183:C$194))*Trends!B$18</f>
        <v>460.31009446255047</v>
      </c>
      <c r="D197" s="98">
        <f ca="1">(+D185/SUM(D$183:D$194))*Trends!C$18</f>
        <v>0</v>
      </c>
      <c r="E197" s="103">
        <f t="shared" si="15"/>
        <v>7.5499999999999998E-2</v>
      </c>
      <c r="F197" s="47">
        <v>31</v>
      </c>
      <c r="G197" s="10">
        <v>1</v>
      </c>
      <c r="H197" s="10">
        <f t="shared" ca="1" si="16"/>
        <v>98671083.222545668</v>
      </c>
      <c r="I197" s="36"/>
      <c r="J197" s="5"/>
      <c r="K197" s="179"/>
      <c r="T197"/>
    </row>
    <row r="198" spans="1:20">
      <c r="A198" s="3">
        <v>43556</v>
      </c>
      <c r="C198" s="98">
        <f>(+C186/SUM(C$183:C$194))*Trends!B$18</f>
        <v>309.54798095509119</v>
      </c>
      <c r="D198" s="98">
        <f ca="1">(+D186/SUM(D$183:D$194))*Trends!C$18</f>
        <v>0</v>
      </c>
      <c r="E198" s="103">
        <f t="shared" si="15"/>
        <v>7.5499999999999998E-2</v>
      </c>
      <c r="F198" s="47">
        <v>30</v>
      </c>
      <c r="G198" s="10">
        <v>1</v>
      </c>
      <c r="H198" s="10">
        <f t="shared" ca="1" si="16"/>
        <v>89782970.732766688</v>
      </c>
      <c r="I198" s="36"/>
      <c r="J198" s="5"/>
      <c r="K198" s="179"/>
      <c r="T198"/>
    </row>
    <row r="199" spans="1:20">
      <c r="A199" s="3">
        <v>43586</v>
      </c>
      <c r="C199" s="98">
        <f>(+C187/SUM(C$183:C$194))*Trends!B$18</f>
        <v>112.67039743358573</v>
      </c>
      <c r="D199" s="98">
        <f ca="1">(+D187/SUM(D$183:D$194))*Trends!C$18</f>
        <v>4.1180834494630707</v>
      </c>
      <c r="E199" s="103">
        <f t="shared" si="15"/>
        <v>7.5499999999999998E-2</v>
      </c>
      <c r="F199" s="47">
        <v>31</v>
      </c>
      <c r="G199" s="10">
        <v>1</v>
      </c>
      <c r="H199" s="10">
        <f t="shared" ca="1" si="16"/>
        <v>85290577.894350737</v>
      </c>
      <c r="I199" s="36"/>
      <c r="J199" s="5"/>
      <c r="K199" s="179"/>
      <c r="T199"/>
    </row>
    <row r="200" spans="1:20">
      <c r="A200" s="3">
        <v>43617</v>
      </c>
      <c r="C200" s="98">
        <f>(+C188/SUM(C$183:C$194))*Trends!B$18</f>
        <v>36.233583582464981</v>
      </c>
      <c r="D200" s="98">
        <f ca="1">(+D188/SUM(D$183:D$194))*Trends!C$18</f>
        <v>44.200762357570305</v>
      </c>
      <c r="E200" s="103">
        <f t="shared" ref="E200:E206" si="17">+E199</f>
        <v>7.5499999999999998E-2</v>
      </c>
      <c r="F200" s="47">
        <v>30</v>
      </c>
      <c r="G200" s="10">
        <v>0</v>
      </c>
      <c r="H200" s="10">
        <f t="shared" ca="1" si="16"/>
        <v>92244887.990938246</v>
      </c>
      <c r="I200" s="36"/>
      <c r="J200" s="5"/>
      <c r="K200" s="179"/>
      <c r="T200"/>
    </row>
    <row r="201" spans="1:20">
      <c r="A201" s="3">
        <v>43647</v>
      </c>
      <c r="C201" s="98">
        <f>(+C189/SUM(C$183:C$194))*Trends!B$18</f>
        <v>3.7162649828169214</v>
      </c>
      <c r="D201" s="98">
        <f ca="1">(+D189/SUM(D$183:D$194))*Trends!C$18</f>
        <v>150.99639314697927</v>
      </c>
      <c r="E201" s="103">
        <f t="shared" si="17"/>
        <v>7.5499999999999998E-2</v>
      </c>
      <c r="F201" s="47">
        <v>31</v>
      </c>
      <c r="G201" s="10">
        <v>0</v>
      </c>
      <c r="H201" s="10">
        <f t="shared" ca="1" si="16"/>
        <v>108772055.75885171</v>
      </c>
      <c r="I201" s="36"/>
      <c r="J201" s="5"/>
      <c r="K201" s="179"/>
      <c r="T201"/>
    </row>
    <row r="202" spans="1:20">
      <c r="A202" s="3">
        <v>43678</v>
      </c>
      <c r="C202" s="98">
        <f>(+C190/SUM(C$183:C$194))*Trends!B$18</f>
        <v>9.290662457042302</v>
      </c>
      <c r="D202" s="98">
        <f ca="1">(+D190/SUM(D$183:D$194))*Trends!C$18</f>
        <v>79.479010574637257</v>
      </c>
      <c r="E202" s="103">
        <f t="shared" si="17"/>
        <v>7.5499999999999998E-2</v>
      </c>
      <c r="F202" s="47">
        <v>31</v>
      </c>
      <c r="G202" s="10">
        <v>0</v>
      </c>
      <c r="H202" s="10">
        <f t="shared" ca="1" si="16"/>
        <v>98952029.564271122</v>
      </c>
      <c r="I202" s="36"/>
      <c r="J202" s="5"/>
      <c r="K202" s="179"/>
      <c r="T202"/>
    </row>
    <row r="203" spans="1:20">
      <c r="A203" s="3">
        <v>43709</v>
      </c>
      <c r="C203" s="98">
        <f>(+C191/SUM(C$183:C$194))*Trends!B$18</f>
        <v>81.58890848638967</v>
      </c>
      <c r="D203" s="98">
        <f ca="1">(+D191/SUM(D$183:D$194))*Trends!C$18</f>
        <v>21.551303385523408</v>
      </c>
      <c r="E203" s="103">
        <f t="shared" si="17"/>
        <v>7.5499999999999998E-2</v>
      </c>
      <c r="F203" s="47">
        <v>30</v>
      </c>
      <c r="G203" s="10">
        <v>1</v>
      </c>
      <c r="H203" s="10">
        <f t="shared" ca="1" si="16"/>
        <v>83656335.899002105</v>
      </c>
      <c r="I203" s="36"/>
      <c r="J203" s="5"/>
      <c r="K203" s="179"/>
      <c r="T203"/>
    </row>
    <row r="204" spans="1:20">
      <c r="A204" s="3">
        <v>43739</v>
      </c>
      <c r="C204" s="98">
        <f>(+C192/SUM(C$183:C$194))*Trends!B$18</f>
        <v>186.65785481875898</v>
      </c>
      <c r="D204" s="98">
        <f ca="1">(+D192/SUM(D$183:D$194))*Trends!C$18</f>
        <v>4.1180834494630707</v>
      </c>
      <c r="E204" s="103">
        <f t="shared" si="17"/>
        <v>7.5499999999999998E-2</v>
      </c>
      <c r="F204" s="47">
        <v>31</v>
      </c>
      <c r="G204" s="10">
        <v>1</v>
      </c>
      <c r="H204" s="10">
        <f t="shared" ca="1" si="16"/>
        <v>88261411.086799234</v>
      </c>
      <c r="I204" s="36"/>
      <c r="J204" s="5"/>
      <c r="K204" s="179"/>
      <c r="T204"/>
    </row>
    <row r="205" spans="1:20">
      <c r="A205" s="3">
        <v>43770</v>
      </c>
      <c r="C205" s="98">
        <f>(+C193/SUM(C$183:C$194))*Trends!B$18</f>
        <v>387.33616389087268</v>
      </c>
      <c r="D205" s="98">
        <f ca="1">(+D193/SUM(D$183:D$194))*Trends!C$18</f>
        <v>0</v>
      </c>
      <c r="E205" s="103">
        <f t="shared" si="17"/>
        <v>7.5499999999999998E-2</v>
      </c>
      <c r="F205" s="47">
        <v>30</v>
      </c>
      <c r="G205" s="10">
        <v>1</v>
      </c>
      <c r="H205" s="10">
        <f t="shared" ca="1" si="16"/>
        <v>92906415.219347805</v>
      </c>
      <c r="I205" s="36"/>
      <c r="J205" s="5"/>
      <c r="K205" s="179"/>
      <c r="T205"/>
    </row>
    <row r="206" spans="1:20">
      <c r="A206" s="3">
        <v>43800</v>
      </c>
      <c r="C206" s="98">
        <f>(+C194/SUM(C$183:C$194))*Trends!B$18</f>
        <v>399.32956451723641</v>
      </c>
      <c r="D206" s="98">
        <f ca="1">(+D194/SUM(D$183:D$194))*Trends!C$18</f>
        <v>0</v>
      </c>
      <c r="E206" s="103">
        <f t="shared" si="17"/>
        <v>7.5499999999999998E-2</v>
      </c>
      <c r="F206" s="47">
        <v>31</v>
      </c>
      <c r="G206" s="10">
        <v>0</v>
      </c>
      <c r="H206" s="10">
        <f t="shared" ca="1" si="16"/>
        <v>103451357.59757677</v>
      </c>
      <c r="I206" s="36"/>
      <c r="J206" s="5"/>
      <c r="K206" s="179"/>
      <c r="T206"/>
    </row>
    <row r="207" spans="1:20">
      <c r="A207" s="3"/>
      <c r="I207" s="36"/>
      <c r="J207" s="5"/>
      <c r="K207" s="179"/>
      <c r="T207"/>
    </row>
    <row r="208" spans="1:20">
      <c r="A208" s="3"/>
      <c r="C208" s="18"/>
      <c r="D208" s="1" t="s">
        <v>60</v>
      </c>
      <c r="H208" s="47">
        <f ca="1">SUM(H3:H206)</f>
        <v>19690792470.06945</v>
      </c>
      <c r="I208" s="36"/>
      <c r="J208" s="5"/>
      <c r="K208" s="179"/>
      <c r="T208"/>
    </row>
    <row r="209" spans="1:20" ht="39.6">
      <c r="A209" s="3"/>
      <c r="C209" s="23"/>
      <c r="D209" s="23"/>
      <c r="I209" s="36"/>
      <c r="J209" s="5" t="s">
        <v>196</v>
      </c>
      <c r="K209" s="179"/>
      <c r="L209" s="408" t="s">
        <v>296</v>
      </c>
      <c r="M209" s="405" t="s">
        <v>294</v>
      </c>
      <c r="N209" s="408" t="s">
        <v>299</v>
      </c>
      <c r="O209" s="406" t="s">
        <v>295</v>
      </c>
      <c r="P209" s="408" t="s">
        <v>298</v>
      </c>
      <c r="Q209" s="406" t="s">
        <v>297</v>
      </c>
      <c r="T209"/>
    </row>
    <row r="210" spans="1:20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H210" s="6">
        <f>SUM(H3:H14)</f>
        <v>1214096286.5571823</v>
      </c>
      <c r="I210" s="36">
        <f t="shared" ref="I210:I224" si="18">H210-B210</f>
        <v>-18627883.442817688</v>
      </c>
      <c r="J210" s="5">
        <f t="shared" ref="J210:J226" si="19">I210/B210</f>
        <v>-1.5111152921433908E-2</v>
      </c>
      <c r="K210" s="179"/>
      <c r="L210" s="183"/>
      <c r="M210" s="407">
        <f>+H210-L210</f>
        <v>1214096286.5571823</v>
      </c>
      <c r="N210" s="183"/>
      <c r="O210" s="407">
        <f>+M210-N210</f>
        <v>1214096286.5571823</v>
      </c>
      <c r="P210" s="183"/>
      <c r="Q210" s="407">
        <f>+O210+P210</f>
        <v>1214096286.5571823</v>
      </c>
      <c r="T210"/>
    </row>
    <row r="211" spans="1:20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H211" s="6">
        <f>SUM(H15:H26)</f>
        <v>1198833047.1489887</v>
      </c>
      <c r="I211" s="36">
        <f t="shared" si="18"/>
        <v>20391857.148988724</v>
      </c>
      <c r="J211" s="5">
        <f t="shared" si="19"/>
        <v>1.7304094020159567E-2</v>
      </c>
      <c r="K211" s="179"/>
      <c r="L211" s="183"/>
      <c r="M211" s="407">
        <f t="shared" ref="M211:M226" si="20">+H211-L211</f>
        <v>1198833047.1489887</v>
      </c>
      <c r="N211" s="183"/>
      <c r="O211" s="407">
        <f t="shared" ref="O211:O226" si="21">+M211-N211</f>
        <v>1198833047.1489887</v>
      </c>
      <c r="P211" s="183"/>
      <c r="Q211" s="407">
        <f t="shared" ref="Q211:Q226" si="22">+O211+P211</f>
        <v>1198833047.1489887</v>
      </c>
      <c r="T211"/>
    </row>
    <row r="212" spans="1:20">
      <c r="A212" s="16">
        <v>2005</v>
      </c>
      <c r="B212" s="6">
        <f>SUM(B27:B38)</f>
        <v>1174501350</v>
      </c>
      <c r="C212" s="107">
        <f t="shared" ref="C212:C219" si="23">+B212-B211</f>
        <v>-3939840</v>
      </c>
      <c r="D212" s="109">
        <f t="shared" ref="D212:D219" si="24">+C212/B211</f>
        <v>-3.3432639943619079E-3</v>
      </c>
      <c r="E212" s="109">
        <f>RATE(2,0,-B$210,B212)</f>
        <v>-2.3901142331683341E-2</v>
      </c>
      <c r="H212" s="6">
        <f>SUM(H27:H38)</f>
        <v>1207050039.1496041</v>
      </c>
      <c r="I212" s="36">
        <f t="shared" si="18"/>
        <v>32548689.149604082</v>
      </c>
      <c r="J212" s="5">
        <f t="shared" si="19"/>
        <v>2.7712772871316054E-2</v>
      </c>
      <c r="K212" s="179"/>
      <c r="L212" s="183"/>
      <c r="M212" s="407">
        <f t="shared" si="20"/>
        <v>1207050039.1496041</v>
      </c>
      <c r="N212" s="183"/>
      <c r="O212" s="407">
        <f t="shared" si="21"/>
        <v>1207050039.1496041</v>
      </c>
      <c r="P212" s="183"/>
      <c r="Q212" s="407">
        <f t="shared" si="22"/>
        <v>1207050039.1496041</v>
      </c>
      <c r="T212"/>
    </row>
    <row r="213" spans="1:20">
      <c r="A213">
        <v>2006</v>
      </c>
      <c r="B213" s="6">
        <f>SUM(B39:B50)</f>
        <v>1151360440</v>
      </c>
      <c r="C213" s="107">
        <f t="shared" si="23"/>
        <v>-23140910</v>
      </c>
      <c r="D213" s="109">
        <f t="shared" si="24"/>
        <v>-1.9702753002369899E-2</v>
      </c>
      <c r="E213" s="109">
        <f>RATE(3,0,-B$210,B213)</f>
        <v>-2.2503680894619967E-2</v>
      </c>
      <c r="H213" s="6">
        <f>SUM(H39:H50)</f>
        <v>1170881307.9356413</v>
      </c>
      <c r="I213" s="36">
        <f t="shared" si="18"/>
        <v>19520867.935641289</v>
      </c>
      <c r="J213" s="5">
        <f t="shared" si="19"/>
        <v>1.6954610613198841E-2</v>
      </c>
      <c r="K213" s="179"/>
      <c r="L213" s="183"/>
      <c r="M213" s="407">
        <f t="shared" si="20"/>
        <v>1170881307.9356413</v>
      </c>
      <c r="N213" s="183"/>
      <c r="O213" s="407">
        <f t="shared" si="21"/>
        <v>1170881307.9356413</v>
      </c>
      <c r="P213" s="183"/>
      <c r="Q213" s="407">
        <f t="shared" si="22"/>
        <v>1170881307.9356413</v>
      </c>
      <c r="T213"/>
    </row>
    <row r="214" spans="1:20">
      <c r="A214" s="16">
        <v>2007</v>
      </c>
      <c r="B214" s="6">
        <f>SUM(B51:B62)</f>
        <v>1191153590</v>
      </c>
      <c r="C214" s="107">
        <f t="shared" si="23"/>
        <v>39793150</v>
      </c>
      <c r="D214" s="109">
        <f t="shared" si="24"/>
        <v>3.4561852759158546E-2</v>
      </c>
      <c r="E214" s="109">
        <f>RATE(4,0,-B$210,B214)</f>
        <v>-8.5393934317338754E-3</v>
      </c>
      <c r="H214" s="6">
        <f>SUM(H51:H62)</f>
        <v>1147471680.5230298</v>
      </c>
      <c r="I214" s="36">
        <f t="shared" si="18"/>
        <v>-43681909.476970196</v>
      </c>
      <c r="J214" s="5">
        <f t="shared" si="19"/>
        <v>-3.667193705638766E-2</v>
      </c>
      <c r="K214" s="179"/>
      <c r="L214" s="183"/>
      <c r="M214" s="407">
        <f t="shared" si="20"/>
        <v>1147471680.5230298</v>
      </c>
      <c r="N214" s="183"/>
      <c r="O214" s="407">
        <f t="shared" si="21"/>
        <v>1147471680.5230298</v>
      </c>
      <c r="P214" s="183"/>
      <c r="Q214" s="407">
        <f t="shared" si="22"/>
        <v>1147471680.5230298</v>
      </c>
      <c r="T214"/>
    </row>
    <row r="215" spans="1:20">
      <c r="A215">
        <v>2008</v>
      </c>
      <c r="B215" s="6">
        <f>SUM(B63:B74)</f>
        <v>1158881926</v>
      </c>
      <c r="C215" s="107">
        <f t="shared" si="23"/>
        <v>-32271664</v>
      </c>
      <c r="D215" s="109">
        <f t="shared" si="24"/>
        <v>-2.70927815446537E-2</v>
      </c>
      <c r="E215" s="109">
        <f>RATE(5,0,-B$210,B215)</f>
        <v>-1.2278162500929547E-2</v>
      </c>
      <c r="H215" s="6">
        <f>SUM(H63:H74)</f>
        <v>1110172412.3567979</v>
      </c>
      <c r="I215" s="36">
        <f t="shared" si="18"/>
        <v>-48709513.643202066</v>
      </c>
      <c r="J215" s="5">
        <f t="shared" si="19"/>
        <v>-4.2031472361751261E-2</v>
      </c>
      <c r="K215" s="179"/>
      <c r="L215" s="183"/>
      <c r="M215" s="407">
        <f t="shared" si="20"/>
        <v>1110172412.3567979</v>
      </c>
      <c r="N215" s="183"/>
      <c r="O215" s="407">
        <f t="shared" si="21"/>
        <v>1110172412.3567979</v>
      </c>
      <c r="P215" s="183"/>
      <c r="Q215" s="407">
        <f t="shared" si="22"/>
        <v>1110172412.3567979</v>
      </c>
      <c r="T215"/>
    </row>
    <row r="216" spans="1:20">
      <c r="A216" s="16">
        <v>2009</v>
      </c>
      <c r="B216" s="6">
        <f>SUM(B75:B86)</f>
        <v>1128390784.5107694</v>
      </c>
      <c r="C216" s="107">
        <f t="shared" si="23"/>
        <v>-30491141.489230633</v>
      </c>
      <c r="D216" s="109">
        <f t="shared" si="24"/>
        <v>-2.6310826672803447E-2</v>
      </c>
      <c r="E216" s="109">
        <f>RATE(6,0,-B$210,B216)</f>
        <v>-1.4630905973235077E-2</v>
      </c>
      <c r="H216" s="6">
        <f>SUM(H75:H86)</f>
        <v>1126724653.6746798</v>
      </c>
      <c r="I216" s="36">
        <f t="shared" si="18"/>
        <v>-1666130.8360896111</v>
      </c>
      <c r="J216" s="5">
        <f t="shared" si="19"/>
        <v>-1.4765548061543119E-3</v>
      </c>
      <c r="K216" s="179"/>
      <c r="L216" s="183"/>
      <c r="M216" s="407">
        <f t="shared" si="20"/>
        <v>1126724653.6746798</v>
      </c>
      <c r="N216" s="183"/>
      <c r="O216" s="407">
        <f t="shared" si="21"/>
        <v>1126724653.6746798</v>
      </c>
      <c r="P216" s="183"/>
      <c r="Q216" s="407">
        <f t="shared" si="22"/>
        <v>1126724653.6746798</v>
      </c>
      <c r="T216"/>
    </row>
    <row r="217" spans="1:20">
      <c r="A217">
        <v>2010</v>
      </c>
      <c r="B217" s="6">
        <f>SUM(B87:B98)</f>
        <v>1148489331.8146157</v>
      </c>
      <c r="C217" s="107">
        <f t="shared" si="23"/>
        <v>20098547.303846359</v>
      </c>
      <c r="D217" s="109">
        <f t="shared" si="24"/>
        <v>1.781169039993568E-2</v>
      </c>
      <c r="E217" s="109">
        <f>RATE(7,0,-B$210,B217)</f>
        <v>-1.0060343960087228E-2</v>
      </c>
      <c r="H217" s="6">
        <f>SUM(H87:H98)</f>
        <v>1129720236.440757</v>
      </c>
      <c r="I217" s="36">
        <f t="shared" si="18"/>
        <v>-18769095.37385869</v>
      </c>
      <c r="J217" s="5">
        <f t="shared" si="19"/>
        <v>-1.6342420302854252E-2</v>
      </c>
      <c r="K217" s="179"/>
      <c r="L217" s="183"/>
      <c r="M217" s="407">
        <f t="shared" si="20"/>
        <v>1129720236.440757</v>
      </c>
      <c r="N217" s="183"/>
      <c r="O217" s="407">
        <f t="shared" si="21"/>
        <v>1129720236.440757</v>
      </c>
      <c r="P217" s="183"/>
      <c r="Q217" s="407">
        <f t="shared" si="22"/>
        <v>1129720236.440757</v>
      </c>
      <c r="T217"/>
    </row>
    <row r="218" spans="1:20">
      <c r="A218">
        <v>2011</v>
      </c>
      <c r="B218" s="6">
        <f>SUM(B99:B110)</f>
        <v>1148632387.3953846</v>
      </c>
      <c r="C218" s="107">
        <f t="shared" si="23"/>
        <v>143055.58076882362</v>
      </c>
      <c r="D218" s="109">
        <f t="shared" si="24"/>
        <v>1.2455978197272019E-4</v>
      </c>
      <c r="E218" s="109">
        <f>RATE(8,0,-B$210,B218)</f>
        <v>-8.7929249231188996E-3</v>
      </c>
      <c r="H218" s="6">
        <f>SUM(H99:H110)</f>
        <v>1164987379.8152349</v>
      </c>
      <c r="I218" s="36">
        <f t="shared" si="18"/>
        <v>16354992.419850349</v>
      </c>
      <c r="J218" s="5">
        <f t="shared" si="19"/>
        <v>1.4238665563781113E-2</v>
      </c>
      <c r="K218" s="179"/>
      <c r="L218" s="183"/>
      <c r="M218" s="407">
        <f t="shared" si="20"/>
        <v>1164987379.8152349</v>
      </c>
      <c r="N218" s="183"/>
      <c r="O218" s="407">
        <f t="shared" si="21"/>
        <v>1164987379.8152349</v>
      </c>
      <c r="P218" s="183"/>
      <c r="Q218" s="407">
        <f t="shared" si="22"/>
        <v>1164987379.8152349</v>
      </c>
      <c r="T218"/>
    </row>
    <row r="219" spans="1:20">
      <c r="A219">
        <v>2012</v>
      </c>
      <c r="B219" s="6">
        <f>SUM(B111:B122)</f>
        <v>1136211952.670979</v>
      </c>
      <c r="C219" s="107">
        <f t="shared" si="23"/>
        <v>-12420434.724405527</v>
      </c>
      <c r="D219" s="109">
        <f t="shared" si="24"/>
        <v>-1.0813237429748827E-2</v>
      </c>
      <c r="E219" s="109">
        <f>RATE(9,0,-B$210,B219)</f>
        <v>-9.0176077035169049E-3</v>
      </c>
      <c r="H219" s="6">
        <f>SUM(H111:H122)</f>
        <v>1150628519.5562067</v>
      </c>
      <c r="I219" s="36">
        <f t="shared" si="18"/>
        <v>14416566.88522768</v>
      </c>
      <c r="J219" s="5">
        <f t="shared" si="19"/>
        <v>1.268827251054486E-2</v>
      </c>
      <c r="K219" s="179"/>
      <c r="L219" s="183"/>
      <c r="M219" s="407">
        <f t="shared" si="20"/>
        <v>1150628519.5562067</v>
      </c>
      <c r="N219" s="183"/>
      <c r="O219" s="407">
        <f t="shared" si="21"/>
        <v>1150628519.5562067</v>
      </c>
      <c r="P219" s="183"/>
      <c r="Q219" s="407">
        <f t="shared" si="22"/>
        <v>1150628519.5562067</v>
      </c>
      <c r="T219"/>
    </row>
    <row r="220" spans="1:20">
      <c r="A220">
        <v>2013</v>
      </c>
      <c r="B220" s="6">
        <f>SUM(B123:B134)</f>
        <v>1130407041.6666667</v>
      </c>
      <c r="C220" s="107">
        <f t="shared" ref="C220:C226" si="25">+B220-B219</f>
        <v>-5804911.0043122768</v>
      </c>
      <c r="D220" s="109">
        <f t="shared" ref="D220:D226" si="26">+C220/B219</f>
        <v>-5.1090036420284399E-3</v>
      </c>
      <c r="E220" s="109">
        <f>RATE(10,0,-B$210,B220)</f>
        <v>-8.6274392985243292E-3</v>
      </c>
      <c r="G220" s="174"/>
      <c r="H220" s="6">
        <f ca="1">SUM(H123:H134)</f>
        <v>1158628600.9002914</v>
      </c>
      <c r="I220" s="36">
        <f t="shared" ca="1" si="18"/>
        <v>28221559.233624697</v>
      </c>
      <c r="J220" s="5">
        <f t="shared" ca="1" si="19"/>
        <v>2.4965838139167078E-2</v>
      </c>
      <c r="K220" s="179"/>
      <c r="L220" s="183"/>
      <c r="M220" s="407">
        <f t="shared" ca="1" si="20"/>
        <v>1158628600.9002914</v>
      </c>
      <c r="N220" s="183"/>
      <c r="O220" s="407">
        <f t="shared" ca="1" si="21"/>
        <v>1158628600.9002914</v>
      </c>
      <c r="P220" s="183"/>
      <c r="Q220" s="407">
        <f t="shared" ca="1" si="22"/>
        <v>1158628600.9002914</v>
      </c>
      <c r="T220"/>
    </row>
    <row r="221" spans="1:20">
      <c r="A221">
        <v>2014</v>
      </c>
      <c r="B221" s="6">
        <f ca="1">+H221</f>
        <v>1152993110.0266783</v>
      </c>
      <c r="C221" s="107">
        <f t="shared" ca="1" si="25"/>
        <v>22586068.360011578</v>
      </c>
      <c r="D221" s="109">
        <f t="shared" ca="1" si="26"/>
        <v>1.9980473871350612E-2</v>
      </c>
      <c r="E221" s="109">
        <f ca="1">RATE(11,0,-B$210,B221)</f>
        <v>-6.0602193577631702E-3</v>
      </c>
      <c r="G221" s="6"/>
      <c r="H221" s="6">
        <f ca="1">SUM(H135:H146)</f>
        <v>1152993110.0266783</v>
      </c>
      <c r="I221" s="36">
        <f t="shared" ca="1" si="18"/>
        <v>0</v>
      </c>
      <c r="J221" s="5">
        <f t="shared" ca="1" si="19"/>
        <v>0</v>
      </c>
      <c r="K221" s="179"/>
      <c r="L221" s="420">
        <f>(' CDM Summary'!$J$21-' CDM Summary'!$J$18)*'Rate Class Energy Model'!$F$25</f>
        <v>6644978.2000000002</v>
      </c>
      <c r="M221" s="407">
        <f t="shared" ca="1" si="20"/>
        <v>1146348131.8266783</v>
      </c>
      <c r="N221" s="420">
        <f>+' CDM Summary'!J18</f>
        <v>0</v>
      </c>
      <c r="O221" s="407">
        <f t="shared" ca="1" si="21"/>
        <v>1146348131.8266783</v>
      </c>
      <c r="P221" s="6">
        <f ca="1">+'City Expansion'!C104</f>
        <v>0</v>
      </c>
      <c r="Q221" s="407">
        <f t="shared" ca="1" si="22"/>
        <v>1146348131.8266783</v>
      </c>
      <c r="S221" s="172"/>
      <c r="T221" s="417"/>
    </row>
    <row r="222" spans="1:20">
      <c r="A222">
        <v>2015</v>
      </c>
      <c r="B222" s="6">
        <f t="shared" ref="B222:B224" ca="1" si="27">+H222</f>
        <v>1152380117.6730201</v>
      </c>
      <c r="C222" s="107">
        <f t="shared" ca="1" si="25"/>
        <v>-612992.35365819931</v>
      </c>
      <c r="D222" s="109">
        <f t="shared" ca="1" si="26"/>
        <v>-5.3165309343783992E-4</v>
      </c>
      <c r="E222" s="109">
        <f ca="1">RATE(12,0,-B$210,B222)</f>
        <v>-5.6006758781867953E-3</v>
      </c>
      <c r="G222" s="6"/>
      <c r="H222" s="6">
        <f ca="1">SUM(H147:H158)</f>
        <v>1152380117.6730201</v>
      </c>
      <c r="I222" s="36">
        <f t="shared" ca="1" si="18"/>
        <v>0</v>
      </c>
      <c r="J222" s="5">
        <f t="shared" ca="1" si="19"/>
        <v>0</v>
      </c>
      <c r="K222" s="179"/>
      <c r="L222" s="420">
        <f ca="1">(' CDM Summary'!$K$21-' CDM Summary'!$K$18)*'Rate Class Energy Model'!$F$25</f>
        <v>13377281.338925602</v>
      </c>
      <c r="M222" s="407">
        <f t="shared" ca="1" si="20"/>
        <v>1139002836.3340945</v>
      </c>
      <c r="N222" s="420">
        <f ca="1">+' CDM Summary'!K$18*'Rate Class Energy Model'!$F$25</f>
        <v>2538369.4610743979</v>
      </c>
      <c r="O222" s="407">
        <f t="shared" ca="1" si="21"/>
        <v>1136464466.8730202</v>
      </c>
      <c r="P222" s="6">
        <f ca="1">+'City Expansion'!C105</f>
        <v>24944938.670835916</v>
      </c>
      <c r="Q222" s="407">
        <f t="shared" ca="1" si="22"/>
        <v>1161409405.5438561</v>
      </c>
      <c r="S222" s="172"/>
      <c r="T222" s="417"/>
    </row>
    <row r="223" spans="1:20">
      <c r="A223">
        <v>2016</v>
      </c>
      <c r="B223" s="6">
        <f t="shared" ca="1" si="27"/>
        <v>1154601656.4752128</v>
      </c>
      <c r="C223" s="107">
        <f t="shared" ca="1" si="25"/>
        <v>2221538.802192688</v>
      </c>
      <c r="D223" s="109">
        <f t="shared" ca="1" si="26"/>
        <v>1.9277830015660112E-3</v>
      </c>
      <c r="E223" s="109">
        <f ca="1">RATE(13,0,-B$210,B223)</f>
        <v>-5.0235774492017682E-3</v>
      </c>
      <c r="G223" s="6"/>
      <c r="H223" s="6">
        <f ca="1">SUM(H159:H170)</f>
        <v>1154601656.4752128</v>
      </c>
      <c r="I223" s="36">
        <f t="shared" ca="1" si="18"/>
        <v>0</v>
      </c>
      <c r="J223" s="5">
        <f t="shared" ca="1" si="19"/>
        <v>0</v>
      </c>
      <c r="K223" s="179"/>
      <c r="L223" s="420">
        <f ca="1">(' CDM Summary'!$L$21-' CDM Summary'!$L$18)*'Rate Class Energy Model'!$F$25</f>
        <v>21192474.492910456</v>
      </c>
      <c r="M223" s="407">
        <f t="shared" ca="1" si="20"/>
        <v>1133409181.9823024</v>
      </c>
      <c r="N223" s="420">
        <f ca="1">+' CDM Summary'!L$18*'Rate Class Energy Model'!$F$25</f>
        <v>5118996.7070895443</v>
      </c>
      <c r="O223" s="407">
        <f t="shared" ca="1" si="21"/>
        <v>1128290185.2752128</v>
      </c>
      <c r="P223" s="6">
        <f ca="1">+'City Expansion'!C106</f>
        <v>51163074.173116513</v>
      </c>
      <c r="Q223" s="407">
        <f t="shared" ca="1" si="22"/>
        <v>1179453259.4483292</v>
      </c>
      <c r="S223" s="172"/>
      <c r="T223" s="417"/>
    </row>
    <row r="224" spans="1:20">
      <c r="A224">
        <v>2017</v>
      </c>
      <c r="B224" s="6">
        <f t="shared" ca="1" si="27"/>
        <v>1151154132.9657023</v>
      </c>
      <c r="C224" s="107">
        <f t="shared" ca="1" si="25"/>
        <v>-3447523.5095105171</v>
      </c>
      <c r="D224" s="109">
        <f t="shared" ca="1" si="26"/>
        <v>-2.9858986345430807E-3</v>
      </c>
      <c r="E224" s="109">
        <f ca="1">RATE(14,0,-B$210,B224)</f>
        <v>-4.8781671740949382E-3</v>
      </c>
      <c r="G224" s="6"/>
      <c r="H224" s="6">
        <f ca="1">SUM(H171:H182)</f>
        <v>1151154132.9657023</v>
      </c>
      <c r="I224" s="36">
        <f t="shared" ca="1" si="18"/>
        <v>0</v>
      </c>
      <c r="J224" s="5">
        <f t="shared" ca="1" si="19"/>
        <v>0</v>
      </c>
      <c r="K224" s="179"/>
      <c r="L224" s="420">
        <f ca="1">(' CDM Summary'!$M$21-' CDM Summary'!$M$18)*'Rate Class Energy Model'!$F$25</f>
        <v>31904306.562407151</v>
      </c>
      <c r="M224" s="407">
        <f t="shared" ca="1" si="20"/>
        <v>1119249826.403295</v>
      </c>
      <c r="N224" s="420">
        <f ca="1">+' CDM Summary'!M$18*'Rate Class Energy Model'!$F$25</f>
        <v>5161606.2375928462</v>
      </c>
      <c r="O224" s="407">
        <f t="shared" ca="1" si="21"/>
        <v>1114088220.1657021</v>
      </c>
      <c r="P224" s="6">
        <f ca="1">+'City Expansion'!C107</f>
        <v>77029621.362624675</v>
      </c>
      <c r="Q224" s="407">
        <f t="shared" ca="1" si="22"/>
        <v>1191117841.5283267</v>
      </c>
      <c r="S224" s="172"/>
      <c r="T224" s="417"/>
    </row>
    <row r="225" spans="1:21">
      <c r="A225">
        <v>2018</v>
      </c>
      <c r="B225" s="6">
        <f ca="1">+H225</f>
        <v>1150541140.6120434</v>
      </c>
      <c r="C225" s="107">
        <f t="shared" ca="1" si="25"/>
        <v>-612992.35365891457</v>
      </c>
      <c r="D225" s="109">
        <f t="shared" ca="1" si="26"/>
        <v>-5.325024131040306E-4</v>
      </c>
      <c r="E225" s="109">
        <f ca="1">RATE(15,0,-B$210,B225)</f>
        <v>-4.5890449410528915E-3</v>
      </c>
      <c r="G225" s="6"/>
      <c r="H225" s="6">
        <f ca="1">SUM(H183:H194)</f>
        <v>1150541140.6120434</v>
      </c>
      <c r="I225" s="36">
        <f ca="1">H225-B225</f>
        <v>0</v>
      </c>
      <c r="J225" s="5">
        <f t="shared" ca="1" si="19"/>
        <v>0</v>
      </c>
      <c r="K225" s="179"/>
      <c r="L225" s="420">
        <f ca="1">(' CDM Summary'!$N$21-' CDM Summary'!$N$18)*'Rate Class Energy Model'!$F$25</f>
        <v>43691123.258479819</v>
      </c>
      <c r="M225" s="407">
        <f t="shared" ca="1" si="20"/>
        <v>1106850017.3535635</v>
      </c>
      <c r="N225" s="420">
        <f ca="1">+' CDM Summary'!N$18*'Rate Class Energy Model'!$F$25</f>
        <v>5204570.4415201806</v>
      </c>
      <c r="O225" s="407">
        <f t="shared" ca="1" si="21"/>
        <v>1101645446.9120433</v>
      </c>
      <c r="P225" s="6">
        <f ca="1">+'City Expansion'!C108</f>
        <v>104123427.24420232</v>
      </c>
      <c r="Q225" s="407">
        <f t="shared" ca="1" si="22"/>
        <v>1205768874.1562457</v>
      </c>
      <c r="S225" s="172"/>
      <c r="T225" s="417"/>
    </row>
    <row r="226" spans="1:21">
      <c r="A226">
        <v>2019</v>
      </c>
      <c r="B226" s="6">
        <f ca="1">+H226</f>
        <v>1149928148.2583847</v>
      </c>
      <c r="C226" s="107">
        <f t="shared" ca="1" si="25"/>
        <v>-612992.35365867615</v>
      </c>
      <c r="D226" s="109">
        <f t="shared" ca="1" si="26"/>
        <v>-5.3278612299998936E-4</v>
      </c>
      <c r="E226" s="109">
        <f ca="1">RATE(16,0,-B$210,B226)</f>
        <v>-4.3360117449369098E-3</v>
      </c>
      <c r="G226" s="6"/>
      <c r="H226" s="6">
        <f ca="1">SUM(H195:H206)</f>
        <v>1149928148.2583847</v>
      </c>
      <c r="I226" s="36">
        <f ca="1">H226-B226</f>
        <v>0</v>
      </c>
      <c r="J226" s="5">
        <f t="shared" ca="1" si="19"/>
        <v>0</v>
      </c>
      <c r="K226" s="179"/>
      <c r="L226" s="420">
        <f ca="1">(' CDM Summary'!$O$21-' CDM Summary'!$O$18)*'Rate Class Energy Model'!$F$25</f>
        <v>56194300.428896017</v>
      </c>
      <c r="M226" s="407">
        <f t="shared" ca="1" si="20"/>
        <v>1093733847.8294888</v>
      </c>
      <c r="N226" s="420">
        <f ca="1">+' CDM Summary'!O$18*'Rate Class Energy Model'!$F$25</f>
        <v>5247892.2711039763</v>
      </c>
      <c r="O226" s="407">
        <f t="shared" ca="1" si="21"/>
        <v>1088485955.5583849</v>
      </c>
      <c r="P226" s="6">
        <f ca="1">+'City Expansion'!C109</f>
        <v>131706603.71168409</v>
      </c>
      <c r="Q226" s="407">
        <f t="shared" ca="1" si="22"/>
        <v>1220192559.2700689</v>
      </c>
      <c r="S226" s="172"/>
      <c r="T226" s="417"/>
    </row>
    <row r="227" spans="1:21">
      <c r="C227" s="101"/>
      <c r="F227" s="6"/>
      <c r="H227" s="6"/>
      <c r="K227" s="179"/>
      <c r="T227"/>
    </row>
    <row r="228" spans="1:21">
      <c r="A228" t="s">
        <v>9</v>
      </c>
      <c r="B228" s="6">
        <f ca="1">SUM(B210:B226)</f>
        <v>19690792470.06945</v>
      </c>
      <c r="C228" s="101"/>
      <c r="H228" s="6">
        <f ca="1">SUM(H210:H226)</f>
        <v>19690792470.069458</v>
      </c>
      <c r="I228" s="184">
        <f ca="1">H228-B228</f>
        <v>0</v>
      </c>
      <c r="K228" s="179"/>
      <c r="T228"/>
    </row>
    <row r="229" spans="1:21">
      <c r="I229" s="62"/>
      <c r="K229" s="179"/>
      <c r="S229" s="172"/>
      <c r="T229" s="172"/>
      <c r="U229" s="172"/>
    </row>
    <row r="230" spans="1:21">
      <c r="H230" s="6">
        <f ca="1">SUM(H210:H226)</f>
        <v>19690792470.069458</v>
      </c>
      <c r="I230" s="184">
        <f ca="1">H208-H230</f>
        <v>0</v>
      </c>
      <c r="K230" s="179"/>
      <c r="S230" s="172"/>
      <c r="T230" s="172"/>
      <c r="U230" s="172"/>
    </row>
    <row r="231" spans="1:21">
      <c r="H231" s="23"/>
      <c r="I231" s="185" t="s">
        <v>69</v>
      </c>
      <c r="J231" s="18"/>
      <c r="K231" s="179"/>
      <c r="S231" s="172"/>
      <c r="T231" s="172"/>
      <c r="U231" s="172"/>
    </row>
    <row r="232" spans="1:21">
      <c r="K232" s="179"/>
      <c r="S232" s="172"/>
      <c r="T232" s="172"/>
      <c r="U232" s="172"/>
    </row>
    <row r="233" spans="1:21">
      <c r="K233" s="179"/>
      <c r="S233" s="172"/>
      <c r="T233" s="172"/>
      <c r="U233" s="172"/>
    </row>
    <row r="234" spans="1:21">
      <c r="E234" s="162"/>
      <c r="S234" s="172"/>
      <c r="T234" s="172"/>
      <c r="U234" s="172"/>
    </row>
    <row r="235" spans="1:21">
      <c r="E235" s="162"/>
      <c r="H235" s="101"/>
      <c r="T235" s="172"/>
    </row>
    <row r="236" spans="1:21">
      <c r="F236" s="6"/>
      <c r="H236" s="101"/>
      <c r="T236" s="172"/>
    </row>
    <row r="237" spans="1:21">
      <c r="L237" s="172"/>
      <c r="P237" s="172"/>
      <c r="T237" s="172"/>
    </row>
    <row r="238" spans="1:21">
      <c r="L238" s="172"/>
      <c r="P238" s="172"/>
      <c r="T238"/>
    </row>
    <row r="239" spans="1:21">
      <c r="T239"/>
    </row>
    <row r="240" spans="1:21">
      <c r="C240" s="6"/>
      <c r="D240" s="6"/>
      <c r="F240" s="6"/>
      <c r="G240" s="6"/>
      <c r="H240" s="6"/>
      <c r="T240"/>
    </row>
    <row r="241" spans="8:20">
      <c r="H241" s="6"/>
      <c r="K241" s="179"/>
      <c r="T241"/>
    </row>
    <row r="242" spans="8:20">
      <c r="T242"/>
    </row>
    <row r="243" spans="8:20">
      <c r="T243"/>
    </row>
    <row r="244" spans="8:20">
      <c r="T244"/>
    </row>
    <row r="245" spans="8:20">
      <c r="T245"/>
    </row>
    <row r="246" spans="8:20">
      <c r="T246"/>
    </row>
    <row r="247" spans="8:20">
      <c r="T247"/>
    </row>
    <row r="248" spans="8:20">
      <c r="T248"/>
    </row>
    <row r="249" spans="8:20">
      <c r="T249"/>
    </row>
    <row r="250" spans="8:20">
      <c r="T250"/>
    </row>
    <row r="251" spans="8:20">
      <c r="T251"/>
    </row>
    <row r="252" spans="8:20">
      <c r="T252"/>
    </row>
    <row r="253" spans="8:20">
      <c r="T253"/>
    </row>
    <row r="254" spans="8:20">
      <c r="T254"/>
    </row>
    <row r="255" spans="8:20">
      <c r="T255"/>
    </row>
    <row r="256" spans="8:20">
      <c r="T256"/>
    </row>
    <row r="257" spans="20:20">
      <c r="T257"/>
    </row>
    <row r="258" spans="20:20">
      <c r="T258"/>
    </row>
    <row r="259" spans="20:20">
      <c r="T259"/>
    </row>
    <row r="260" spans="20:20">
      <c r="T260"/>
    </row>
    <row r="261" spans="20:20">
      <c r="T261"/>
    </row>
    <row r="262" spans="20:20">
      <c r="T262"/>
    </row>
    <row r="263" spans="20:20">
      <c r="T263"/>
    </row>
    <row r="264" spans="20:20">
      <c r="T264"/>
    </row>
    <row r="265" spans="20:20">
      <c r="T265"/>
    </row>
    <row r="266" spans="20:20">
      <c r="T266"/>
    </row>
    <row r="267" spans="20:20">
      <c r="T267"/>
    </row>
    <row r="268" spans="20:20">
      <c r="T268"/>
    </row>
    <row r="269" spans="20:20">
      <c r="T269"/>
    </row>
    <row r="270" spans="20:20">
      <c r="T270"/>
    </row>
    <row r="271" spans="20:20">
      <c r="T271"/>
    </row>
    <row r="272" spans="20:20">
      <c r="T272"/>
    </row>
    <row r="273" spans="20:20">
      <c r="T273"/>
    </row>
    <row r="274" spans="20:20">
      <c r="T274"/>
    </row>
    <row r="275" spans="20:20">
      <c r="T275"/>
    </row>
    <row r="276" spans="20:20">
      <c r="T276"/>
    </row>
    <row r="277" spans="20:20">
      <c r="T277"/>
    </row>
    <row r="278" spans="20:20">
      <c r="T278"/>
    </row>
    <row r="279" spans="20:20">
      <c r="T279"/>
    </row>
    <row r="280" spans="20:20">
      <c r="T280"/>
    </row>
    <row r="281" spans="20:20">
      <c r="T281"/>
    </row>
    <row r="282" spans="20:20">
      <c r="T282"/>
    </row>
    <row r="283" spans="20:20">
      <c r="T283"/>
    </row>
    <row r="284" spans="20:20">
      <c r="T284"/>
    </row>
    <row r="285" spans="20:20">
      <c r="T285"/>
    </row>
    <row r="286" spans="20:20">
      <c r="T286"/>
    </row>
    <row r="287" spans="20:20">
      <c r="T287"/>
    </row>
    <row r="288" spans="20:20">
      <c r="T288"/>
    </row>
    <row r="289" spans="20:20">
      <c r="T289"/>
    </row>
    <row r="290" spans="20:20">
      <c r="T290"/>
    </row>
    <row r="291" spans="20:20">
      <c r="T291"/>
    </row>
    <row r="292" spans="20:20">
      <c r="T292"/>
    </row>
    <row r="293" spans="20:20">
      <c r="T293"/>
    </row>
    <row r="294" spans="20:20">
      <c r="T294"/>
    </row>
    <row r="295" spans="20:20">
      <c r="T295"/>
    </row>
    <row r="296" spans="20:20">
      <c r="T296"/>
    </row>
    <row r="297" spans="20:20">
      <c r="T297"/>
    </row>
    <row r="298" spans="20:20">
      <c r="T298"/>
    </row>
    <row r="299" spans="20:20">
      <c r="T299"/>
    </row>
    <row r="300" spans="20:20">
      <c r="T300"/>
    </row>
    <row r="301" spans="20:20">
      <c r="T301"/>
    </row>
    <row r="302" spans="20:20">
      <c r="T302"/>
    </row>
    <row r="303" spans="20:20">
      <c r="T303"/>
    </row>
    <row r="304" spans="20:20">
      <c r="T304"/>
    </row>
    <row r="305" spans="20:20">
      <c r="T305"/>
    </row>
    <row r="306" spans="20:20">
      <c r="T306"/>
    </row>
    <row r="307" spans="20:20">
      <c r="T307"/>
    </row>
    <row r="308" spans="20:20">
      <c r="T308"/>
    </row>
    <row r="309" spans="20:20">
      <c r="T309"/>
    </row>
    <row r="310" spans="20:20">
      <c r="T310"/>
    </row>
    <row r="311" spans="20:20">
      <c r="T311"/>
    </row>
    <row r="312" spans="20:20">
      <c r="T312"/>
    </row>
    <row r="313" spans="20:20">
      <c r="T313"/>
    </row>
    <row r="314" spans="20:20">
      <c r="T314"/>
    </row>
    <row r="315" spans="20:20">
      <c r="T315"/>
    </row>
    <row r="316" spans="20:20">
      <c r="T316"/>
    </row>
    <row r="317" spans="20:20">
      <c r="T317"/>
    </row>
    <row r="318" spans="20:20">
      <c r="T318"/>
    </row>
    <row r="319" spans="20:20">
      <c r="T319"/>
    </row>
    <row r="320" spans="20:20">
      <c r="T320"/>
    </row>
    <row r="321" spans="20:20">
      <c r="T321"/>
    </row>
    <row r="322" spans="20:20">
      <c r="T322"/>
    </row>
    <row r="323" spans="20:20">
      <c r="T323"/>
    </row>
    <row r="324" spans="20:20">
      <c r="T324"/>
    </row>
    <row r="325" spans="20:20">
      <c r="T325"/>
    </row>
    <row r="326" spans="20:20">
      <c r="T326"/>
    </row>
    <row r="327" spans="20:20">
      <c r="T327"/>
    </row>
    <row r="328" spans="20:20">
      <c r="T328"/>
    </row>
    <row r="329" spans="20:20">
      <c r="T329"/>
    </row>
    <row r="330" spans="20:20">
      <c r="T330"/>
    </row>
    <row r="331" spans="20:20">
      <c r="T331"/>
    </row>
    <row r="332" spans="20:20">
      <c r="T332"/>
    </row>
    <row r="333" spans="20:20">
      <c r="T333"/>
    </row>
    <row r="334" spans="20:20">
      <c r="T334"/>
    </row>
    <row r="335" spans="20:20">
      <c r="T335"/>
    </row>
    <row r="336" spans="20:20">
      <c r="T336"/>
    </row>
    <row r="337" spans="20:20">
      <c r="T337"/>
    </row>
    <row r="338" spans="20:20">
      <c r="T338"/>
    </row>
    <row r="339" spans="20:20">
      <c r="T339"/>
    </row>
    <row r="340" spans="20:20">
      <c r="T340"/>
    </row>
    <row r="341" spans="20:20">
      <c r="T341"/>
    </row>
    <row r="342" spans="20:20">
      <c r="T342"/>
    </row>
    <row r="343" spans="20:20">
      <c r="T343"/>
    </row>
    <row r="344" spans="20:20">
      <c r="T344"/>
    </row>
    <row r="345" spans="20:20">
      <c r="T345"/>
    </row>
    <row r="346" spans="20:20">
      <c r="T346"/>
    </row>
    <row r="347" spans="20:20">
      <c r="T347"/>
    </row>
    <row r="348" spans="20:20">
      <c r="T348"/>
    </row>
    <row r="349" spans="20:20">
      <c r="T349"/>
    </row>
    <row r="350" spans="20:20">
      <c r="T350"/>
    </row>
    <row r="351" spans="20:20">
      <c r="T351"/>
    </row>
    <row r="352" spans="20:20">
      <c r="T352"/>
    </row>
    <row r="353" spans="20:20">
      <c r="T353"/>
    </row>
    <row r="354" spans="20:20">
      <c r="T354"/>
    </row>
    <row r="355" spans="20:20">
      <c r="T355"/>
    </row>
    <row r="356" spans="20:20">
      <c r="T356"/>
    </row>
    <row r="357" spans="20:20">
      <c r="T357"/>
    </row>
    <row r="358" spans="20:20">
      <c r="T358"/>
    </row>
    <row r="359" spans="20:20">
      <c r="T359"/>
    </row>
    <row r="360" spans="20:20">
      <c r="T360"/>
    </row>
    <row r="361" spans="20:20">
      <c r="T361"/>
    </row>
    <row r="362" spans="20:20">
      <c r="T362"/>
    </row>
    <row r="363" spans="20:20">
      <c r="T363"/>
    </row>
    <row r="364" spans="20:20">
      <c r="T364"/>
    </row>
    <row r="365" spans="20:20">
      <c r="T365"/>
    </row>
    <row r="366" spans="20:20">
      <c r="T366"/>
    </row>
    <row r="367" spans="20:20">
      <c r="T367"/>
    </row>
    <row r="368" spans="20:20">
      <c r="T368"/>
    </row>
    <row r="369" spans="20:20">
      <c r="T369"/>
    </row>
    <row r="370" spans="20:20">
      <c r="T370"/>
    </row>
    <row r="371" spans="20:20">
      <c r="T371"/>
    </row>
    <row r="372" spans="20:20">
      <c r="T372"/>
    </row>
    <row r="373" spans="20:20">
      <c r="T373"/>
    </row>
    <row r="374" spans="20:20">
      <c r="T374"/>
    </row>
    <row r="375" spans="20:20">
      <c r="T375"/>
    </row>
    <row r="376" spans="20:20">
      <c r="T376"/>
    </row>
    <row r="377" spans="20:20">
      <c r="T377"/>
    </row>
    <row r="378" spans="20:20">
      <c r="T378"/>
    </row>
    <row r="379" spans="20:20">
      <c r="T379"/>
    </row>
    <row r="380" spans="20:20">
      <c r="T380"/>
    </row>
    <row r="381" spans="20:20">
      <c r="T381"/>
    </row>
    <row r="382" spans="20:20">
      <c r="T382"/>
    </row>
    <row r="383" spans="20:20">
      <c r="T383"/>
    </row>
    <row r="384" spans="20:20">
      <c r="T384"/>
    </row>
    <row r="385" spans="20:20">
      <c r="T385"/>
    </row>
    <row r="386" spans="20:20">
      <c r="T386"/>
    </row>
  </sheetData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78"/>
  <sheetViews>
    <sheetView workbookViewId="0"/>
  </sheetViews>
  <sheetFormatPr defaultRowHeight="13.2"/>
  <cols>
    <col min="1" max="1" width="12.88671875" customWidth="1"/>
    <col min="2" max="2" width="17.88671875" customWidth="1"/>
    <col min="3" max="4" width="19.109375" customWidth="1"/>
    <col min="7" max="7" width="19.109375" customWidth="1"/>
    <col min="8" max="8" width="17.88671875" customWidth="1"/>
    <col min="9" max="9" width="19.109375" customWidth="1"/>
  </cols>
  <sheetData>
    <row r="1" spans="1:10" ht="26.4">
      <c r="A1" s="173" t="s">
        <v>200</v>
      </c>
      <c r="B1" s="173" t="s">
        <v>117</v>
      </c>
      <c r="C1" s="173" t="s">
        <v>202</v>
      </c>
      <c r="D1" s="173" t="s">
        <v>201</v>
      </c>
      <c r="E1" s="173" t="s">
        <v>203</v>
      </c>
      <c r="F1" s="351" t="s">
        <v>275</v>
      </c>
      <c r="G1" s="351" t="s">
        <v>202</v>
      </c>
      <c r="H1" s="351" t="s">
        <v>117</v>
      </c>
      <c r="I1" s="351" t="s">
        <v>201</v>
      </c>
      <c r="J1" s="351" t="s">
        <v>203</v>
      </c>
    </row>
    <row r="2" spans="1:10">
      <c r="A2" s="173"/>
      <c r="B2" s="173"/>
      <c r="C2" s="173"/>
      <c r="D2" s="173"/>
    </row>
    <row r="3" spans="1:10">
      <c r="A3" t="s">
        <v>118</v>
      </c>
      <c r="B3" s="194">
        <v>8279.7652300000009</v>
      </c>
      <c r="C3" s="71">
        <v>5.5E-2</v>
      </c>
      <c r="D3" s="195">
        <v>1968.21875</v>
      </c>
      <c r="E3" s="195">
        <f>+D3/3</f>
        <v>656.07291666666663</v>
      </c>
      <c r="G3" s="71">
        <v>5.5E-2</v>
      </c>
      <c r="H3" s="195">
        <v>8409.5400100000006</v>
      </c>
      <c r="I3" s="195">
        <v>1968.21875</v>
      </c>
      <c r="J3" s="195">
        <f>+I3/3</f>
        <v>656.07291666666663</v>
      </c>
    </row>
    <row r="4" spans="1:10">
      <c r="A4" t="s">
        <v>119</v>
      </c>
      <c r="B4" s="194">
        <v>8398.9087299999992</v>
      </c>
      <c r="C4" s="71">
        <v>5.9000000000000004E-2</v>
      </c>
      <c r="D4" s="195">
        <v>1938.53125</v>
      </c>
      <c r="E4" s="195">
        <f t="shared" ref="E4:E67" si="0">+D4/3</f>
        <v>646.17708333333337</v>
      </c>
      <c r="G4" s="71">
        <v>5.9000000000000004E-2</v>
      </c>
      <c r="H4" s="195">
        <v>8491.2183100000002</v>
      </c>
      <c r="I4" s="195">
        <v>1938.53125</v>
      </c>
      <c r="J4" s="195">
        <f t="shared" ref="J4:J58" si="1">+I4/3</f>
        <v>646.17708333333337</v>
      </c>
    </row>
    <row r="5" spans="1:10">
      <c r="A5" t="s">
        <v>120</v>
      </c>
      <c r="B5" s="194">
        <v>8607.3889500000005</v>
      </c>
      <c r="C5" s="71">
        <v>6.0999999999999999E-2</v>
      </c>
      <c r="D5" s="195">
        <v>1901.15625</v>
      </c>
      <c r="E5" s="195">
        <f t="shared" si="0"/>
        <v>633.71875</v>
      </c>
      <c r="G5" s="71">
        <v>6.0999999999999999E-2</v>
      </c>
      <c r="H5" s="195">
        <v>8693.0823099999998</v>
      </c>
      <c r="I5" s="195">
        <v>1901.15625</v>
      </c>
      <c r="J5" s="195">
        <f t="shared" si="1"/>
        <v>633.71875</v>
      </c>
    </row>
    <row r="6" spans="1:10">
      <c r="A6" t="s">
        <v>121</v>
      </c>
      <c r="B6" s="194">
        <v>8729.6934600000004</v>
      </c>
      <c r="C6" s="71">
        <v>5.7999999999999996E-2</v>
      </c>
      <c r="D6" s="195">
        <v>1856.09375</v>
      </c>
      <c r="E6" s="195">
        <f t="shared" si="0"/>
        <v>618.69791666666663</v>
      </c>
      <c r="G6" s="71">
        <v>5.7999999999999996E-2</v>
      </c>
      <c r="H6" s="195">
        <v>8758.7993900000001</v>
      </c>
      <c r="I6" s="195">
        <v>1856.09375</v>
      </c>
      <c r="J6" s="195">
        <f t="shared" si="1"/>
        <v>618.69791666666663</v>
      </c>
    </row>
    <row r="7" spans="1:10">
      <c r="A7" t="s">
        <v>122</v>
      </c>
      <c r="B7" s="194">
        <v>8852.2767899999999</v>
      </c>
      <c r="C7" s="71">
        <v>5.0999999999999997E-2</v>
      </c>
      <c r="D7" s="195">
        <v>1748.1875</v>
      </c>
      <c r="E7" s="195">
        <f t="shared" si="0"/>
        <v>582.72916666666663</v>
      </c>
      <c r="G7" s="71">
        <v>5.0999999999999997E-2</v>
      </c>
      <c r="H7" s="195">
        <v>8887.61276</v>
      </c>
      <c r="I7" s="195">
        <v>1748.1875</v>
      </c>
      <c r="J7" s="195">
        <f t="shared" si="1"/>
        <v>582.72916666666663</v>
      </c>
    </row>
    <row r="8" spans="1:10">
      <c r="A8" t="s">
        <v>123</v>
      </c>
      <c r="B8" s="194">
        <v>8951.3808300000001</v>
      </c>
      <c r="C8" s="71">
        <v>5.2000000000000005E-2</v>
      </c>
      <c r="D8" s="195">
        <v>1709.8125</v>
      </c>
      <c r="E8" s="195">
        <f t="shared" si="0"/>
        <v>569.9375</v>
      </c>
      <c r="G8" s="71">
        <v>5.2000000000000005E-2</v>
      </c>
      <c r="H8" s="195">
        <v>9009.0143399999997</v>
      </c>
      <c r="I8" s="195">
        <v>1709.8125</v>
      </c>
      <c r="J8" s="195">
        <f t="shared" si="1"/>
        <v>569.9375</v>
      </c>
    </row>
    <row r="9" spans="1:10">
      <c r="A9" t="s">
        <v>124</v>
      </c>
      <c r="B9" s="194">
        <v>8952.7226900000005</v>
      </c>
      <c r="C9" s="71">
        <v>5.7999999999999996E-2</v>
      </c>
      <c r="D9" s="195">
        <v>1685.8125</v>
      </c>
      <c r="E9" s="195">
        <f t="shared" si="0"/>
        <v>561.9375</v>
      </c>
      <c r="G9" s="71">
        <v>5.7999999999999996E-2</v>
      </c>
      <c r="H9" s="195">
        <v>8989.8852100000004</v>
      </c>
      <c r="I9" s="195">
        <v>1685.8125</v>
      </c>
      <c r="J9" s="195">
        <f t="shared" si="1"/>
        <v>561.9375</v>
      </c>
    </row>
    <row r="10" spans="1:10">
      <c r="A10" t="s">
        <v>125</v>
      </c>
      <c r="B10" s="194">
        <v>9005.3871099999997</v>
      </c>
      <c r="C10" s="71">
        <v>6.7000000000000004E-2</v>
      </c>
      <c r="D10" s="195">
        <v>1676.1875</v>
      </c>
      <c r="E10" s="195">
        <f t="shared" si="0"/>
        <v>558.72916666666663</v>
      </c>
      <c r="G10" s="71">
        <v>6.7000000000000004E-2</v>
      </c>
      <c r="H10" s="195">
        <v>9047.4321299999992</v>
      </c>
      <c r="I10" s="195">
        <v>1676.1875</v>
      </c>
      <c r="J10" s="195">
        <f t="shared" si="1"/>
        <v>558.72916666666663</v>
      </c>
    </row>
    <row r="11" spans="1:10">
      <c r="A11" t="s">
        <v>126</v>
      </c>
      <c r="B11" s="194">
        <v>9029.2835099999993</v>
      </c>
      <c r="C11" s="71">
        <v>8.199999999999999E-2</v>
      </c>
      <c r="D11" s="195">
        <v>1734.21875</v>
      </c>
      <c r="E11" s="195">
        <f t="shared" si="0"/>
        <v>578.07291666666663</v>
      </c>
      <c r="G11" s="71">
        <v>8.199999999999999E-2</v>
      </c>
      <c r="H11" s="195">
        <v>9105.1567400000004</v>
      </c>
      <c r="I11" s="195">
        <v>1734.21875</v>
      </c>
      <c r="J11" s="195">
        <f t="shared" si="1"/>
        <v>578.07291666666663</v>
      </c>
    </row>
    <row r="12" spans="1:10">
      <c r="A12" t="s">
        <v>127</v>
      </c>
      <c r="B12" s="194">
        <v>9168.8768099999998</v>
      </c>
      <c r="C12" s="71">
        <v>6.7000000000000004E-2</v>
      </c>
      <c r="D12" s="195">
        <v>1732.03125</v>
      </c>
      <c r="E12" s="195">
        <f t="shared" si="0"/>
        <v>577.34375</v>
      </c>
      <c r="G12" s="71">
        <v>6.7000000000000004E-2</v>
      </c>
      <c r="H12" s="195">
        <v>9230.5662300000004</v>
      </c>
      <c r="I12" s="195">
        <v>1732.03125</v>
      </c>
      <c r="J12" s="195">
        <f t="shared" si="1"/>
        <v>577.34375</v>
      </c>
    </row>
    <row r="13" spans="1:10">
      <c r="A13" t="s">
        <v>128</v>
      </c>
      <c r="B13" s="194">
        <v>9319.0442399999993</v>
      </c>
      <c r="C13" s="71">
        <v>6.3E-2</v>
      </c>
      <c r="D13" s="195">
        <v>1722.90625</v>
      </c>
      <c r="E13" s="195">
        <f t="shared" si="0"/>
        <v>574.30208333333337</v>
      </c>
      <c r="G13" s="71">
        <v>6.3E-2</v>
      </c>
      <c r="H13" s="195">
        <v>9385.7910800000009</v>
      </c>
      <c r="I13" s="195">
        <v>1722.90625</v>
      </c>
      <c r="J13" s="195">
        <f t="shared" si="1"/>
        <v>574.30208333333337</v>
      </c>
    </row>
    <row r="14" spans="1:10">
      <c r="A14" t="s">
        <v>129</v>
      </c>
      <c r="B14" s="194">
        <v>9450.1090199999999</v>
      </c>
      <c r="C14" s="71">
        <v>5.7999999999999996E-2</v>
      </c>
      <c r="D14" s="195">
        <v>1706.84375</v>
      </c>
      <c r="E14" s="195">
        <f t="shared" si="0"/>
        <v>568.94791666666663</v>
      </c>
      <c r="G14" s="71">
        <v>5.7999999999999996E-2</v>
      </c>
      <c r="H14" s="195">
        <v>9484.4933999999994</v>
      </c>
      <c r="I14" s="195">
        <v>1706.84375</v>
      </c>
      <c r="J14" s="195">
        <f t="shared" si="1"/>
        <v>568.94791666666663</v>
      </c>
    </row>
    <row r="15" spans="1:10">
      <c r="A15" t="s">
        <v>130</v>
      </c>
      <c r="B15" s="194">
        <v>9796.4605699999993</v>
      </c>
      <c r="C15" s="71">
        <v>4.7E-2</v>
      </c>
      <c r="D15" s="195">
        <v>1645.875</v>
      </c>
      <c r="E15" s="195">
        <f t="shared" si="0"/>
        <v>548.625</v>
      </c>
      <c r="G15" s="71">
        <v>4.7E-2</v>
      </c>
      <c r="H15" s="195">
        <v>9912.4973699999991</v>
      </c>
      <c r="I15" s="195">
        <v>1645.875</v>
      </c>
      <c r="J15" s="195">
        <f t="shared" si="1"/>
        <v>548.625</v>
      </c>
    </row>
    <row r="16" spans="1:10">
      <c r="A16" t="s">
        <v>131</v>
      </c>
      <c r="B16" s="194">
        <v>9935.7401399999999</v>
      </c>
      <c r="C16" s="71">
        <v>5.5999999999999994E-2</v>
      </c>
      <c r="D16" s="195">
        <v>1631.125</v>
      </c>
      <c r="E16" s="195">
        <f t="shared" si="0"/>
        <v>543.70833333333337</v>
      </c>
      <c r="G16" s="71">
        <v>5.5999999999999994E-2</v>
      </c>
      <c r="H16" s="195">
        <v>10045.061299999999</v>
      </c>
      <c r="I16" s="195">
        <v>1631.125</v>
      </c>
      <c r="J16" s="195">
        <f t="shared" si="1"/>
        <v>543.70833333333337</v>
      </c>
    </row>
    <row r="17" spans="1:10">
      <c r="A17" t="s">
        <v>132</v>
      </c>
      <c r="B17" s="194">
        <v>10065.761</v>
      </c>
      <c r="C17" s="71">
        <v>5.2000000000000005E-2</v>
      </c>
      <c r="D17" s="195">
        <v>1624.625</v>
      </c>
      <c r="E17" s="195">
        <f t="shared" si="0"/>
        <v>541.54166666666663</v>
      </c>
      <c r="G17" s="71">
        <v>5.2000000000000005E-2</v>
      </c>
      <c r="H17" s="195">
        <v>10132.6129</v>
      </c>
      <c r="I17" s="195">
        <v>1624.625</v>
      </c>
      <c r="J17" s="195">
        <f t="shared" si="1"/>
        <v>541.54166666666663</v>
      </c>
    </row>
    <row r="18" spans="1:10">
      <c r="A18" t="s">
        <v>133</v>
      </c>
      <c r="B18" s="194">
        <v>10322.3197</v>
      </c>
      <c r="C18" s="71">
        <v>4.7E-2</v>
      </c>
      <c r="D18" s="195">
        <v>1626.375</v>
      </c>
      <c r="E18" s="195">
        <f t="shared" si="0"/>
        <v>542.125</v>
      </c>
      <c r="G18" s="71">
        <v>4.7E-2</v>
      </c>
      <c r="H18" s="195">
        <v>10400.2147</v>
      </c>
      <c r="I18" s="195">
        <v>1626.375</v>
      </c>
      <c r="J18" s="195">
        <f t="shared" si="1"/>
        <v>542.125</v>
      </c>
    </row>
    <row r="19" spans="1:10">
      <c r="A19" t="s">
        <v>134</v>
      </c>
      <c r="B19" s="194">
        <v>10394.712799999999</v>
      </c>
      <c r="C19" s="71">
        <v>0.05</v>
      </c>
      <c r="D19" s="195">
        <v>1655.75</v>
      </c>
      <c r="E19" s="195">
        <f t="shared" si="0"/>
        <v>551.91666666666663</v>
      </c>
      <c r="G19" s="71">
        <v>0.05</v>
      </c>
      <c r="H19" s="195">
        <v>10458.698399999999</v>
      </c>
      <c r="I19" s="195">
        <v>1655.75</v>
      </c>
      <c r="J19" s="195">
        <f t="shared" si="1"/>
        <v>551.91666666666663</v>
      </c>
    </row>
    <row r="20" spans="1:10">
      <c r="A20" t="s">
        <v>135</v>
      </c>
      <c r="B20" s="194">
        <v>10574.3897</v>
      </c>
      <c r="C20" s="71">
        <v>5.4000000000000006E-2</v>
      </c>
      <c r="D20" s="195">
        <v>1666.25</v>
      </c>
      <c r="E20" s="195">
        <f t="shared" si="0"/>
        <v>555.41666666666663</v>
      </c>
      <c r="G20" s="71">
        <v>5.4000000000000006E-2</v>
      </c>
      <c r="H20" s="195">
        <v>10647.7893</v>
      </c>
      <c r="I20" s="195">
        <v>1666.25</v>
      </c>
      <c r="J20" s="195">
        <f t="shared" si="1"/>
        <v>555.41666666666663</v>
      </c>
    </row>
    <row r="21" spans="1:10">
      <c r="A21" t="s">
        <v>136</v>
      </c>
      <c r="B21" s="194">
        <v>10767.148499999999</v>
      </c>
      <c r="C21" s="71">
        <v>5.5E-2</v>
      </c>
      <c r="D21" s="195">
        <v>1677.25</v>
      </c>
      <c r="E21" s="195">
        <f t="shared" si="0"/>
        <v>559.08333333333337</v>
      </c>
      <c r="G21" s="71">
        <v>5.5E-2</v>
      </c>
      <c r="H21" s="195">
        <v>10854.0236</v>
      </c>
      <c r="I21" s="195">
        <v>1677.25</v>
      </c>
      <c r="J21" s="195">
        <f t="shared" si="1"/>
        <v>559.08333333333337</v>
      </c>
    </row>
    <row r="22" spans="1:10">
      <c r="A22" t="s">
        <v>137</v>
      </c>
      <c r="B22" s="194">
        <v>10899.499400000001</v>
      </c>
      <c r="C22" s="71">
        <v>5.7999999999999996E-2</v>
      </c>
      <c r="D22" s="195">
        <v>1688.75</v>
      </c>
      <c r="E22" s="195">
        <f t="shared" si="0"/>
        <v>562.91666666666663</v>
      </c>
      <c r="G22" s="71">
        <v>5.7999999999999996E-2</v>
      </c>
      <c r="H22" s="195">
        <v>10998.4231</v>
      </c>
      <c r="I22" s="195">
        <v>1688.75</v>
      </c>
      <c r="J22" s="195">
        <f t="shared" si="1"/>
        <v>562.91666666666663</v>
      </c>
    </row>
    <row r="23" spans="1:10">
      <c r="A23" t="s">
        <v>138</v>
      </c>
      <c r="B23" s="194">
        <v>10879.549499999999</v>
      </c>
      <c r="C23" s="71">
        <v>7.2000000000000008E-2</v>
      </c>
      <c r="D23" s="195">
        <v>1701.0625</v>
      </c>
      <c r="E23" s="195">
        <f t="shared" si="0"/>
        <v>567.02083333333337</v>
      </c>
      <c r="G23" s="71">
        <v>7.2000000000000008E-2</v>
      </c>
      <c r="H23" s="195">
        <v>10961.294099999999</v>
      </c>
      <c r="I23" s="195">
        <v>1701.0625</v>
      </c>
      <c r="J23" s="195">
        <f t="shared" si="1"/>
        <v>567.02083333333337</v>
      </c>
    </row>
    <row r="24" spans="1:10">
      <c r="A24" t="s">
        <v>139</v>
      </c>
      <c r="B24" s="194">
        <v>10998.745199999999</v>
      </c>
      <c r="C24" s="71">
        <v>6.4000000000000001E-2</v>
      </c>
      <c r="D24" s="195">
        <v>1713.4375</v>
      </c>
      <c r="E24" s="195">
        <f t="shared" si="0"/>
        <v>571.14583333333337</v>
      </c>
      <c r="G24" s="71">
        <v>6.4000000000000001E-2</v>
      </c>
      <c r="H24" s="195">
        <v>11073.280199999999</v>
      </c>
      <c r="I24" s="195">
        <v>1713.4375</v>
      </c>
      <c r="J24" s="195">
        <f t="shared" si="1"/>
        <v>571.14583333333337</v>
      </c>
    </row>
    <row r="25" spans="1:10">
      <c r="A25" t="s">
        <v>140</v>
      </c>
      <c r="B25" s="194">
        <v>11121.214099999999</v>
      </c>
      <c r="C25" s="71">
        <v>5.7999999999999996E-2</v>
      </c>
      <c r="D25" s="195">
        <v>1726.1875</v>
      </c>
      <c r="E25" s="195">
        <f t="shared" si="0"/>
        <v>575.39583333333337</v>
      </c>
      <c r="G25" s="71">
        <v>5.7999999999999996E-2</v>
      </c>
      <c r="H25" s="195">
        <v>11210.4419</v>
      </c>
      <c r="I25" s="195">
        <v>1726.1875</v>
      </c>
      <c r="J25" s="195">
        <f t="shared" si="1"/>
        <v>575.39583333333337</v>
      </c>
    </row>
    <row r="26" spans="1:10">
      <c r="A26" t="s">
        <v>141</v>
      </c>
      <c r="B26" s="194">
        <v>11250.5581</v>
      </c>
      <c r="C26" s="71">
        <v>6.7000000000000004E-2</v>
      </c>
      <c r="D26" s="195">
        <v>1739.3125</v>
      </c>
      <c r="E26" s="195">
        <f t="shared" si="0"/>
        <v>579.77083333333337</v>
      </c>
      <c r="G26" s="71">
        <v>6.7000000000000004E-2</v>
      </c>
      <c r="H26" s="195">
        <v>11305.9262</v>
      </c>
      <c r="I26" s="195">
        <v>1739.3125</v>
      </c>
      <c r="J26" s="195">
        <f t="shared" si="1"/>
        <v>579.77083333333337</v>
      </c>
    </row>
    <row r="27" spans="1:10">
      <c r="A27" t="s">
        <v>142</v>
      </c>
      <c r="B27" s="194">
        <v>11513.3346</v>
      </c>
      <c r="C27" s="71">
        <v>6.6000000000000003E-2</v>
      </c>
      <c r="D27" s="195">
        <v>1783.125</v>
      </c>
      <c r="E27" s="195">
        <f t="shared" si="0"/>
        <v>594.375</v>
      </c>
      <c r="G27" s="71">
        <v>6.6000000000000003E-2</v>
      </c>
      <c r="H27" s="195">
        <v>11569.7534</v>
      </c>
      <c r="I27" s="195">
        <v>1783.125</v>
      </c>
      <c r="J27" s="195">
        <f t="shared" si="1"/>
        <v>594.375</v>
      </c>
    </row>
    <row r="28" spans="1:10">
      <c r="A28" t="s">
        <v>143</v>
      </c>
      <c r="B28" s="194">
        <v>11573.0075</v>
      </c>
      <c r="C28" s="71">
        <v>6.5000000000000002E-2</v>
      </c>
      <c r="D28" s="195">
        <v>1784.875</v>
      </c>
      <c r="E28" s="195">
        <f t="shared" si="0"/>
        <v>594.95833333333337</v>
      </c>
      <c r="G28" s="71">
        <v>6.5000000000000002E-2</v>
      </c>
      <c r="H28" s="195">
        <v>11655.3516</v>
      </c>
      <c r="I28" s="195">
        <v>1784.875</v>
      </c>
      <c r="J28" s="195">
        <f t="shared" si="1"/>
        <v>594.95833333333337</v>
      </c>
    </row>
    <row r="29" spans="1:10">
      <c r="A29" t="s">
        <v>144</v>
      </c>
      <c r="B29" s="194">
        <v>11634.9043</v>
      </c>
      <c r="C29" s="71">
        <v>6.7000000000000004E-2</v>
      </c>
      <c r="D29" s="195">
        <v>1774.875</v>
      </c>
      <c r="E29" s="195">
        <f t="shared" si="0"/>
        <v>591.625</v>
      </c>
      <c r="G29" s="71">
        <v>6.7000000000000004E-2</v>
      </c>
      <c r="H29" s="195">
        <v>11681.482</v>
      </c>
      <c r="I29" s="195">
        <v>1774.875</v>
      </c>
      <c r="J29" s="195">
        <f t="shared" si="1"/>
        <v>591.625</v>
      </c>
    </row>
    <row r="30" spans="1:10">
      <c r="A30" t="s">
        <v>145</v>
      </c>
      <c r="B30" s="194">
        <v>11798.984</v>
      </c>
      <c r="C30" s="71">
        <v>6.8000000000000005E-2</v>
      </c>
      <c r="D30" s="195">
        <v>1753.125</v>
      </c>
      <c r="E30" s="195">
        <f t="shared" si="0"/>
        <v>584.375</v>
      </c>
      <c r="G30" s="71">
        <v>6.8000000000000005E-2</v>
      </c>
      <c r="H30" s="195">
        <v>11880.014499999999</v>
      </c>
      <c r="I30" s="195">
        <v>1753.125</v>
      </c>
      <c r="J30" s="195">
        <f t="shared" si="1"/>
        <v>584.375</v>
      </c>
    </row>
    <row r="31" spans="1:10">
      <c r="A31" t="s">
        <v>146</v>
      </c>
      <c r="B31" s="194">
        <v>11884.4946</v>
      </c>
      <c r="C31" s="71">
        <v>6.0999999999999999E-2</v>
      </c>
      <c r="D31" s="195">
        <v>1649.46875</v>
      </c>
      <c r="E31" s="195">
        <f t="shared" si="0"/>
        <v>549.82291666666663</v>
      </c>
      <c r="G31" s="71">
        <v>6.0999999999999999E-2</v>
      </c>
      <c r="H31" s="195">
        <v>11902.270200000001</v>
      </c>
      <c r="I31" s="195">
        <v>1649.46875</v>
      </c>
      <c r="J31" s="195">
        <f t="shared" si="1"/>
        <v>549.82291666666663</v>
      </c>
    </row>
    <row r="32" spans="1:10">
      <c r="A32" t="s">
        <v>147</v>
      </c>
      <c r="B32" s="194">
        <v>12154.242700000001</v>
      </c>
      <c r="C32" s="71">
        <v>0.06</v>
      </c>
      <c r="D32" s="195">
        <v>1632.28125</v>
      </c>
      <c r="E32" s="195">
        <f t="shared" si="0"/>
        <v>544.09375</v>
      </c>
      <c r="G32" s="71">
        <v>0.06</v>
      </c>
      <c r="H32" s="195">
        <v>12176.6981</v>
      </c>
      <c r="I32" s="195">
        <v>1632.28125</v>
      </c>
      <c r="J32" s="195">
        <f t="shared" si="1"/>
        <v>544.09375</v>
      </c>
    </row>
    <row r="33" spans="1:10">
      <c r="A33" t="s">
        <v>148</v>
      </c>
      <c r="B33" s="194">
        <v>12404.919400000001</v>
      </c>
      <c r="C33" s="71">
        <v>6.5000000000000002E-2</v>
      </c>
      <c r="D33" s="195">
        <v>1631.40625</v>
      </c>
      <c r="E33" s="195">
        <f t="shared" si="0"/>
        <v>543.80208333333337</v>
      </c>
      <c r="G33" s="71">
        <v>6.5000000000000002E-2</v>
      </c>
      <c r="H33" s="195">
        <v>12427.155199999999</v>
      </c>
      <c r="I33" s="195">
        <v>1631.40625</v>
      </c>
      <c r="J33" s="195">
        <f t="shared" si="1"/>
        <v>543.80208333333337</v>
      </c>
    </row>
    <row r="34" spans="1:10">
      <c r="A34" t="s">
        <v>149</v>
      </c>
      <c r="B34" s="194">
        <v>12611.191999999999</v>
      </c>
      <c r="C34" s="71">
        <v>6.3E-2</v>
      </c>
      <c r="D34" s="195">
        <v>1646.84375</v>
      </c>
      <c r="E34" s="195">
        <f t="shared" si="0"/>
        <v>548.94791666666663</v>
      </c>
      <c r="G34" s="71">
        <v>6.3E-2</v>
      </c>
      <c r="H34" s="195">
        <v>12622.6769</v>
      </c>
      <c r="I34" s="195">
        <v>1646.84375</v>
      </c>
      <c r="J34" s="195">
        <f t="shared" si="1"/>
        <v>548.94791666666663</v>
      </c>
    </row>
    <row r="35" spans="1:10">
      <c r="A35" t="s">
        <v>150</v>
      </c>
      <c r="B35" s="194">
        <v>12468.519899999999</v>
      </c>
      <c r="C35" s="71">
        <v>6.4000000000000001E-2</v>
      </c>
      <c r="D35" s="195">
        <v>1757.5</v>
      </c>
      <c r="E35" s="195">
        <f t="shared" si="0"/>
        <v>585.83333333333337</v>
      </c>
      <c r="G35" s="71">
        <v>6.4000000000000001E-2</v>
      </c>
      <c r="H35" s="195">
        <v>12501.5021</v>
      </c>
      <c r="I35" s="195">
        <v>1757.5</v>
      </c>
      <c r="J35" s="195">
        <f t="shared" si="1"/>
        <v>585.83333333333337</v>
      </c>
    </row>
    <row r="36" spans="1:10">
      <c r="A36" t="s">
        <v>151</v>
      </c>
      <c r="B36" s="194">
        <v>12766.4694</v>
      </c>
      <c r="C36" s="71">
        <v>7.400000000000001E-2</v>
      </c>
      <c r="D36" s="195">
        <v>1774</v>
      </c>
      <c r="E36" s="195">
        <f t="shared" si="0"/>
        <v>591.33333333333337</v>
      </c>
      <c r="G36" s="71">
        <v>7.400000000000001E-2</v>
      </c>
      <c r="H36" s="195">
        <v>12784.435100000001</v>
      </c>
      <c r="I36" s="195">
        <v>1774</v>
      </c>
      <c r="J36" s="195">
        <f t="shared" si="1"/>
        <v>591.33333333333337</v>
      </c>
    </row>
    <row r="37" spans="1:10">
      <c r="A37" t="s">
        <v>152</v>
      </c>
      <c r="B37" s="194">
        <v>12962.837799999999</v>
      </c>
      <c r="C37" s="71">
        <v>6.8000000000000005E-2</v>
      </c>
      <c r="D37" s="195">
        <v>1775.25</v>
      </c>
      <c r="E37" s="195">
        <f t="shared" si="0"/>
        <v>591.75</v>
      </c>
      <c r="G37" s="71">
        <v>6.8000000000000005E-2</v>
      </c>
      <c r="H37" s="195">
        <v>12981.7989</v>
      </c>
      <c r="I37" s="195">
        <v>1775.25</v>
      </c>
      <c r="J37" s="195">
        <f t="shared" si="1"/>
        <v>591.75</v>
      </c>
    </row>
    <row r="38" spans="1:10">
      <c r="A38" t="s">
        <v>153</v>
      </c>
      <c r="B38" s="194">
        <v>12725.6921</v>
      </c>
      <c r="C38" s="71">
        <v>7.9000000000000001E-2</v>
      </c>
      <c r="D38" s="195">
        <v>1761.25</v>
      </c>
      <c r="E38" s="195">
        <f t="shared" si="0"/>
        <v>587.08333333333337</v>
      </c>
      <c r="G38" s="71">
        <v>7.9000000000000001E-2</v>
      </c>
      <c r="H38" s="195">
        <v>12747.0121</v>
      </c>
      <c r="I38" s="195">
        <v>1761.25</v>
      </c>
      <c r="J38" s="195">
        <f t="shared" si="1"/>
        <v>587.08333333333337</v>
      </c>
    </row>
    <row r="39" spans="1:10">
      <c r="A39" t="s">
        <v>154</v>
      </c>
      <c r="B39" s="194">
        <v>12712.4866</v>
      </c>
      <c r="C39" s="71">
        <v>8.5000000000000006E-2</v>
      </c>
      <c r="D39" s="195">
        <v>1651.53125</v>
      </c>
      <c r="E39" s="195">
        <f t="shared" si="0"/>
        <v>550.51041666666663</v>
      </c>
      <c r="G39" s="71">
        <v>8.5000000000000006E-2</v>
      </c>
      <c r="H39" s="195">
        <v>12786.2066</v>
      </c>
      <c r="I39" s="195">
        <v>1651.53125</v>
      </c>
      <c r="J39" s="195">
        <f t="shared" si="1"/>
        <v>550.51041666666663</v>
      </c>
    </row>
    <row r="40" spans="1:10">
      <c r="A40" t="s">
        <v>155</v>
      </c>
      <c r="B40" s="194">
        <v>12872.734700000001</v>
      </c>
      <c r="C40" s="71">
        <v>8.6999999999999994E-2</v>
      </c>
      <c r="D40" s="195">
        <v>1639.21875</v>
      </c>
      <c r="E40" s="195">
        <f t="shared" si="0"/>
        <v>546.40625</v>
      </c>
      <c r="G40" s="71">
        <v>8.6999999999999994E-2</v>
      </c>
      <c r="H40" s="195">
        <v>12941.8472</v>
      </c>
      <c r="I40" s="195">
        <v>1639.21875</v>
      </c>
      <c r="J40" s="195">
        <f t="shared" si="1"/>
        <v>546.40625</v>
      </c>
    </row>
    <row r="41" spans="1:10">
      <c r="A41" t="s">
        <v>156</v>
      </c>
      <c r="B41" s="194">
        <v>13245.093800000001</v>
      </c>
      <c r="C41" s="71">
        <v>9.1999999999999998E-2</v>
      </c>
      <c r="D41" s="195">
        <v>1643.84375</v>
      </c>
      <c r="E41" s="195">
        <f t="shared" si="0"/>
        <v>547.94791666666663</v>
      </c>
      <c r="G41" s="71">
        <v>9.1999999999999998E-2</v>
      </c>
      <c r="H41" s="195">
        <v>13297.051799999999</v>
      </c>
      <c r="I41" s="195">
        <v>1643.84375</v>
      </c>
      <c r="J41" s="195">
        <f t="shared" si="1"/>
        <v>547.94791666666663</v>
      </c>
    </row>
    <row r="42" spans="1:10">
      <c r="A42" t="s">
        <v>157</v>
      </c>
      <c r="B42" s="194">
        <v>13336.073</v>
      </c>
      <c r="C42" s="71">
        <v>9.9000000000000005E-2</v>
      </c>
      <c r="D42" s="195">
        <v>1665.40625</v>
      </c>
      <c r="E42" s="195">
        <f t="shared" si="0"/>
        <v>555.13541666666663</v>
      </c>
      <c r="G42" s="71">
        <v>9.9000000000000005E-2</v>
      </c>
      <c r="H42" s="195">
        <v>13394.8406</v>
      </c>
      <c r="I42" s="195">
        <v>1665.40625</v>
      </c>
      <c r="J42" s="195">
        <f t="shared" si="1"/>
        <v>555.13541666666663</v>
      </c>
    </row>
    <row r="43" spans="1:10">
      <c r="A43" t="s">
        <v>158</v>
      </c>
      <c r="B43" s="194">
        <v>13162.574000000001</v>
      </c>
      <c r="C43" s="71">
        <v>0.10300000000000001</v>
      </c>
      <c r="D43" s="195">
        <v>1778.4375</v>
      </c>
      <c r="E43" s="195">
        <f t="shared" si="0"/>
        <v>592.8125</v>
      </c>
      <c r="G43" s="71">
        <v>0.10300000000000001</v>
      </c>
      <c r="H43" s="195">
        <v>13169.5342</v>
      </c>
      <c r="I43" s="195">
        <v>1778.4375</v>
      </c>
      <c r="J43" s="195">
        <f t="shared" si="1"/>
        <v>592.8125</v>
      </c>
    </row>
    <row r="44" spans="1:10">
      <c r="A44" t="s">
        <v>159</v>
      </c>
      <c r="B44" s="194">
        <v>13331.3061</v>
      </c>
      <c r="C44" s="71">
        <v>9.9000000000000005E-2</v>
      </c>
      <c r="D44" s="195">
        <v>1804.0625</v>
      </c>
      <c r="E44" s="195">
        <f t="shared" si="0"/>
        <v>601.35416666666663</v>
      </c>
      <c r="G44" s="71">
        <v>9.9000000000000005E-2</v>
      </c>
      <c r="H44" s="195">
        <v>13316.228800000001</v>
      </c>
      <c r="I44" s="195">
        <v>1804.0625</v>
      </c>
      <c r="J44" s="195">
        <f t="shared" si="1"/>
        <v>601.35416666666663</v>
      </c>
    </row>
    <row r="45" spans="1:10">
      <c r="A45" t="s">
        <v>160</v>
      </c>
      <c r="B45" s="194">
        <v>13488.6374</v>
      </c>
      <c r="C45" s="71">
        <v>0.10400000000000001</v>
      </c>
      <c r="D45" s="195">
        <v>1816.8125</v>
      </c>
      <c r="E45" s="195">
        <f t="shared" si="0"/>
        <v>605.60416666666663</v>
      </c>
      <c r="G45" s="71">
        <v>0.10400000000000001</v>
      </c>
      <c r="H45" s="195">
        <v>13507.2791</v>
      </c>
      <c r="I45" s="195">
        <v>1816.8125</v>
      </c>
      <c r="J45" s="195">
        <f t="shared" si="1"/>
        <v>605.60416666666663</v>
      </c>
    </row>
    <row r="46" spans="1:10">
      <c r="A46" t="s">
        <v>161</v>
      </c>
      <c r="B46" s="194">
        <v>13481.3341</v>
      </c>
      <c r="C46" s="71">
        <v>9.3000000000000013E-2</v>
      </c>
      <c r="D46" s="195">
        <v>1816.6875</v>
      </c>
      <c r="E46" s="195">
        <f t="shared" si="0"/>
        <v>605.5625</v>
      </c>
      <c r="G46" s="71">
        <v>9.3000000000000013E-2</v>
      </c>
      <c r="H46" s="195">
        <v>13534.7423</v>
      </c>
      <c r="I46" s="195">
        <v>1816.6875</v>
      </c>
      <c r="J46" s="195">
        <f t="shared" si="1"/>
        <v>605.5625</v>
      </c>
    </row>
    <row r="47" spans="1:10">
      <c r="A47" t="s">
        <v>162</v>
      </c>
      <c r="B47" s="194">
        <v>13450.458500000001</v>
      </c>
      <c r="C47" s="71">
        <v>8.6999999999999994E-2</v>
      </c>
      <c r="D47" s="195">
        <v>1767.4375</v>
      </c>
      <c r="E47" s="195">
        <f t="shared" si="0"/>
        <v>589.14583333333337</v>
      </c>
      <c r="G47" s="71">
        <v>8.6999999999999994E-2</v>
      </c>
      <c r="H47" s="195">
        <v>13709.097900000001</v>
      </c>
      <c r="I47" s="195">
        <v>1767.4375</v>
      </c>
      <c r="J47" s="195">
        <f t="shared" si="1"/>
        <v>589.14583333333337</v>
      </c>
    </row>
    <row r="48" spans="1:10">
      <c r="A48" t="s">
        <v>163</v>
      </c>
      <c r="B48" s="194">
        <v>13646.9103</v>
      </c>
      <c r="C48" s="71">
        <v>9.3000000000000013E-2</v>
      </c>
      <c r="D48" s="195">
        <v>1756.0625</v>
      </c>
      <c r="E48" s="195">
        <f t="shared" si="0"/>
        <v>585.35416666666663</v>
      </c>
      <c r="G48" s="71">
        <v>9.3000000000000013E-2</v>
      </c>
      <c r="H48" s="195">
        <v>13901.0429</v>
      </c>
      <c r="I48" s="195">
        <v>1756.0625</v>
      </c>
      <c r="J48" s="195">
        <f t="shared" si="1"/>
        <v>585.35416666666663</v>
      </c>
    </row>
    <row r="49" spans="1:10">
      <c r="A49" t="s">
        <v>164</v>
      </c>
      <c r="B49" s="194">
        <v>13878.487300000001</v>
      </c>
      <c r="C49" s="71">
        <v>7.0999999999999994E-2</v>
      </c>
      <c r="D49" s="195">
        <v>1746.3125</v>
      </c>
      <c r="E49" s="195">
        <f t="shared" si="0"/>
        <v>582.10416666666663</v>
      </c>
      <c r="G49" s="71">
        <v>7.2000000000000008E-2</v>
      </c>
      <c r="H49" s="195">
        <v>14173.843000000001</v>
      </c>
      <c r="I49" s="195">
        <v>1746.3125</v>
      </c>
      <c r="J49" s="195">
        <f t="shared" si="1"/>
        <v>582.10416666666663</v>
      </c>
    </row>
    <row r="50" spans="1:10">
      <c r="A50" t="s">
        <v>165</v>
      </c>
      <c r="B50" s="194">
        <v>14048.4468</v>
      </c>
      <c r="C50" s="71">
        <v>7.400000000000001E-2</v>
      </c>
      <c r="D50" s="195">
        <v>1738.1875</v>
      </c>
      <c r="E50" s="195">
        <f t="shared" si="0"/>
        <v>579.39583333333337</v>
      </c>
      <c r="G50" s="71">
        <v>7.2000000000000008E-2</v>
      </c>
      <c r="H50" s="195">
        <v>14194.0774</v>
      </c>
      <c r="I50" s="195">
        <v>1738.1875</v>
      </c>
      <c r="J50" s="195">
        <f t="shared" si="1"/>
        <v>579.39583333333337</v>
      </c>
    </row>
    <row r="51" spans="1:10">
      <c r="A51" t="s">
        <v>166</v>
      </c>
      <c r="B51" s="194">
        <v>14272.4506</v>
      </c>
      <c r="C51" s="71">
        <v>0.08</v>
      </c>
      <c r="D51" s="195">
        <v>1731.6875</v>
      </c>
      <c r="E51" s="195">
        <f t="shared" si="0"/>
        <v>577.22916666666663</v>
      </c>
      <c r="G51" s="71">
        <v>0.08</v>
      </c>
      <c r="H51" s="195">
        <v>14102.2065</v>
      </c>
      <c r="I51" s="195">
        <v>1731.6875</v>
      </c>
      <c r="J51" s="195">
        <f t="shared" si="1"/>
        <v>577.22916666666663</v>
      </c>
    </row>
    <row r="52" spans="1:10">
      <c r="A52" t="s">
        <v>167</v>
      </c>
      <c r="B52" s="194">
        <v>14370.099099999999</v>
      </c>
      <c r="C52" s="71">
        <v>8.4000000000000005E-2</v>
      </c>
      <c r="D52" s="195">
        <v>1726.8125</v>
      </c>
      <c r="E52" s="195">
        <f t="shared" si="0"/>
        <v>575.60416666666663</v>
      </c>
      <c r="G52" s="71">
        <v>8.4000000000000005E-2</v>
      </c>
      <c r="H52" s="195">
        <v>14190.627500000001</v>
      </c>
      <c r="I52" s="195">
        <v>1726.8125</v>
      </c>
      <c r="J52" s="195">
        <f t="shared" si="1"/>
        <v>575.60416666666663</v>
      </c>
    </row>
    <row r="53" spans="1:10">
      <c r="A53" t="s">
        <v>168</v>
      </c>
      <c r="B53" s="194">
        <v>14528.8591</v>
      </c>
      <c r="C53" s="71">
        <v>9.0999999999999998E-2</v>
      </c>
      <c r="D53" s="195">
        <v>1723.5625</v>
      </c>
      <c r="E53" s="195">
        <f t="shared" si="0"/>
        <v>574.52083333333337</v>
      </c>
      <c r="G53" s="71">
        <v>9.3000000000000013E-2</v>
      </c>
      <c r="H53" s="195">
        <v>14331.0152</v>
      </c>
      <c r="I53" s="195">
        <v>1723.5625</v>
      </c>
      <c r="J53" s="195">
        <f t="shared" si="1"/>
        <v>574.52083333333337</v>
      </c>
    </row>
    <row r="54" spans="1:10">
      <c r="A54" t="s">
        <v>169</v>
      </c>
      <c r="B54" s="194">
        <v>14722.02</v>
      </c>
      <c r="C54" s="71">
        <v>9.6000000000000002E-2</v>
      </c>
      <c r="D54" s="195">
        <v>1721.9375</v>
      </c>
      <c r="E54" s="195">
        <f t="shared" si="0"/>
        <v>573.97916666666663</v>
      </c>
      <c r="G54" s="71">
        <v>9.4E-2</v>
      </c>
      <c r="H54" s="195">
        <v>14514.749299999999</v>
      </c>
      <c r="I54" s="195">
        <v>1721.9375</v>
      </c>
      <c r="J54" s="195">
        <f t="shared" si="1"/>
        <v>573.97916666666663</v>
      </c>
    </row>
    <row r="55" spans="1:10">
      <c r="A55" t="s">
        <v>170</v>
      </c>
      <c r="B55" s="194">
        <v>14922.23</v>
      </c>
      <c r="C55" s="71">
        <v>8.6000110000000005E-2</v>
      </c>
      <c r="D55" s="195">
        <v>1726.355</v>
      </c>
      <c r="E55" s="195">
        <f t="shared" si="0"/>
        <v>575.45166666666671</v>
      </c>
      <c r="G55" s="71">
        <v>8.4000000000000005E-2</v>
      </c>
      <c r="H55" s="195">
        <v>14717.4769</v>
      </c>
      <c r="I55" s="195">
        <v>1726.355</v>
      </c>
      <c r="J55" s="195">
        <f t="shared" si="1"/>
        <v>575.45166666666671</v>
      </c>
    </row>
    <row r="56" spans="1:10">
      <c r="A56" t="s">
        <v>171</v>
      </c>
      <c r="B56" s="194">
        <v>15102.48</v>
      </c>
      <c r="C56" s="71">
        <v>7.8295169999999997E-2</v>
      </c>
      <c r="D56" s="195">
        <v>1728.704</v>
      </c>
      <c r="E56" s="195">
        <f t="shared" si="0"/>
        <v>576.23466666666661</v>
      </c>
      <c r="G56" s="71">
        <v>7.0999999999999994E-2</v>
      </c>
      <c r="H56" s="195">
        <v>14828.1818</v>
      </c>
      <c r="I56" s="195">
        <v>1728.704</v>
      </c>
      <c r="J56" s="195">
        <f t="shared" si="1"/>
        <v>576.23466666666661</v>
      </c>
    </row>
    <row r="57" spans="1:10">
      <c r="A57" t="s">
        <v>172</v>
      </c>
      <c r="B57" s="194">
        <v>15282.72</v>
      </c>
      <c r="C57" s="71">
        <v>6.7434110000000005E-2</v>
      </c>
      <c r="D57" s="195">
        <v>1731.0709999999999</v>
      </c>
      <c r="E57" s="195">
        <f t="shared" si="0"/>
        <v>577.0236666666666</v>
      </c>
      <c r="G57" s="71">
        <v>6.3E-2</v>
      </c>
      <c r="H57" s="195">
        <v>15026.170700000001</v>
      </c>
      <c r="I57" s="195">
        <v>1731.0709999999999</v>
      </c>
      <c r="J57" s="195">
        <f t="shared" si="1"/>
        <v>577.0236666666666</v>
      </c>
    </row>
    <row r="58" spans="1:10">
      <c r="A58" t="s">
        <v>173</v>
      </c>
      <c r="B58" s="194">
        <v>15400.39</v>
      </c>
      <c r="C58" s="71">
        <v>7.5499999999999998E-2</v>
      </c>
      <c r="D58" s="195">
        <v>1733.4659999999999</v>
      </c>
      <c r="E58" s="195">
        <f t="shared" si="0"/>
        <v>577.822</v>
      </c>
      <c r="G58" s="71">
        <v>7.0000000000000007E-2</v>
      </c>
      <c r="H58" s="195">
        <v>15207.028</v>
      </c>
      <c r="I58" s="195">
        <v>1733.4659999999999</v>
      </c>
      <c r="J58" s="195">
        <f t="shared" si="1"/>
        <v>577.822</v>
      </c>
    </row>
    <row r="59" spans="1:10">
      <c r="A59" t="s">
        <v>174</v>
      </c>
      <c r="B59" s="194">
        <v>15526.16</v>
      </c>
      <c r="C59" s="71">
        <v>7.4499999999999997E-2</v>
      </c>
      <c r="D59" s="195">
        <v>1736.002</v>
      </c>
      <c r="E59" s="195">
        <f t="shared" si="0"/>
        <v>578.66733333333332</v>
      </c>
      <c r="G59" s="71">
        <v>7.2000049999999996E-2</v>
      </c>
      <c r="H59" s="195">
        <v>15343.6</v>
      </c>
      <c r="I59">
        <v>1749.7149999999999</v>
      </c>
      <c r="J59" s="195">
        <f t="shared" ref="J59:J78" si="2">+I59/3</f>
        <v>583.23833333333334</v>
      </c>
    </row>
    <row r="60" spans="1:10">
      <c r="A60" t="s">
        <v>175</v>
      </c>
      <c r="B60" s="194">
        <v>15683.38</v>
      </c>
      <c r="C60" s="71">
        <v>7.3499980000000006E-2</v>
      </c>
      <c r="D60" s="195">
        <v>1738.4090000000001</v>
      </c>
      <c r="E60" s="195">
        <f t="shared" si="0"/>
        <v>579.46966666666674</v>
      </c>
      <c r="G60" s="71">
        <v>6.7062290000000011E-2</v>
      </c>
      <c r="H60" s="195">
        <v>15427.8</v>
      </c>
      <c r="I60">
        <v>1750.376</v>
      </c>
      <c r="J60" s="195">
        <f t="shared" si="2"/>
        <v>583.45866666666666</v>
      </c>
    </row>
    <row r="61" spans="1:10">
      <c r="A61" t="s">
        <v>176</v>
      </c>
      <c r="B61" s="194">
        <v>15846.82</v>
      </c>
      <c r="C61" s="71">
        <v>7.249984000000001E-2</v>
      </c>
      <c r="D61" s="195">
        <v>1740.779</v>
      </c>
      <c r="E61" s="195">
        <f t="shared" si="0"/>
        <v>580.2596666666667</v>
      </c>
      <c r="G61" s="71">
        <v>6.7062640000000007E-2</v>
      </c>
      <c r="H61" s="195">
        <v>15588.54</v>
      </c>
      <c r="I61">
        <v>1751.008</v>
      </c>
      <c r="J61" s="195">
        <f t="shared" si="2"/>
        <v>583.66933333333338</v>
      </c>
    </row>
    <row r="62" spans="1:10">
      <c r="A62" t="s">
        <v>177</v>
      </c>
      <c r="B62" s="194">
        <v>16016.46</v>
      </c>
      <c r="C62" s="71">
        <v>7.1500090000000002E-2</v>
      </c>
      <c r="D62" s="195">
        <v>1743.114</v>
      </c>
      <c r="E62" s="195">
        <f t="shared" si="0"/>
        <v>581.03800000000001</v>
      </c>
      <c r="G62" s="71">
        <v>6.6937659999999996E-2</v>
      </c>
      <c r="H62" s="195">
        <v>15753.25</v>
      </c>
      <c r="I62">
        <v>1751.6030000000001</v>
      </c>
      <c r="J62" s="195">
        <f t="shared" si="2"/>
        <v>583.86766666666665</v>
      </c>
    </row>
    <row r="63" spans="1:10">
      <c r="A63" t="s">
        <v>178</v>
      </c>
      <c r="B63" s="194">
        <v>16200.58</v>
      </c>
      <c r="C63" s="71">
        <v>7.050025E-2</v>
      </c>
      <c r="D63" s="195">
        <v>1745.4159999999999</v>
      </c>
      <c r="E63" s="195">
        <f t="shared" si="0"/>
        <v>581.80533333333335</v>
      </c>
      <c r="G63" s="71">
        <v>6.6687560000000007E-2</v>
      </c>
      <c r="H63" s="195">
        <v>15921.99</v>
      </c>
      <c r="I63">
        <v>1752.152</v>
      </c>
      <c r="J63" s="195">
        <f t="shared" si="2"/>
        <v>584.05066666666664</v>
      </c>
    </row>
    <row r="64" spans="1:10">
      <c r="A64" t="s">
        <v>179</v>
      </c>
      <c r="B64" s="194">
        <v>16379.36</v>
      </c>
      <c r="C64" s="71">
        <v>6.9499950000000005E-2</v>
      </c>
      <c r="D64" s="195">
        <v>1747.694</v>
      </c>
      <c r="E64" s="195">
        <f t="shared" si="0"/>
        <v>582.56466666666665</v>
      </c>
      <c r="G64" s="71">
        <v>6.6312639999999992E-2</v>
      </c>
      <c r="H64" s="195">
        <v>16094.64</v>
      </c>
      <c r="I64">
        <v>1752.7049999999999</v>
      </c>
      <c r="J64" s="195">
        <f t="shared" si="2"/>
        <v>584.23500000000001</v>
      </c>
    </row>
    <row r="65" spans="1:10">
      <c r="A65" t="s">
        <v>180</v>
      </c>
      <c r="B65" s="194">
        <v>16561.05</v>
      </c>
      <c r="C65" s="71">
        <v>6.8499920000000006E-2</v>
      </c>
      <c r="D65" s="195">
        <v>1749.941</v>
      </c>
      <c r="E65" s="195">
        <f t="shared" si="0"/>
        <v>583.31366666666668</v>
      </c>
      <c r="G65" s="71">
        <v>6.5812510000000005E-2</v>
      </c>
      <c r="H65" s="195">
        <v>16271.26</v>
      </c>
      <c r="I65">
        <v>1753.1969999999999</v>
      </c>
      <c r="J65" s="195">
        <f t="shared" si="2"/>
        <v>584.399</v>
      </c>
    </row>
    <row r="66" spans="1:10">
      <c r="A66" t="s">
        <v>181</v>
      </c>
      <c r="B66" s="194">
        <v>16745.64</v>
      </c>
      <c r="C66" s="71">
        <v>6.7500020000000008E-2</v>
      </c>
      <c r="D66" s="195">
        <v>1752.154</v>
      </c>
      <c r="E66" s="195">
        <f t="shared" si="0"/>
        <v>584.05133333333333</v>
      </c>
      <c r="G66" s="71">
        <v>6.5187530000000007E-2</v>
      </c>
      <c r="H66" s="195">
        <v>16451.830000000002</v>
      </c>
      <c r="I66">
        <v>1753.6769999999999</v>
      </c>
      <c r="J66" s="195">
        <f t="shared" si="2"/>
        <v>584.55899999999997</v>
      </c>
    </row>
    <row r="67" spans="1:10">
      <c r="A67" t="s">
        <v>182</v>
      </c>
      <c r="B67" s="194">
        <v>16942.25</v>
      </c>
      <c r="C67" s="71">
        <v>6.6031469999999995E-2</v>
      </c>
      <c r="D67" s="195">
        <v>1754.3330000000001</v>
      </c>
      <c r="E67" s="195">
        <f t="shared" si="0"/>
        <v>584.77766666666673</v>
      </c>
      <c r="G67" s="71">
        <v>6.3656039999999997E-2</v>
      </c>
      <c r="H67" s="195">
        <v>16644.349999999999</v>
      </c>
      <c r="I67">
        <v>1754.136</v>
      </c>
      <c r="J67" s="195">
        <f t="shared" si="2"/>
        <v>584.71199999999999</v>
      </c>
    </row>
    <row r="68" spans="1:10">
      <c r="A68" t="s">
        <v>183</v>
      </c>
      <c r="B68" s="194">
        <v>17129.03</v>
      </c>
      <c r="C68" s="71">
        <v>6.5218890000000002E-2</v>
      </c>
      <c r="D68" s="195">
        <v>1756.4770000000001</v>
      </c>
      <c r="E68" s="195">
        <f t="shared" ref="E68:E78" si="3">+D68/3</f>
        <v>585.49233333333336</v>
      </c>
      <c r="G68" s="71">
        <v>6.3093589999999991E-2</v>
      </c>
      <c r="H68" s="195">
        <v>16829.650000000001</v>
      </c>
      <c r="I68">
        <v>1754.5550000000001</v>
      </c>
      <c r="J68" s="195">
        <f t="shared" si="2"/>
        <v>584.85166666666669</v>
      </c>
    </row>
    <row r="69" spans="1:10">
      <c r="A69" t="s">
        <v>184</v>
      </c>
      <c r="B69" s="194">
        <v>17315.080000000002</v>
      </c>
      <c r="C69" s="71">
        <v>6.4593830000000005E-2</v>
      </c>
      <c r="D69" s="195">
        <v>1758.5840000000001</v>
      </c>
      <c r="E69" s="195">
        <f t="shared" si="3"/>
        <v>586.19466666666665</v>
      </c>
      <c r="G69" s="71">
        <v>6.2718590000000005E-2</v>
      </c>
      <c r="H69" s="195">
        <v>17015.71</v>
      </c>
      <c r="I69">
        <v>1754.943</v>
      </c>
      <c r="J69" s="195">
        <f t="shared" si="2"/>
        <v>584.98099999999999</v>
      </c>
    </row>
    <row r="70" spans="1:10">
      <c r="A70" t="s">
        <v>185</v>
      </c>
      <c r="B70" s="194">
        <v>17500.41</v>
      </c>
      <c r="C70" s="71">
        <v>6.4156030000000003E-2</v>
      </c>
      <c r="D70" s="195">
        <v>1760.652</v>
      </c>
      <c r="E70" s="195">
        <f t="shared" si="3"/>
        <v>586.88400000000001</v>
      </c>
      <c r="G70" s="71">
        <v>6.2531199999999995E-2</v>
      </c>
      <c r="H70" s="195">
        <v>17202.52</v>
      </c>
      <c r="I70">
        <v>1755.297</v>
      </c>
      <c r="J70" s="195">
        <f t="shared" si="2"/>
        <v>585.09900000000005</v>
      </c>
    </row>
    <row r="71" spans="1:10">
      <c r="A71" t="s">
        <v>186</v>
      </c>
      <c r="B71" s="194">
        <v>17684.97</v>
      </c>
      <c r="C71" s="71">
        <v>6.4296779999999998E-2</v>
      </c>
      <c r="D71" s="195">
        <v>1762.681</v>
      </c>
      <c r="E71" s="195">
        <f t="shared" si="3"/>
        <v>587.56033333333335</v>
      </c>
      <c r="G71" s="71">
        <v>6.4401669999999994E-2</v>
      </c>
      <c r="H71" s="195">
        <v>17391.48</v>
      </c>
      <c r="I71">
        <v>1755.6120000000001</v>
      </c>
      <c r="J71" s="195">
        <f t="shared" si="2"/>
        <v>585.20400000000006</v>
      </c>
    </row>
    <row r="72" spans="1:10">
      <c r="A72" t="s">
        <v>187</v>
      </c>
      <c r="B72" s="194">
        <v>17868.849999999999</v>
      </c>
      <c r="C72" s="71">
        <v>6.407829000000001E-2</v>
      </c>
      <c r="D72" s="195">
        <v>1764.6690000000001</v>
      </c>
      <c r="E72" s="195">
        <f t="shared" si="3"/>
        <v>588.22300000000007</v>
      </c>
      <c r="G72" s="71">
        <v>6.3840939999999999E-2</v>
      </c>
      <c r="H72" s="195">
        <v>17579.27</v>
      </c>
      <c r="I72">
        <v>1755.884</v>
      </c>
      <c r="J72" s="195">
        <f t="shared" si="2"/>
        <v>585.29466666666667</v>
      </c>
    </row>
    <row r="73" spans="1:10">
      <c r="A73" t="s">
        <v>188</v>
      </c>
      <c r="B73" s="194">
        <v>18052.009999999998</v>
      </c>
      <c r="C73" s="71">
        <v>6.3890589999999997E-2</v>
      </c>
      <c r="D73" s="195">
        <v>1766.615</v>
      </c>
      <c r="E73" s="195">
        <f t="shared" si="3"/>
        <v>588.87166666666667</v>
      </c>
      <c r="G73" s="71">
        <v>6.2719719999999993E-2</v>
      </c>
      <c r="H73" s="195">
        <v>17767.27</v>
      </c>
      <c r="I73">
        <v>1756.1120000000001</v>
      </c>
      <c r="J73" s="195">
        <f t="shared" si="2"/>
        <v>585.37066666666669</v>
      </c>
    </row>
    <row r="74" spans="1:10">
      <c r="A74" t="s">
        <v>189</v>
      </c>
      <c r="B74" s="194">
        <v>18234.46</v>
      </c>
      <c r="C74" s="71">
        <v>6.373440000000001E-2</v>
      </c>
      <c r="D74" s="195">
        <v>1768.519</v>
      </c>
      <c r="E74" s="195">
        <f t="shared" si="3"/>
        <v>589.50633333333337</v>
      </c>
      <c r="G74" s="71">
        <v>6.1037710000000002E-2</v>
      </c>
      <c r="H74" s="195">
        <v>17955.490000000002</v>
      </c>
      <c r="I74">
        <v>1756.296</v>
      </c>
      <c r="J74" s="195">
        <f t="shared" si="2"/>
        <v>585.43200000000002</v>
      </c>
    </row>
    <row r="75" spans="1:10">
      <c r="A75" t="s">
        <v>190</v>
      </c>
      <c r="B75" s="194">
        <v>18416.189999999999</v>
      </c>
      <c r="C75" s="71">
        <v>6.3609410000000005E-2</v>
      </c>
      <c r="D75" s="195">
        <v>1770.3779999999999</v>
      </c>
      <c r="E75" s="195">
        <f t="shared" si="3"/>
        <v>590.12599999999998</v>
      </c>
      <c r="G75" s="71">
        <v>5.8794899999999997E-2</v>
      </c>
      <c r="H75" s="195">
        <v>18143.91</v>
      </c>
      <c r="I75">
        <v>1756.432</v>
      </c>
      <c r="J75" s="195">
        <f t="shared" si="2"/>
        <v>585.47733333333338</v>
      </c>
    </row>
    <row r="76" spans="1:10">
      <c r="A76" t="s">
        <v>191</v>
      </c>
      <c r="B76" s="194">
        <v>18597.2</v>
      </c>
      <c r="C76" s="71">
        <v>6.35154E-2</v>
      </c>
      <c r="D76" s="195">
        <v>1772.193</v>
      </c>
      <c r="E76" s="195">
        <f t="shared" si="3"/>
        <v>590.73099999999999</v>
      </c>
      <c r="G76" s="71">
        <v>5.5991070000000004E-2</v>
      </c>
      <c r="H76" s="195">
        <v>18332.55</v>
      </c>
      <c r="I76">
        <v>1756.521</v>
      </c>
      <c r="J76" s="195">
        <f t="shared" si="2"/>
        <v>585.50699999999995</v>
      </c>
    </row>
    <row r="77" spans="1:10">
      <c r="A77" t="s">
        <v>192</v>
      </c>
      <c r="B77" s="194">
        <v>18777.5</v>
      </c>
      <c r="C77" s="71">
        <v>6.3453129999999996E-2</v>
      </c>
      <c r="D77" s="195">
        <v>1773.962</v>
      </c>
      <c r="E77" s="195">
        <f t="shared" si="3"/>
        <v>591.32066666666663</v>
      </c>
      <c r="G77" s="71">
        <v>5.2626799999999994E-2</v>
      </c>
      <c r="H77" s="195">
        <v>18521.400000000001</v>
      </c>
      <c r="I77">
        <v>1756.558</v>
      </c>
      <c r="J77" s="195">
        <f t="shared" si="2"/>
        <v>585.51933333333329</v>
      </c>
    </row>
    <row r="78" spans="1:10">
      <c r="A78" t="s">
        <v>193</v>
      </c>
      <c r="B78" s="194">
        <v>18957.080000000002</v>
      </c>
      <c r="C78" s="71">
        <v>6.3421969999999994E-2</v>
      </c>
      <c r="D78" s="195">
        <v>1775.6849999999999</v>
      </c>
      <c r="E78" s="195">
        <f t="shared" si="3"/>
        <v>591.89499999999998</v>
      </c>
      <c r="G78" s="71">
        <v>4.8701990000000001E-2</v>
      </c>
      <c r="H78" s="195">
        <v>18710.46</v>
      </c>
      <c r="I78">
        <v>1756.5440000000001</v>
      </c>
      <c r="J78" s="195">
        <f t="shared" si="2"/>
        <v>585.5146666666667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5"/>
  <sheetViews>
    <sheetView workbookViewId="0"/>
  </sheetViews>
  <sheetFormatPr defaultRowHeight="13.2"/>
  <cols>
    <col min="1" max="1" width="14.109375" bestFit="1" customWidth="1"/>
  </cols>
  <sheetData>
    <row r="1" spans="1:5">
      <c r="B1" t="s">
        <v>79</v>
      </c>
      <c r="C1" t="s">
        <v>80</v>
      </c>
      <c r="D1" t="s">
        <v>116</v>
      </c>
    </row>
    <row r="2" spans="1:5">
      <c r="A2">
        <v>2003</v>
      </c>
      <c r="B2" s="70">
        <f>SUM('Purchased Power Model '!C3:C14)</f>
        <v>3992.7999999999993</v>
      </c>
      <c r="C2" s="70">
        <f>SUM('Purchased Power Model '!D3:D14)</f>
        <v>208.7</v>
      </c>
      <c r="D2" s="71">
        <v>1.0186171336798953</v>
      </c>
    </row>
    <row r="3" spans="1:5">
      <c r="A3">
        <v>2004</v>
      </c>
      <c r="B3" s="70">
        <f>SUM('Purchased Power Model '!C15:C26)</f>
        <v>3838.6999999999994</v>
      </c>
      <c r="C3" s="70">
        <f>SUM('Purchased Power Model '!D15:D26)</f>
        <v>165.2</v>
      </c>
      <c r="D3" s="71">
        <f>+'Rate Class Customer Model'!J4/'Rate Class Customer Model'!J3</f>
        <v>1.0132849095504697</v>
      </c>
    </row>
    <row r="4" spans="1:5">
      <c r="A4">
        <v>2005</v>
      </c>
      <c r="B4" s="70">
        <f>SUM('Purchased Power Model '!C27:C38)</f>
        <v>3770.6999999999994</v>
      </c>
      <c r="C4" s="70">
        <f>SUM('Purchased Power Model '!D27:D38)</f>
        <v>384.5</v>
      </c>
      <c r="D4" s="71">
        <f>+'Rate Class Customer Model'!J5/'Rate Class Customer Model'!J4</f>
        <v>1.015051804428704</v>
      </c>
    </row>
    <row r="5" spans="1:5">
      <c r="A5">
        <v>2006</v>
      </c>
      <c r="B5" s="70">
        <f>SUM('Purchased Power Model '!C39:C50)</f>
        <v>3410.1999999999994</v>
      </c>
      <c r="C5" s="70">
        <f>SUM('Purchased Power Model '!D39:D50)</f>
        <v>243.79999999999998</v>
      </c>
      <c r="D5" s="71">
        <f>+'Rate Class Customer Model'!J6/'Rate Class Customer Model'!J5</f>
        <v>1.0211022486140118</v>
      </c>
    </row>
    <row r="6" spans="1:5">
      <c r="A6">
        <v>2007</v>
      </c>
      <c r="B6" s="70">
        <f>SUM('Purchased Power Model '!C51:C62)</f>
        <v>2890.1</v>
      </c>
      <c r="C6" s="70">
        <f>SUM('Purchased Power Model '!D51:D62)</f>
        <v>179</v>
      </c>
      <c r="D6" s="71">
        <f>+'Rate Class Customer Model'!J7/'Rate Class Customer Model'!J6</f>
        <v>1.0219885826933344</v>
      </c>
    </row>
    <row r="7" spans="1:5">
      <c r="A7">
        <v>2008</v>
      </c>
      <c r="B7" s="70">
        <f>SUM('Purchased Power Model '!C63:C74)</f>
        <v>2408.6999999999998</v>
      </c>
      <c r="C7" s="70">
        <f>SUM('Purchased Power Model '!D63:D74)</f>
        <v>130</v>
      </c>
      <c r="D7" s="71">
        <f>+'Rate Class Customer Model'!J8/'Rate Class Customer Model'!J7</f>
        <v>1.0182202504380253</v>
      </c>
    </row>
    <row r="8" spans="1:5">
      <c r="A8">
        <v>2009</v>
      </c>
      <c r="B8" s="70">
        <f>SUM('Purchased Power Model '!C75:C86)</f>
        <v>3612.7000000000003</v>
      </c>
      <c r="C8" s="70">
        <f>SUM('Purchased Power Model '!D75:D86)</f>
        <v>138.60000000000002</v>
      </c>
      <c r="D8" s="71">
        <f>+'Rate Class Customer Model'!J9/'Rate Class Customer Model'!J8</f>
        <v>1.0123688718041819</v>
      </c>
    </row>
    <row r="9" spans="1:5">
      <c r="A9">
        <v>2010</v>
      </c>
      <c r="B9" s="70">
        <f>SUM('Purchased Power Model '!C87:C98)</f>
        <v>3437.7</v>
      </c>
      <c r="C9" s="70">
        <f>SUM('Purchased Power Model '!D87:D98)</f>
        <v>309.10000000000002</v>
      </c>
      <c r="D9" s="71">
        <f>+'Rate Class Customer Model'!J10/'Rate Class Customer Model'!J9</f>
        <v>1.0119448602794412</v>
      </c>
    </row>
    <row r="10" spans="1:5">
      <c r="A10">
        <v>2011</v>
      </c>
      <c r="B10" s="70">
        <f>SUM('Purchased Power Model '!C99:C110)</f>
        <v>3649.0999999999995</v>
      </c>
      <c r="C10" s="70">
        <f>SUM('Purchased Power Model '!D99:D110)</f>
        <v>295.99999999999994</v>
      </c>
      <c r="D10" s="71">
        <f>+'Rate Class Customer Model'!J11/'Rate Class Customer Model'!J10</f>
        <v>1.0097158442999352</v>
      </c>
    </row>
    <row r="11" spans="1:5">
      <c r="A11">
        <v>2012</v>
      </c>
      <c r="B11" s="70">
        <f>SUM('Purchased Power Model '!C111:C122)</f>
        <v>3217.3999999999996</v>
      </c>
      <c r="C11" s="70">
        <f>SUM('Purchased Power Model '!D111:D122)</f>
        <v>368.59999999999997</v>
      </c>
      <c r="D11" s="71">
        <f>+'Rate Class Customer Model'!J12/'Rate Class Customer Model'!J11</f>
        <v>1.0061427405016443</v>
      </c>
    </row>
    <row r="12" spans="1:5">
      <c r="A12" s="31">
        <v>2013</v>
      </c>
      <c r="B12" s="70">
        <f>SUM('Purchased Power Model '!C123:C134)</f>
        <v>3579.1000000000004</v>
      </c>
      <c r="C12" s="70">
        <f ca="1">SUM('Purchased Power Model '!D123:D134)</f>
        <v>221.79999999999995</v>
      </c>
      <c r="D12" s="71">
        <f>+'Rate Class Customer Model'!J13/'Rate Class Customer Model'!J12</f>
        <v>1.0097759643241768</v>
      </c>
      <c r="E12" t="s">
        <v>81</v>
      </c>
    </row>
    <row r="13" spans="1:5">
      <c r="A13" s="140">
        <v>2014</v>
      </c>
      <c r="B13" s="177">
        <f>TREND(B$2:B$12,A$2:A$12,A13)</f>
        <v>3211.1509090909094</v>
      </c>
      <c r="C13" s="177">
        <f ca="1">TREND(C$2:C$12,A$2:A$12,A12)</f>
        <v>272.47272727272684</v>
      </c>
      <c r="D13" s="178">
        <f t="shared" ref="D13:D18" si="0">+D12-0.00125</f>
        <v>1.0085259643241768</v>
      </c>
    </row>
    <row r="14" spans="1:5">
      <c r="A14" s="140">
        <v>2015</v>
      </c>
      <c r="B14" s="177">
        <f t="shared" ref="B14:B18" si="1">TREND(B$2:B$12,A$2:A$12,A14)</f>
        <v>3173.5063636363775</v>
      </c>
      <c r="C14" s="177">
        <f t="shared" ref="C14:C18" ca="1" si="2">TREND(C$2:C$12,A$2:A$12,A13)</f>
        <v>278.87090909090875</v>
      </c>
      <c r="D14" s="178">
        <f t="shared" si="0"/>
        <v>1.0072759643241769</v>
      </c>
    </row>
    <row r="15" spans="1:5">
      <c r="A15" s="140">
        <v>2016</v>
      </c>
      <c r="B15" s="177">
        <f t="shared" si="1"/>
        <v>3135.861818181831</v>
      </c>
      <c r="C15" s="177">
        <f t="shared" ca="1" si="2"/>
        <v>285.26909090909066</v>
      </c>
      <c r="D15" s="178">
        <f t="shared" si="0"/>
        <v>1.0060259643241769</v>
      </c>
    </row>
    <row r="16" spans="1:5">
      <c r="A16" s="140">
        <v>2017</v>
      </c>
      <c r="B16" s="177">
        <f t="shared" si="1"/>
        <v>3098.2172727272846</v>
      </c>
      <c r="C16" s="177">
        <f t="shared" ca="1" si="2"/>
        <v>291.66727272727258</v>
      </c>
      <c r="D16" s="178">
        <f t="shared" si="0"/>
        <v>1.0047759643241769</v>
      </c>
    </row>
    <row r="17" spans="1:4">
      <c r="A17" s="140">
        <v>2018</v>
      </c>
      <c r="B17" s="177">
        <f t="shared" si="1"/>
        <v>3060.5727272727381</v>
      </c>
      <c r="C17" s="177">
        <f t="shared" ca="1" si="2"/>
        <v>298.06545454545449</v>
      </c>
      <c r="D17" s="178">
        <f t="shared" si="0"/>
        <v>1.003525964324177</v>
      </c>
    </row>
    <row r="18" spans="1:4">
      <c r="A18" s="140">
        <v>2019</v>
      </c>
      <c r="B18" s="177">
        <f t="shared" si="1"/>
        <v>3022.9281818181917</v>
      </c>
      <c r="C18" s="177">
        <f t="shared" ca="1" si="2"/>
        <v>304.4636363636364</v>
      </c>
      <c r="D18" s="178">
        <f t="shared" si="0"/>
        <v>1.002275964324177</v>
      </c>
    </row>
    <row r="19" spans="1:4">
      <c r="B19" s="70"/>
      <c r="C19" s="70"/>
      <c r="D19" s="72"/>
    </row>
    <row r="20" spans="1:4">
      <c r="A20" t="s">
        <v>115</v>
      </c>
      <c r="B20" s="70">
        <f>AVERAGE(B2:B18)</f>
        <v>3324.0845454545488</v>
      </c>
      <c r="C20" s="70">
        <f ca="1">AVERAGE(C2:C18)</f>
        <v>257.41818181818172</v>
      </c>
      <c r="D20" s="71">
        <f>AVERAGE(D2:D18)</f>
        <v>1.0112128821505224</v>
      </c>
    </row>
    <row r="21" spans="1:4">
      <c r="A21" t="s">
        <v>197</v>
      </c>
      <c r="B21" s="70">
        <v>3374.9769999999999</v>
      </c>
      <c r="C21" s="70">
        <v>243.65999999999997</v>
      </c>
      <c r="D21" s="71" t="s">
        <v>199</v>
      </c>
    </row>
    <row r="22" spans="1:4">
      <c r="A22" s="66" t="s">
        <v>270</v>
      </c>
      <c r="B22" s="70">
        <v>3283.3146666666694</v>
      </c>
      <c r="C22" s="70">
        <v>278.92666666666645</v>
      </c>
      <c r="D22" s="71" t="s">
        <v>199</v>
      </c>
    </row>
    <row r="23" spans="1:4">
      <c r="A23" s="66" t="s">
        <v>271</v>
      </c>
      <c r="B23" s="70">
        <v>3563.8984999999998</v>
      </c>
      <c r="C23" s="70">
        <v>234.92499999999998</v>
      </c>
      <c r="D23" s="71" t="s">
        <v>199</v>
      </c>
    </row>
    <row r="24" spans="1:4">
      <c r="A24" t="s">
        <v>198</v>
      </c>
      <c r="B24" s="70">
        <v>3199.2913684210534</v>
      </c>
      <c r="C24" s="70">
        <v>266.79052631578986</v>
      </c>
      <c r="D24" t="s">
        <v>199</v>
      </c>
    </row>
    <row r="27" spans="1:4">
      <c r="B27" s="70"/>
      <c r="C27" s="70"/>
    </row>
    <row r="28" spans="1:4">
      <c r="B28" s="70"/>
      <c r="C28" s="70"/>
    </row>
    <row r="29" spans="1:4">
      <c r="B29" s="70"/>
      <c r="C29" s="70"/>
    </row>
    <row r="30" spans="1:4">
      <c r="B30" s="70"/>
      <c r="C30" s="70"/>
    </row>
    <row r="31" spans="1:4">
      <c r="B31" s="70"/>
      <c r="C31" s="70"/>
    </row>
    <row r="32" spans="1:4">
      <c r="B32" s="70"/>
      <c r="C32" s="70"/>
    </row>
    <row r="33" spans="2:3">
      <c r="B33" s="70"/>
      <c r="C33" s="70"/>
    </row>
    <row r="34" spans="2:3">
      <c r="B34" s="70"/>
      <c r="C34" s="70"/>
    </row>
    <row r="35" spans="2:3">
      <c r="B35" s="70"/>
      <c r="C35" s="70"/>
    </row>
    <row r="36" spans="2:3">
      <c r="B36" s="70"/>
      <c r="C36" s="70"/>
    </row>
    <row r="37" spans="2:3">
      <c r="B37" s="249"/>
      <c r="C37" s="249"/>
    </row>
    <row r="38" spans="2:3">
      <c r="B38" s="249"/>
      <c r="C38" s="249"/>
    </row>
    <row r="39" spans="2:3">
      <c r="B39" s="249"/>
      <c r="C39" s="249"/>
    </row>
    <row r="40" spans="2:3">
      <c r="B40" s="249"/>
      <c r="C40" s="249"/>
    </row>
    <row r="41" spans="2:3">
      <c r="B41" s="249"/>
      <c r="C41" s="249"/>
    </row>
    <row r="42" spans="2:3">
      <c r="B42" s="249"/>
      <c r="C42" s="249"/>
    </row>
    <row r="43" spans="2:3">
      <c r="B43" s="249"/>
      <c r="C43" s="249"/>
    </row>
    <row r="44" spans="2:3">
      <c r="B44" s="70"/>
    </row>
    <row r="45" spans="2:3">
      <c r="B45" s="7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234"/>
  <sheetViews>
    <sheetView workbookViewId="0">
      <pane xSplit="1" ySplit="2" topLeftCell="G207" activePane="bottomRight" state="frozen"/>
      <selection pane="topRight"/>
      <selection pane="bottomLeft"/>
      <selection pane="bottomRight"/>
    </sheetView>
  </sheetViews>
  <sheetFormatPr defaultColWidth="9.109375" defaultRowHeight="13.2"/>
  <cols>
    <col min="1" max="1" width="11.88671875" style="110" customWidth="1"/>
    <col min="2" max="2" width="18" style="110" customWidth="1"/>
    <col min="3" max="3" width="13.44140625" style="110" bestFit="1" customWidth="1"/>
    <col min="4" max="4" width="13.44140625" style="110" customWidth="1"/>
    <col min="5" max="5" width="14.44140625" style="110" customWidth="1"/>
    <col min="6" max="6" width="14" style="110" bestFit="1" customWidth="1"/>
    <col min="7" max="7" width="12.6640625" style="110" bestFit="1" customWidth="1"/>
    <col min="8" max="8" width="17.5546875" style="110" bestFit="1" customWidth="1"/>
    <col min="9" max="9" width="17" style="110" customWidth="1"/>
    <col min="10" max="10" width="13" style="110" customWidth="1"/>
    <col min="11" max="11" width="2.5546875" style="110" customWidth="1"/>
    <col min="12" max="12" width="31.5546875" style="110" bestFit="1" customWidth="1"/>
    <col min="13" max="13" width="15.5546875" style="110" bestFit="1" customWidth="1"/>
    <col min="14" max="14" width="25.109375" style="110" bestFit="1" customWidth="1"/>
    <col min="15" max="15" width="24.109375" style="110" bestFit="1" customWidth="1"/>
    <col min="16" max="16" width="17.109375" style="110" bestFit="1" customWidth="1"/>
    <col min="17" max="17" width="17.88671875" style="110" bestFit="1" customWidth="1"/>
    <col min="18" max="18" width="17.109375" style="110" bestFit="1" customWidth="1"/>
    <col min="19" max="19" width="15.5546875" style="110" bestFit="1" customWidth="1"/>
    <col min="20" max="20" width="14.5546875" style="110" bestFit="1" customWidth="1"/>
    <col min="21" max="21" width="11.33203125" style="110" customWidth="1"/>
    <col min="22" max="22" width="11.5546875" style="110" customWidth="1"/>
    <col min="23" max="23" width="9.33203125" style="110" customWidth="1"/>
    <col min="24" max="24" width="9.109375" style="110"/>
    <col min="25" max="25" width="11.6640625" style="110" bestFit="1" customWidth="1"/>
    <col min="26" max="26" width="10.6640625" style="110" bestFit="1" customWidth="1"/>
    <col min="27" max="16384" width="9.109375" style="110"/>
  </cols>
  <sheetData>
    <row r="1" spans="1:28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9.6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3.8" thickBot="1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122651411.26094845</v>
      </c>
      <c r="I3" s="118">
        <f t="shared" ref="I3" si="0">H3-B3</f>
        <v>-3360478.7390515506</v>
      </c>
      <c r="J3" s="5">
        <f t="shared" ref="J3" si="1">I3/B3</f>
        <v>-2.6667949659762668E-2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110152574.36842072</v>
      </c>
      <c r="I4" s="118">
        <f t="shared" ref="I4:I67" si="3">H4-B4</f>
        <v>-2428425.6315792799</v>
      </c>
      <c r="J4" s="5">
        <f t="shared" ref="J4:J67" si="4">I4/B4</f>
        <v>-2.157047487213011E-2</v>
      </c>
      <c r="K4"/>
      <c r="L4" s="53" t="s">
        <v>19</v>
      </c>
      <c r="M4" s="53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106849865.20202516</v>
      </c>
      <c r="I5" s="118">
        <f t="shared" si="3"/>
        <v>-3686564.7979748398</v>
      </c>
      <c r="J5" s="5">
        <f t="shared" si="4"/>
        <v>-3.335158189906115E-2</v>
      </c>
      <c r="K5"/>
      <c r="L5" s="35" t="s">
        <v>20</v>
      </c>
      <c r="M5" s="95">
        <v>0.93389289150136334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96085294.514500573</v>
      </c>
      <c r="I6" s="118">
        <f t="shared" si="3"/>
        <v>-1627645.4854994267</v>
      </c>
      <c r="J6" s="5">
        <f t="shared" si="4"/>
        <v>-1.6657420045895936E-2</v>
      </c>
      <c r="K6"/>
      <c r="L6" s="35" t="s">
        <v>21</v>
      </c>
      <c r="M6" s="95">
        <v>0.87215593279677717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90411362.537167072</v>
      </c>
      <c r="I7" s="118">
        <f t="shared" si="3"/>
        <v>150212.5371670723</v>
      </c>
      <c r="J7" s="5">
        <f t="shared" si="4"/>
        <v>1.6641992392859197E-3</v>
      </c>
      <c r="K7"/>
      <c r="L7" s="35" t="s">
        <v>22</v>
      </c>
      <c r="M7" s="95">
        <v>0.86708275552680802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93662316.51634191</v>
      </c>
      <c r="I8" s="118">
        <f t="shared" si="3"/>
        <v>1186276.5163419098</v>
      </c>
      <c r="J8" s="5">
        <f t="shared" si="4"/>
        <v>1.2827933769027196E-2</v>
      </c>
      <c r="K8"/>
      <c r="L8" s="35" t="s">
        <v>23</v>
      </c>
      <c r="M8" s="67">
        <v>3802571.653620691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3.8" thickBot="1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98975274.728541389</v>
      </c>
      <c r="I9" s="118">
        <f t="shared" si="3"/>
        <v>-1396355.2714586109</v>
      </c>
      <c r="J9" s="5">
        <f t="shared" si="4"/>
        <v>-1.3911852098631963E-2</v>
      </c>
      <c r="K9"/>
      <c r="L9" s="51" t="s">
        <v>24</v>
      </c>
      <c r="M9" s="68">
        <v>132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105820820.86804268</v>
      </c>
      <c r="I10" s="118">
        <f t="shared" si="3"/>
        <v>4313140.8680426776</v>
      </c>
      <c r="J10" s="5">
        <f t="shared" si="4"/>
        <v>4.2490783633737643E-2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3.8" thickBot="1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84298838.82912071</v>
      </c>
      <c r="I11" s="118">
        <f t="shared" si="3"/>
        <v>-7042161.1708792895</v>
      </c>
      <c r="J11" s="5">
        <f t="shared" si="4"/>
        <v>-7.7097482739178352E-2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95494540.17104502</v>
      </c>
      <c r="I12" s="118">
        <f t="shared" si="3"/>
        <v>-177709.82895497978</v>
      </c>
      <c r="J12" s="5">
        <f t="shared" si="4"/>
        <v>-1.8574856236262844E-3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96591007.319765612</v>
      </c>
      <c r="I13" s="118">
        <f t="shared" si="3"/>
        <v>-4813912.6802343875</v>
      </c>
      <c r="J13" s="5">
        <f t="shared" si="4"/>
        <v>-4.747218064206734E-2</v>
      </c>
      <c r="K13"/>
      <c r="L13" s="67" t="s">
        <v>26</v>
      </c>
      <c r="M13" s="67">
        <v>5</v>
      </c>
      <c r="N13" s="67">
        <v>1.2429078146617112E+16</v>
      </c>
      <c r="O13" s="67">
        <v>2485815629323422.5</v>
      </c>
      <c r="P13" s="67">
        <v>171.91513057498165</v>
      </c>
      <c r="Q13" s="67">
        <v>1.6650378552635689E-54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113102980.24126291</v>
      </c>
      <c r="I14" s="118">
        <f t="shared" si="3"/>
        <v>255740.24126291275</v>
      </c>
      <c r="J14" s="5">
        <f t="shared" si="4"/>
        <v>2.2662516270926321E-3</v>
      </c>
      <c r="K14"/>
      <c r="L14" s="67" t="s">
        <v>27</v>
      </c>
      <c r="M14" s="67">
        <v>126</v>
      </c>
      <c r="N14" s="67">
        <v>1821903448795869</v>
      </c>
      <c r="O14" s="67">
        <v>14459551180919.596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3.8" thickBot="1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123983231.57523879</v>
      </c>
      <c r="I15" s="118">
        <f t="shared" si="3"/>
        <v>-3213108.4247612059</v>
      </c>
      <c r="J15" s="5">
        <f t="shared" si="4"/>
        <v>-2.5261013208093926E-2</v>
      </c>
      <c r="K15"/>
      <c r="L15" s="68" t="s">
        <v>9</v>
      </c>
      <c r="M15" s="68">
        <v>131</v>
      </c>
      <c r="N15" s="68">
        <v>1.425098159541298E+16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3.8" thickBot="1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109753506.97002482</v>
      </c>
      <c r="I16" s="118">
        <f t="shared" si="3"/>
        <v>825236.97002482414</v>
      </c>
      <c r="J16" s="5">
        <f t="shared" si="4"/>
        <v>7.5759669186412689E-3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103034045.24413849</v>
      </c>
      <c r="I17" s="118">
        <f t="shared" si="3"/>
        <v>-2030104.7558615059</v>
      </c>
      <c r="J17" s="5">
        <f t="shared" si="4"/>
        <v>-1.9322525865021568E-2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93978095.457351938</v>
      </c>
      <c r="I18" s="118">
        <f t="shared" si="3"/>
        <v>2655715.4573519379</v>
      </c>
      <c r="J18" s="5">
        <f t="shared" si="4"/>
        <v>2.9080664097365157E-2</v>
      </c>
      <c r="K18"/>
      <c r="L18" s="67" t="s">
        <v>28</v>
      </c>
      <c r="M18" s="67">
        <v>9279404.3166922294</v>
      </c>
      <c r="N18" s="67">
        <v>13037924.908072893</v>
      </c>
      <c r="O18" s="67">
        <v>0.71172401913026495</v>
      </c>
      <c r="P18" s="67">
        <v>0.47795135276555889</v>
      </c>
      <c r="Q18" s="67">
        <v>-16522265.787345368</v>
      </c>
      <c r="R18" s="67">
        <v>35081074.420729831</v>
      </c>
      <c r="S18" s="67">
        <v>-16522265.787345368</v>
      </c>
      <c r="T18" s="67">
        <v>35081074.420729831</v>
      </c>
      <c r="U18" s="111"/>
      <c r="V18" s="111"/>
      <c r="W18" s="111"/>
      <c r="X18" s="111"/>
      <c r="Y18" s="111"/>
      <c r="Z18" s="111"/>
      <c r="AA18" s="111"/>
      <c r="AB18" s="111"/>
    </row>
    <row r="19" spans="1:28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90086965.571162418</v>
      </c>
      <c r="I19" s="118">
        <f t="shared" si="3"/>
        <v>3201715.5711624175</v>
      </c>
      <c r="J19" s="5">
        <f t="shared" si="4"/>
        <v>3.6849932194042347E-2</v>
      </c>
      <c r="K19"/>
      <c r="L19" s="67" t="s">
        <v>3</v>
      </c>
      <c r="M19" s="67">
        <v>40153.200250990565</v>
      </c>
      <c r="N19" s="67">
        <v>2055.4628325509125</v>
      </c>
      <c r="O19" s="67">
        <v>19.534870499778787</v>
      </c>
      <c r="P19" s="67">
        <v>6.1180883969573391E-40</v>
      </c>
      <c r="Q19" s="67">
        <v>36085.499731887925</v>
      </c>
      <c r="R19" s="67">
        <v>44220.900770093205</v>
      </c>
      <c r="S19" s="67">
        <v>36085.499731887925</v>
      </c>
      <c r="T19" s="67">
        <v>44220.900770093205</v>
      </c>
      <c r="U19" s="111"/>
      <c r="V19" s="111"/>
      <c r="W19" s="111"/>
      <c r="X19" s="111"/>
      <c r="Y19" s="111"/>
      <c r="Z19" s="111"/>
      <c r="AA19" s="111"/>
      <c r="AB19" s="111"/>
    </row>
    <row r="20" spans="1:28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92484147.59341082</v>
      </c>
      <c r="I20" s="118">
        <f t="shared" si="3"/>
        <v>5607647.5934108198</v>
      </c>
      <c r="J20" s="5">
        <f t="shared" si="4"/>
        <v>6.4547347020319876E-2</v>
      </c>
      <c r="K20"/>
      <c r="L20" s="67" t="s">
        <v>4</v>
      </c>
      <c r="M20" s="67">
        <v>140439.36916290395</v>
      </c>
      <c r="N20" s="67">
        <v>15308.980574394665</v>
      </c>
      <c r="O20" s="67">
        <v>9.1736591133833283</v>
      </c>
      <c r="P20" s="67">
        <v>1.1165759546625169E-15</v>
      </c>
      <c r="Q20" s="67">
        <v>110143.34665973134</v>
      </c>
      <c r="R20" s="67">
        <v>170735.39166607658</v>
      </c>
      <c r="S20" s="67">
        <v>110143.34665973134</v>
      </c>
      <c r="T20" s="67">
        <v>170735.39166607658</v>
      </c>
      <c r="U20" s="111"/>
      <c r="V20" s="111"/>
      <c r="W20" s="111"/>
      <c r="X20" s="111"/>
      <c r="Y20" s="111"/>
      <c r="Z20" s="111"/>
      <c r="AA20" s="111"/>
      <c r="AB20" s="111"/>
    </row>
    <row r="21" spans="1:28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99872452.796622276</v>
      </c>
      <c r="I21" s="118">
        <f t="shared" si="3"/>
        <v>6968922.7966222763</v>
      </c>
      <c r="J21" s="5">
        <f t="shared" si="4"/>
        <v>7.5012465044355978E-2</v>
      </c>
      <c r="K21"/>
      <c r="L21" s="67" t="s">
        <v>218</v>
      </c>
      <c r="M21" s="67">
        <v>-128912218.81735335</v>
      </c>
      <c r="N21" s="67">
        <v>21115286.453336772</v>
      </c>
      <c r="O21" s="67">
        <v>-6.105160784924224</v>
      </c>
      <c r="P21" s="67">
        <v>1.1764889214566896E-8</v>
      </c>
      <c r="Q21" s="67">
        <v>-170698749.96111774</v>
      </c>
      <c r="R21" s="67">
        <v>-87125687.673588961</v>
      </c>
      <c r="S21" s="67">
        <v>-170698749.96111774</v>
      </c>
      <c r="T21" s="67">
        <v>-87125687.673588961</v>
      </c>
      <c r="U21" s="111"/>
      <c r="V21" s="111"/>
      <c r="W21" s="111"/>
      <c r="X21" s="111"/>
      <c r="Y21" s="111"/>
      <c r="Z21" s="111"/>
      <c r="AA21" s="111"/>
      <c r="AB21" s="111"/>
    </row>
    <row r="22" spans="1:28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98374251.025182113</v>
      </c>
      <c r="I22" s="118">
        <f t="shared" si="3"/>
        <v>4252491.0251821131</v>
      </c>
      <c r="J22" s="5">
        <f t="shared" si="4"/>
        <v>4.5180742744102033E-2</v>
      </c>
      <c r="K22"/>
      <c r="L22" s="67" t="s">
        <v>5</v>
      </c>
      <c r="M22" s="67">
        <v>2834531.1558513953</v>
      </c>
      <c r="N22" s="67">
        <v>427048.99591481709</v>
      </c>
      <c r="O22" s="67">
        <v>6.637484651566294</v>
      </c>
      <c r="P22" s="67">
        <v>8.5306677629250904E-10</v>
      </c>
      <c r="Q22" s="67">
        <v>1989413.7473263573</v>
      </c>
      <c r="R22" s="67">
        <v>3679648.5643764334</v>
      </c>
      <c r="S22" s="67">
        <v>1989413.7473263573</v>
      </c>
      <c r="T22" s="67">
        <v>3679648.5643764334</v>
      </c>
      <c r="U22" s="111"/>
      <c r="V22" s="111"/>
      <c r="W22" s="111"/>
      <c r="X22" s="111"/>
      <c r="Y22" s="111"/>
      <c r="Z22" s="111"/>
      <c r="AA22" s="111"/>
      <c r="AB22" s="111"/>
    </row>
    <row r="23" spans="1:28" ht="13.8" thickBot="1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85420448.759058684</v>
      </c>
      <c r="I23" s="118">
        <f t="shared" si="3"/>
        <v>-3116251.2409413159</v>
      </c>
      <c r="J23" s="5">
        <f t="shared" si="4"/>
        <v>-3.5197282493489322E-2</v>
      </c>
      <c r="K23"/>
      <c r="L23" s="68" t="s">
        <v>17</v>
      </c>
      <c r="M23" s="68">
        <v>-7228837.8053368237</v>
      </c>
      <c r="N23" s="68">
        <v>858465.52993021847</v>
      </c>
      <c r="O23" s="68">
        <v>-8.4206500474450383</v>
      </c>
      <c r="P23" s="68">
        <v>7.1069877769193136E-14</v>
      </c>
      <c r="Q23" s="68">
        <v>-8927715.8518910296</v>
      </c>
      <c r="R23" s="68">
        <v>-5529959.7587826168</v>
      </c>
      <c r="S23" s="68">
        <v>-8927715.8518910296</v>
      </c>
      <c r="T23" s="68">
        <v>-5529959.7587826168</v>
      </c>
      <c r="U23" s="111"/>
      <c r="V23" s="111"/>
      <c r="W23" s="111"/>
      <c r="X23" s="111"/>
      <c r="Y23" s="111"/>
      <c r="Z23" s="111"/>
      <c r="AA23" s="111"/>
      <c r="AB23" s="111"/>
    </row>
    <row r="24" spans="1:28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91880125.710324958</v>
      </c>
      <c r="I24" s="118">
        <f t="shared" si="3"/>
        <v>3502415.710324958</v>
      </c>
      <c r="J24" s="5">
        <f t="shared" si="4"/>
        <v>3.9630079918623801E-2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95096681.832297847</v>
      </c>
      <c r="I25" s="118">
        <f t="shared" si="3"/>
        <v>191581.83229784667</v>
      </c>
      <c r="J25" s="5">
        <f t="shared" si="4"/>
        <v>2.01866740878885E-3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114869094.61417556</v>
      </c>
      <c r="I26" s="118">
        <f t="shared" si="3"/>
        <v>1545594.6141755581</v>
      </c>
      <c r="J26" s="5">
        <f t="shared" si="4"/>
        <v>1.3638782901830231E-2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117802401.1803495</v>
      </c>
      <c r="I27" s="118">
        <f t="shared" si="3"/>
        <v>-364418.81965050101</v>
      </c>
      <c r="J27" s="5">
        <f t="shared" si="4"/>
        <v>-3.0839352336848955E-3</v>
      </c>
      <c r="K27"/>
      <c r="L27"/>
      <c r="M27"/>
      <c r="N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103034908.4736408</v>
      </c>
      <c r="I28" s="118">
        <f t="shared" si="3"/>
        <v>2468068.4736407995</v>
      </c>
      <c r="J28" s="5">
        <f t="shared" si="4"/>
        <v>2.4541573282413961E-2</v>
      </c>
      <c r="K28"/>
      <c r="L28"/>
      <c r="M28"/>
      <c r="N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103859948.29304707</v>
      </c>
      <c r="I29" s="118">
        <f t="shared" si="3"/>
        <v>-298781.7069529295</v>
      </c>
      <c r="J29" s="5">
        <f t="shared" si="4"/>
        <v>-2.8685229452483675E-3</v>
      </c>
      <c r="K29"/>
      <c r="L29"/>
      <c r="M29"/>
      <c r="N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91897955.224233881</v>
      </c>
      <c r="I30" s="118">
        <f t="shared" si="3"/>
        <v>7463115.2242338806</v>
      </c>
      <c r="J30" s="5">
        <f t="shared" si="4"/>
        <v>8.8389049167782882E-2</v>
      </c>
      <c r="K30"/>
      <c r="L30"/>
      <c r="M30"/>
      <c r="N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90389888.723425984</v>
      </c>
      <c r="I31" s="118">
        <f t="shared" si="3"/>
        <v>8558518.7234259844</v>
      </c>
      <c r="J31" s="5">
        <f t="shared" si="4"/>
        <v>0.10458725942662311</v>
      </c>
      <c r="K31"/>
      <c r="L31"/>
      <c r="M31"/>
      <c r="N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99240555.119107112</v>
      </c>
      <c r="I32" s="118">
        <f t="shared" si="3"/>
        <v>878055.11910711229</v>
      </c>
      <c r="J32" s="5">
        <f t="shared" si="4"/>
        <v>8.9267263348035315E-3</v>
      </c>
      <c r="K32"/>
      <c r="L32"/>
      <c r="M32"/>
      <c r="N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111248521.97915548</v>
      </c>
      <c r="I33" s="118">
        <f t="shared" si="3"/>
        <v>7502771.9791554809</v>
      </c>
      <c r="J33" s="5">
        <f t="shared" si="4"/>
        <v>7.2318836956265495E-2</v>
      </c>
      <c r="K33"/>
      <c r="L33"/>
      <c r="M33"/>
      <c r="N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104840413.32627262</v>
      </c>
      <c r="I34" s="118">
        <f t="shared" si="3"/>
        <v>3415083.3262726218</v>
      </c>
      <c r="J34" s="5">
        <f t="shared" si="4"/>
        <v>3.3670911657596989E-2</v>
      </c>
      <c r="K34"/>
      <c r="L34"/>
      <c r="M34"/>
      <c r="N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85689626.253245384</v>
      </c>
      <c r="I35" s="118">
        <f t="shared" si="3"/>
        <v>-2124223.7467546165</v>
      </c>
      <c r="J35" s="5">
        <f t="shared" si="4"/>
        <v>-2.4190076471474791E-2</v>
      </c>
      <c r="K35"/>
      <c r="L35"/>
      <c r="M35"/>
      <c r="N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90340419.58273913</v>
      </c>
      <c r="I36" s="118">
        <f t="shared" si="3"/>
        <v>2989729.5827391297</v>
      </c>
      <c r="J36" s="5">
        <f t="shared" si="4"/>
        <v>3.422674260202329E-2</v>
      </c>
      <c r="K36"/>
      <c r="L36"/>
      <c r="M36"/>
      <c r="N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94450432.826154336</v>
      </c>
      <c r="I37" s="118">
        <f t="shared" si="3"/>
        <v>-64707.173845663667</v>
      </c>
      <c r="J37" s="5">
        <f t="shared" si="4"/>
        <v>-6.8462231390297541E-4</v>
      </c>
      <c r="K37"/>
      <c r="L37"/>
      <c r="M37"/>
      <c r="N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114254968.16823286</v>
      </c>
      <c r="I38" s="118">
        <f t="shared" si="3"/>
        <v>2125478.1682328582</v>
      </c>
      <c r="J38" s="5">
        <f t="shared" si="4"/>
        <v>1.8955567961941665E-2</v>
      </c>
      <c r="K38"/>
      <c r="L38"/>
      <c r="M38"/>
      <c r="N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111055180.08624309</v>
      </c>
      <c r="I39" s="118">
        <f t="shared" si="3"/>
        <v>2468690.086243093</v>
      </c>
      <c r="J39" s="5">
        <f t="shared" si="4"/>
        <v>2.2734781152269432E-2</v>
      </c>
      <c r="K39"/>
      <c r="L39"/>
      <c r="M39"/>
      <c r="N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104583338.55138904</v>
      </c>
      <c r="I40" s="118">
        <f t="shared" si="3"/>
        <v>2813348.5513890386</v>
      </c>
      <c r="J40" s="5">
        <f t="shared" si="4"/>
        <v>2.7644186182872166E-2</v>
      </c>
      <c r="K40"/>
      <c r="L40"/>
      <c r="M40"/>
      <c r="N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102854634.83483231</v>
      </c>
      <c r="I41" s="118">
        <f t="shared" si="3"/>
        <v>125334.83483231068</v>
      </c>
      <c r="J41" s="5">
        <f t="shared" si="4"/>
        <v>1.2200495363281039E-3</v>
      </c>
      <c r="K41"/>
      <c r="L41"/>
      <c r="M41"/>
      <c r="N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91700782.56498985</v>
      </c>
      <c r="I42" s="118">
        <f t="shared" si="3"/>
        <v>6455502.5649898499</v>
      </c>
      <c r="J42" s="5">
        <f t="shared" si="4"/>
        <v>7.5728563094517962E-2</v>
      </c>
      <c r="K42"/>
      <c r="L42"/>
      <c r="M42"/>
      <c r="N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90269804.408226833</v>
      </c>
      <c r="I43" s="118">
        <f t="shared" si="3"/>
        <v>5078804.4082268327</v>
      </c>
      <c r="J43" s="5">
        <f t="shared" si="4"/>
        <v>5.9616677914648648E-2</v>
      </c>
      <c r="K43"/>
      <c r="L43"/>
      <c r="M43"/>
      <c r="N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91927412.258475631</v>
      </c>
      <c r="I44" s="118">
        <f t="shared" si="3"/>
        <v>119102.25847563148</v>
      </c>
      <c r="J44" s="5">
        <f t="shared" si="4"/>
        <v>1.2972927883721144E-3</v>
      </c>
      <c r="K44"/>
      <c r="L44"/>
      <c r="M44"/>
      <c r="N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103692288.04967797</v>
      </c>
      <c r="I45" s="118">
        <f t="shared" si="3"/>
        <v>81348.049677968025</v>
      </c>
      <c r="J45" s="5">
        <f t="shared" si="4"/>
        <v>7.8512992622176798E-4</v>
      </c>
      <c r="K45"/>
      <c r="L45"/>
      <c r="M45"/>
      <c r="N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100219497.77670158</v>
      </c>
      <c r="I46" s="118">
        <f t="shared" si="3"/>
        <v>1966667.7767015845</v>
      </c>
      <c r="J46" s="5">
        <f t="shared" si="4"/>
        <v>2.0016398272717281E-2</v>
      </c>
      <c r="K46"/>
      <c r="L46"/>
      <c r="M46"/>
      <c r="N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82004454.566610441</v>
      </c>
      <c r="I47" s="118">
        <f t="shared" si="3"/>
        <v>-1086015.4333895594</v>
      </c>
      <c r="J47" s="5">
        <f t="shared" si="4"/>
        <v>-1.3070276692255554E-2</v>
      </c>
      <c r="K47"/>
      <c r="L47"/>
      <c r="M47"/>
      <c r="N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92181070.252090648</v>
      </c>
      <c r="I48" s="118">
        <f t="shared" si="3"/>
        <v>1321660.2520906478</v>
      </c>
      <c r="J48" s="5">
        <f t="shared" si="4"/>
        <v>1.4546212132465397E-2</v>
      </c>
      <c r="K48"/>
      <c r="L48"/>
      <c r="M48"/>
      <c r="N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93076771.399556279</v>
      </c>
      <c r="I49" s="118">
        <f t="shared" si="3"/>
        <v>-2040688.6004437208</v>
      </c>
      <c r="J49" s="5">
        <f t="shared" si="4"/>
        <v>-2.145440595705269E-2</v>
      </c>
      <c r="K49"/>
      <c r="L49"/>
      <c r="M49"/>
      <c r="N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107316073.18684751</v>
      </c>
      <c r="I50" s="118">
        <f t="shared" si="3"/>
        <v>2217113.186847508</v>
      </c>
      <c r="J50" s="5">
        <f t="shared" si="4"/>
        <v>2.109548169503778E-2</v>
      </c>
      <c r="K50"/>
      <c r="L50"/>
      <c r="M50"/>
      <c r="N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112298023.86406963</v>
      </c>
      <c r="I51" s="118">
        <f t="shared" si="3"/>
        <v>204233.86406964064</v>
      </c>
      <c r="J51" s="5">
        <f t="shared" si="4"/>
        <v>1.8219908887873331E-3</v>
      </c>
      <c r="K51"/>
      <c r="L51"/>
      <c r="M51"/>
      <c r="N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108628875.70673472</v>
      </c>
      <c r="I52" s="118">
        <f t="shared" si="3"/>
        <v>-673894.29326528311</v>
      </c>
      <c r="J52" s="5">
        <f t="shared" si="4"/>
        <v>-6.165390806338056E-3</v>
      </c>
      <c r="K52"/>
      <c r="L52"/>
      <c r="M52"/>
      <c r="N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101246601.3948385</v>
      </c>
      <c r="I53" s="118">
        <f t="shared" si="3"/>
        <v>-5535288.605161503</v>
      </c>
      <c r="J53" s="5">
        <f t="shared" si="4"/>
        <v>-5.1837335012158925E-2</v>
      </c>
      <c r="K53"/>
      <c r="L53"/>
      <c r="M53"/>
      <c r="N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90610725.408233821</v>
      </c>
      <c r="I54" s="118">
        <f t="shared" si="3"/>
        <v>-1657124.5917661786</v>
      </c>
      <c r="J54" s="5">
        <f t="shared" si="4"/>
        <v>-1.795993503442617E-2</v>
      </c>
      <c r="K54"/>
      <c r="L54"/>
      <c r="M54"/>
      <c r="N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85741429.353212655</v>
      </c>
      <c r="I55" s="118">
        <f t="shared" si="3"/>
        <v>-287700.64678734541</v>
      </c>
      <c r="J55" s="5">
        <f t="shared" si="4"/>
        <v>-3.3442235994638725E-3</v>
      </c>
      <c r="K55"/>
      <c r="L55"/>
      <c r="M55"/>
      <c r="N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91435967.013292283</v>
      </c>
      <c r="I56" s="118">
        <f t="shared" si="3"/>
        <v>-5393962.9867077023</v>
      </c>
      <c r="J56" s="5">
        <f t="shared" si="4"/>
        <v>-5.5705534298204108E-2</v>
      </c>
      <c r="K56"/>
      <c r="L56"/>
      <c r="M56"/>
      <c r="N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94962186.524317935</v>
      </c>
      <c r="I57" s="118">
        <f t="shared" si="3"/>
        <v>-1957423.4756820649</v>
      </c>
      <c r="J57" s="5">
        <f t="shared" si="4"/>
        <v>-2.0196361455458445E-2</v>
      </c>
      <c r="K57"/>
      <c r="L57"/>
      <c r="M57"/>
      <c r="N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101261765.33846444</v>
      </c>
      <c r="I58" s="118">
        <f t="shared" si="3"/>
        <v>-2382794.6615355611</v>
      </c>
      <c r="J58" s="5">
        <f t="shared" si="4"/>
        <v>-2.2990060081644045E-2</v>
      </c>
      <c r="K58"/>
      <c r="L58"/>
      <c r="M58"/>
      <c r="N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81241690.529517934</v>
      </c>
      <c r="I59" s="118">
        <f t="shared" si="3"/>
        <v>-6518309.4704820663</v>
      </c>
      <c r="J59" s="5">
        <f t="shared" si="4"/>
        <v>-7.4274264704672591E-2</v>
      </c>
      <c r="K59"/>
      <c r="L59"/>
      <c r="M59"/>
      <c r="N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85875112.382730946</v>
      </c>
      <c r="I60" s="118">
        <f t="shared" si="3"/>
        <v>-3008267.6172690541</v>
      </c>
      <c r="J60" s="5">
        <f t="shared" si="4"/>
        <v>-3.3845108244860332E-2</v>
      </c>
      <c r="K60"/>
      <c r="L60"/>
      <c r="M60"/>
      <c r="N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91577151.600240156</v>
      </c>
      <c r="I61" s="118">
        <f t="shared" si="3"/>
        <v>-6211078.3997598439</v>
      </c>
      <c r="J61" s="5">
        <f t="shared" si="4"/>
        <v>-6.3515603051204059E-2</v>
      </c>
      <c r="K61"/>
      <c r="L61"/>
      <c r="M61"/>
      <c r="N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102592151.40737684</v>
      </c>
      <c r="I62" s="118">
        <f t="shared" si="3"/>
        <v>-10260298.592623159</v>
      </c>
      <c r="J62" s="5">
        <f t="shared" si="4"/>
        <v>-9.0917818732541109E-2</v>
      </c>
      <c r="K62"/>
      <c r="L62"/>
      <c r="M62"/>
      <c r="N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106277793.2124036</v>
      </c>
      <c r="I63" s="118">
        <f t="shared" si="3"/>
        <v>-5145686.7875964046</v>
      </c>
      <c r="J63" s="5">
        <f t="shared" si="4"/>
        <v>-4.6181350533984443E-2</v>
      </c>
      <c r="K63"/>
      <c r="L63"/>
      <c r="M63"/>
      <c r="N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95983082.231786683</v>
      </c>
      <c r="I64" s="118">
        <f t="shared" si="3"/>
        <v>-10544477.768213317</v>
      </c>
      <c r="J64" s="5">
        <f t="shared" si="4"/>
        <v>-9.8983566020035718E-2</v>
      </c>
      <c r="K64"/>
      <c r="L64"/>
      <c r="M64"/>
      <c r="N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98936526.446364</v>
      </c>
      <c r="I65" s="118">
        <f t="shared" si="3"/>
        <v>-6697373.5536359847</v>
      </c>
      <c r="J65" s="5">
        <f t="shared" si="4"/>
        <v>-6.3401744644815586E-2</v>
      </c>
      <c r="K65"/>
      <c r="L65"/>
      <c r="M65"/>
      <c r="N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83353149.75070636</v>
      </c>
      <c r="I66" s="118">
        <f t="shared" si="3"/>
        <v>-2794280.2492936254</v>
      </c>
      <c r="J66" s="5">
        <f t="shared" si="4"/>
        <v>-3.2436025651532793E-2</v>
      </c>
      <c r="K66"/>
      <c r="L66"/>
      <c r="M66"/>
      <c r="N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86444661.388164088</v>
      </c>
      <c r="I67" s="118">
        <f t="shared" si="3"/>
        <v>3668351.3881640881</v>
      </c>
      <c r="J67" s="5">
        <f t="shared" si="4"/>
        <v>4.4316440152551956E-2</v>
      </c>
      <c r="K67"/>
      <c r="L67"/>
      <c r="M67"/>
      <c r="N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88712578.515884832</v>
      </c>
      <c r="I68" s="118">
        <f t="shared" ref="I68:I131" si="6">H68-B68</f>
        <v>-1980214.4841151685</v>
      </c>
      <c r="J68" s="5">
        <f t="shared" ref="J68:J131" si="7">I68/B68</f>
        <v>-2.1834309194945275E-2</v>
      </c>
      <c r="K68"/>
      <c r="L68"/>
      <c r="M68"/>
      <c r="N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97046969.735358745</v>
      </c>
      <c r="I69" s="118">
        <f t="shared" si="6"/>
        <v>-1821470.2646412551</v>
      </c>
      <c r="J69" s="5">
        <f t="shared" si="7"/>
        <v>-1.8423171890253907E-2</v>
      </c>
      <c r="K69"/>
      <c r="L69"/>
      <c r="M69"/>
      <c r="N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93137090.569939956</v>
      </c>
      <c r="I70" s="118">
        <f t="shared" si="6"/>
        <v>-295229.43006004393</v>
      </c>
      <c r="J70" s="5">
        <f t="shared" si="7"/>
        <v>-3.1598212487931794E-3</v>
      </c>
      <c r="K70"/>
      <c r="L70"/>
      <c r="M70"/>
      <c r="N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82513009.914628208</v>
      </c>
      <c r="I71" s="118">
        <f t="shared" si="6"/>
        <v>-4342062.0853717923</v>
      </c>
      <c r="J71" s="5">
        <f t="shared" si="7"/>
        <v>-4.9992038293075067E-2</v>
      </c>
      <c r="K71"/>
      <c r="L71"/>
      <c r="M71"/>
      <c r="N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87892082.027153939</v>
      </c>
      <c r="I72" s="118">
        <f t="shared" si="6"/>
        <v>-402535.97284606099</v>
      </c>
      <c r="J72" s="5">
        <f t="shared" si="7"/>
        <v>-4.5590091668561384E-3</v>
      </c>
      <c r="K72"/>
      <c r="L72"/>
      <c r="M72"/>
      <c r="N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87695616.127792627</v>
      </c>
      <c r="I73" s="118">
        <f t="shared" si="6"/>
        <v>-8175218.8722073734</v>
      </c>
      <c r="J73" s="5">
        <f t="shared" si="7"/>
        <v>-8.5273262428635088E-2</v>
      </c>
      <c r="K73"/>
      <c r="L73"/>
      <c r="M73"/>
      <c r="N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102179852.4366149</v>
      </c>
      <c r="I74" s="118">
        <f t="shared" si="6"/>
        <v>-10179315.563385099</v>
      </c>
      <c r="J74" s="5">
        <f t="shared" si="7"/>
        <v>-9.0596216976126936E-2</v>
      </c>
      <c r="K74"/>
      <c r="L74"/>
      <c r="M74"/>
      <c r="N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113669166.48036329</v>
      </c>
      <c r="I75" s="118">
        <f t="shared" si="6"/>
        <v>-5652539.5196367055</v>
      </c>
      <c r="J75" s="5">
        <f t="shared" si="7"/>
        <v>-4.7372265358297055E-2</v>
      </c>
      <c r="K75"/>
      <c r="L75"/>
      <c r="M75"/>
      <c r="N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101591938.19047095</v>
      </c>
      <c r="I76" s="118">
        <f t="shared" si="6"/>
        <v>2206922.1904709488</v>
      </c>
      <c r="J76" s="5">
        <f t="shared" si="7"/>
        <v>2.2205783922909957E-2</v>
      </c>
      <c r="K76"/>
      <c r="L76"/>
      <c r="M76"/>
      <c r="N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96719238.894261658</v>
      </c>
      <c r="I77" s="118">
        <f t="shared" si="6"/>
        <v>-4133071.1057383418</v>
      </c>
      <c r="J77" s="5">
        <f t="shared" si="7"/>
        <v>-4.0981422297003828E-2</v>
      </c>
      <c r="K77"/>
      <c r="L77"/>
      <c r="M77"/>
      <c r="N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88471212.388548374</v>
      </c>
      <c r="I78" s="118">
        <f t="shared" si="6"/>
        <v>1729544.3885483742</v>
      </c>
      <c r="J78" s="5">
        <f t="shared" si="7"/>
        <v>1.9939026173077214E-2</v>
      </c>
      <c r="K78"/>
      <c r="L78"/>
      <c r="M78"/>
      <c r="N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85535728.668332428</v>
      </c>
      <c r="I79" s="118">
        <f t="shared" si="6"/>
        <v>4943835.2837170362</v>
      </c>
      <c r="J79" s="5">
        <f t="shared" si="7"/>
        <v>6.1344076632163985E-2</v>
      </c>
      <c r="K79"/>
      <c r="L79"/>
      <c r="M79"/>
      <c r="N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89118401.658641085</v>
      </c>
      <c r="I80" s="118">
        <f t="shared" si="6"/>
        <v>4920350.7355641574</v>
      </c>
      <c r="J80" s="5">
        <f t="shared" si="7"/>
        <v>5.8437822272862046E-2</v>
      </c>
      <c r="K80"/>
      <c r="L80"/>
      <c r="M80"/>
      <c r="N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89559767.631675959</v>
      </c>
      <c r="I81" s="118">
        <f t="shared" si="6"/>
        <v>1728066.572445184</v>
      </c>
      <c r="J81" s="5">
        <f t="shared" si="7"/>
        <v>1.9674747859885277E-2</v>
      </c>
      <c r="K81"/>
      <c r="L81"/>
      <c r="M81"/>
      <c r="N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96728091.924134597</v>
      </c>
      <c r="I82" s="118">
        <f t="shared" si="6"/>
        <v>-1151663.0758654028</v>
      </c>
      <c r="J82" s="5">
        <f t="shared" si="7"/>
        <v>-1.1766100925215871E-2</v>
      </c>
      <c r="K82"/>
      <c r="L82"/>
      <c r="M82"/>
      <c r="N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79092458.754431084</v>
      </c>
      <c r="I83" s="118">
        <f t="shared" si="6"/>
        <v>-4815202.9332612306</v>
      </c>
      <c r="J83" s="5">
        <f t="shared" si="7"/>
        <v>-5.7386927920642206E-2</v>
      </c>
      <c r="K83"/>
      <c r="L83"/>
      <c r="M83"/>
      <c r="N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88718829.032090873</v>
      </c>
      <c r="I84" s="118">
        <f t="shared" si="6"/>
        <v>621664.69516779482</v>
      </c>
      <c r="J84" s="5">
        <f t="shared" si="7"/>
        <v>7.0565800823085539E-3</v>
      </c>
      <c r="K84"/>
      <c r="L84"/>
      <c r="M84"/>
      <c r="N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88273413.291173413</v>
      </c>
      <c r="I85" s="118">
        <f t="shared" si="6"/>
        <v>-1600453.3972881436</v>
      </c>
      <c r="J85" s="5">
        <f t="shared" si="7"/>
        <v>-1.7807772784895853E-2</v>
      </c>
      <c r="K85"/>
      <c r="L85"/>
      <c r="M85"/>
      <c r="N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109246406.76055576</v>
      </c>
      <c r="I86" s="118">
        <f t="shared" si="6"/>
        <v>-463584.67021347582</v>
      </c>
      <c r="J86" s="5">
        <f t="shared" si="7"/>
        <v>-4.2255464991628735E-3</v>
      </c>
      <c r="K86"/>
      <c r="L86"/>
      <c r="M86"/>
      <c r="N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111975136.46556638</v>
      </c>
      <c r="I87" s="118">
        <f t="shared" si="6"/>
        <v>-2173267.5621259362</v>
      </c>
      <c r="J87" s="5">
        <f t="shared" si="7"/>
        <v>-1.9038965815051632E-2</v>
      </c>
      <c r="K87"/>
      <c r="L87"/>
      <c r="M87"/>
      <c r="N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98809756.448872194</v>
      </c>
      <c r="I88" s="118">
        <f t="shared" si="6"/>
        <v>-1471135.2088201195</v>
      </c>
      <c r="J88" s="5">
        <f t="shared" si="7"/>
        <v>-1.467014487507573E-2</v>
      </c>
      <c r="K88"/>
      <c r="L88"/>
      <c r="M88"/>
      <c r="N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93146039.107718393</v>
      </c>
      <c r="I89" s="118">
        <f t="shared" si="6"/>
        <v>-2297572.2768969983</v>
      </c>
      <c r="J89" s="5">
        <f t="shared" si="7"/>
        <v>-2.407256225498761E-2</v>
      </c>
      <c r="K89"/>
      <c r="L89"/>
      <c r="M89"/>
      <c r="N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84121572.38522099</v>
      </c>
      <c r="I90" s="118">
        <f t="shared" si="6"/>
        <v>3179766.4798363596</v>
      </c>
      <c r="J90" s="5">
        <f t="shared" si="7"/>
        <v>3.9284600142888912E-2</v>
      </c>
      <c r="K90"/>
      <c r="L90"/>
      <c r="M90"/>
      <c r="N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85303560.51495561</v>
      </c>
      <c r="I91" s="118">
        <f t="shared" si="6"/>
        <v>-2115207.7435059398</v>
      </c>
      <c r="J91" s="5">
        <f t="shared" si="7"/>
        <v>-2.4196265694937904E-2</v>
      </c>
      <c r="K91"/>
      <c r="L91"/>
      <c r="M91"/>
      <c r="N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88876476.017176658</v>
      </c>
      <c r="I92" s="118">
        <f t="shared" si="6"/>
        <v>-210812.92051565647</v>
      </c>
      <c r="J92" s="5">
        <f t="shared" si="7"/>
        <v>-2.3663636308777912E-3</v>
      </c>
      <c r="K92"/>
      <c r="L92"/>
      <c r="M92"/>
      <c r="N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101298017.36815929</v>
      </c>
      <c r="I93" s="118">
        <f t="shared" si="6"/>
        <v>-6606041.7118407041</v>
      </c>
      <c r="J93" s="5">
        <f t="shared" si="7"/>
        <v>-6.1221438453422677E-2</v>
      </c>
      <c r="K93"/>
      <c r="L93"/>
      <c r="M93"/>
      <c r="N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97466020.566853017</v>
      </c>
      <c r="I94" s="118">
        <f t="shared" si="6"/>
        <v>-4808405.6277623624</v>
      </c>
      <c r="J94" s="5">
        <f t="shared" si="7"/>
        <v>-4.7014740699816503E-2</v>
      </c>
      <c r="K94"/>
      <c r="L94"/>
      <c r="M94"/>
      <c r="N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79710857.380865946</v>
      </c>
      <c r="I95" s="118">
        <f t="shared" si="6"/>
        <v>-3780145.1199032813</v>
      </c>
      <c r="J95" s="5">
        <f t="shared" si="7"/>
        <v>-4.5276077741053043E-2</v>
      </c>
      <c r="K95"/>
      <c r="L95"/>
      <c r="M95"/>
      <c r="N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87882159.014930263</v>
      </c>
      <c r="I96" s="118">
        <f t="shared" si="6"/>
        <v>2981969.7841610312</v>
      </c>
      <c r="J96" s="5">
        <f t="shared" si="7"/>
        <v>3.5123240727481395E-2</v>
      </c>
      <c r="K96"/>
      <c r="L96"/>
      <c r="M96"/>
      <c r="N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90725290.374568939</v>
      </c>
      <c r="I97" s="118">
        <f t="shared" si="6"/>
        <v>-1011461.2623541504</v>
      </c>
      <c r="J97" s="5">
        <f t="shared" si="7"/>
        <v>-1.1025693021672764E-2</v>
      </c>
      <c r="K97"/>
      <c r="L97"/>
      <c r="M97"/>
      <c r="N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110405350.7958694</v>
      </c>
      <c r="I98" s="118">
        <f t="shared" si="6"/>
        <v>-456782.20413060486</v>
      </c>
      <c r="J98" s="5">
        <f t="shared" si="7"/>
        <v>-4.1202725562803745E-3</v>
      </c>
      <c r="K98"/>
      <c r="L98"/>
      <c r="M98"/>
      <c r="N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116487077.18195447</v>
      </c>
      <c r="I99" s="118">
        <f t="shared" si="6"/>
        <v>2842689.8611852229</v>
      </c>
      <c r="J99" s="5">
        <f t="shared" si="7"/>
        <v>2.5013904586079834E-2</v>
      </c>
      <c r="K99"/>
      <c r="L99"/>
      <c r="M99"/>
      <c r="N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102896073.24259979</v>
      </c>
      <c r="I100" s="118">
        <f t="shared" si="6"/>
        <v>2335024.8579843938</v>
      </c>
      <c r="J100" s="5">
        <f t="shared" si="7"/>
        <v>2.3219973294765529E-2</v>
      </c>
      <c r="K100"/>
      <c r="L100"/>
      <c r="M100"/>
      <c r="N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101183430.80614345</v>
      </c>
      <c r="I101" s="118">
        <f t="shared" si="6"/>
        <v>-1429966.0123181045</v>
      </c>
      <c r="J101" s="5">
        <f t="shared" si="7"/>
        <v>-1.3935470968258933E-2</v>
      </c>
      <c r="K101"/>
      <c r="L101"/>
      <c r="M101"/>
      <c r="N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89183407.484930903</v>
      </c>
      <c r="I102" s="118">
        <f t="shared" si="6"/>
        <v>2167842.3218539804</v>
      </c>
      <c r="J102" s="5">
        <f t="shared" si="7"/>
        <v>2.4913270606140417E-2</v>
      </c>
      <c r="K102"/>
      <c r="L102"/>
      <c r="M102"/>
      <c r="N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84657585.905972138</v>
      </c>
      <c r="I103" s="118">
        <f t="shared" si="6"/>
        <v>1736576.155972138</v>
      </c>
      <c r="J103" s="5">
        <f t="shared" si="7"/>
        <v>2.094253508498958E-2</v>
      </c>
      <c r="K103"/>
      <c r="L103"/>
      <c r="M103"/>
      <c r="N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88580805.811032832</v>
      </c>
      <c r="I104" s="118">
        <f t="shared" si="6"/>
        <v>431673.80180205405</v>
      </c>
      <c r="J104" s="5">
        <f t="shared" si="7"/>
        <v>4.897085109775671E-3</v>
      </c>
      <c r="K104"/>
      <c r="L104"/>
      <c r="M104"/>
      <c r="N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7.0999999999999994E-2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107835172.17790563</v>
      </c>
      <c r="I105" s="118">
        <f t="shared" si="6"/>
        <v>-1092492.5413251519</v>
      </c>
      <c r="J105" s="5">
        <f t="shared" si="7"/>
        <v>-1.0029523208278938E-2</v>
      </c>
      <c r="K105"/>
      <c r="L105"/>
      <c r="M105"/>
      <c r="N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7.0999999999999994E-2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99451038.670595825</v>
      </c>
      <c r="I106" s="118">
        <f t="shared" si="6"/>
        <v>-856935.25632725656</v>
      </c>
      <c r="J106" s="5">
        <f t="shared" si="7"/>
        <v>-8.5430422206668813E-3</v>
      </c>
      <c r="K106"/>
      <c r="L106"/>
      <c r="M106"/>
      <c r="N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7.0999999999999994E-2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84756427.316175103</v>
      </c>
      <c r="I107" s="118">
        <f t="shared" si="6"/>
        <v>-1048742.7245941311</v>
      </c>
      <c r="J107" s="5">
        <f t="shared" si="7"/>
        <v>-1.2222372196172263E-2</v>
      </c>
      <c r="K107"/>
      <c r="L107"/>
      <c r="M107"/>
      <c r="N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89428044.166812688</v>
      </c>
      <c r="I108" s="118">
        <f t="shared" si="6"/>
        <v>3660094.4437357634</v>
      </c>
      <c r="J108" s="5">
        <f t="shared" si="7"/>
        <v>4.2674384260709103E-2</v>
      </c>
      <c r="K108"/>
      <c r="L108"/>
      <c r="M108"/>
      <c r="N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91588571.122184515</v>
      </c>
      <c r="I109" s="118">
        <f t="shared" si="6"/>
        <v>2181102.9675691277</v>
      </c>
      <c r="J109" s="5">
        <f t="shared" si="7"/>
        <v>2.4395087039007432E-2</v>
      </c>
      <c r="K109"/>
      <c r="L109"/>
      <c r="M109"/>
      <c r="N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108939745.92892753</v>
      </c>
      <c r="I110" s="118">
        <f t="shared" si="6"/>
        <v>5428124.5443121344</v>
      </c>
      <c r="J110" s="5">
        <f t="shared" si="7"/>
        <v>5.2439759629916295E-2</v>
      </c>
      <c r="K110"/>
      <c r="L110"/>
      <c r="M110"/>
      <c r="N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111370497.99605244</v>
      </c>
      <c r="I111" s="118">
        <f t="shared" si="6"/>
        <v>3388325.6614370346</v>
      </c>
      <c r="J111" s="5">
        <f t="shared" si="7"/>
        <v>3.1378565444463213E-2</v>
      </c>
      <c r="K111"/>
      <c r="L111"/>
      <c r="M111"/>
      <c r="N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102697976.30557558</v>
      </c>
      <c r="I112" s="118">
        <f t="shared" si="6"/>
        <v>5387457.776344806</v>
      </c>
      <c r="J112" s="5">
        <f t="shared" si="7"/>
        <v>5.5363570740058134E-2</v>
      </c>
      <c r="K112"/>
      <c r="L112"/>
      <c r="M112"/>
      <c r="N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95645243.01760602</v>
      </c>
      <c r="I113" s="118">
        <f t="shared" si="6"/>
        <v>2704649.2968367934</v>
      </c>
      <c r="J113" s="5">
        <f t="shared" si="7"/>
        <v>2.9100839456251412E-2</v>
      </c>
      <c r="K113"/>
      <c r="L113"/>
      <c r="M113"/>
      <c r="N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89785487.970798314</v>
      </c>
      <c r="I114" s="118">
        <f t="shared" si="6"/>
        <v>5723975.8007983118</v>
      </c>
      <c r="J114" s="5">
        <f t="shared" si="7"/>
        <v>6.8092705603755396E-2</v>
      </c>
      <c r="K114"/>
      <c r="L114"/>
      <c r="M114"/>
      <c r="N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86542728.997275561</v>
      </c>
      <c r="I115" s="118">
        <f t="shared" si="6"/>
        <v>2244388.0754573941</v>
      </c>
      <c r="J115" s="5">
        <f t="shared" si="7"/>
        <v>2.6624344570896529E-2</v>
      </c>
      <c r="K115"/>
      <c r="L115"/>
      <c r="M115"/>
      <c r="N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93649284.295829073</v>
      </c>
      <c r="I116" s="118">
        <f t="shared" si="6"/>
        <v>462162.44219271839</v>
      </c>
      <c r="J116" s="5">
        <f t="shared" si="7"/>
        <v>4.9595097798879372E-3</v>
      </c>
      <c r="K116"/>
      <c r="L116"/>
      <c r="M116"/>
      <c r="N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9.0999999999999998E-2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107229092.26670532</v>
      </c>
      <c r="I117" s="118">
        <f t="shared" si="6"/>
        <v>-3537982.2842037529</v>
      </c>
      <c r="J117" s="5">
        <f t="shared" si="7"/>
        <v>-3.1940739597466572E-2</v>
      </c>
      <c r="K117"/>
      <c r="L117"/>
      <c r="M117"/>
      <c r="N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9.0999999999999998E-2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100032699.46675721</v>
      </c>
      <c r="I118" s="118">
        <f t="shared" si="6"/>
        <v>-1341252.1250609607</v>
      </c>
      <c r="J118" s="5">
        <f t="shared" si="7"/>
        <v>-1.3230737324529947E-2</v>
      </c>
      <c r="K118"/>
      <c r="L118"/>
      <c r="M118"/>
      <c r="N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9.0999999999999998E-2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82155078.703176185</v>
      </c>
      <c r="I119" s="118">
        <f t="shared" si="6"/>
        <v>-2868060.5150056332</v>
      </c>
      <c r="J119" s="5">
        <f t="shared" si="7"/>
        <v>-3.3732705489099506E-2</v>
      </c>
      <c r="K119"/>
      <c r="L119"/>
      <c r="M119"/>
      <c r="N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9.6000000000000002E-2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86740542.193759575</v>
      </c>
      <c r="I120" s="118">
        <f t="shared" si="6"/>
        <v>1444851.9119414091</v>
      </c>
      <c r="J120" s="5">
        <f t="shared" si="7"/>
        <v>1.693933078174991E-2</v>
      </c>
      <c r="K120"/>
      <c r="L120"/>
      <c r="M120"/>
      <c r="N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9.6000000000000002E-2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91892482.56783022</v>
      </c>
      <c r="I121" s="118">
        <f t="shared" si="6"/>
        <v>213282.83328476548</v>
      </c>
      <c r="J121" s="5">
        <f t="shared" si="7"/>
        <v>2.3264037415500999E-3</v>
      </c>
      <c r="K121"/>
      <c r="L121"/>
      <c r="M121"/>
      <c r="N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9.6000000000000002E-2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102887405.7748414</v>
      </c>
      <c r="I122" s="118">
        <f t="shared" si="6"/>
        <v>594768.01120503247</v>
      </c>
      <c r="J122" s="5">
        <f t="shared" si="7"/>
        <v>5.8143774978150417E-3</v>
      </c>
      <c r="K122"/>
      <c r="L122"/>
      <c r="M122"/>
      <c r="N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8.6000110000000005E-2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110773684.58390863</v>
      </c>
      <c r="I123" s="118">
        <f t="shared" si="6"/>
        <v>3397301.2505752891</v>
      </c>
      <c r="J123" s="5">
        <f t="shared" si="7"/>
        <v>3.1639184940965036E-2</v>
      </c>
      <c r="K123"/>
      <c r="L123"/>
      <c r="M123"/>
      <c r="N123"/>
      <c r="T123" s="111"/>
      <c r="U123" s="111"/>
      <c r="V123" s="111"/>
      <c r="W123" s="111"/>
      <c r="X123" s="111"/>
      <c r="Y123" s="111"/>
      <c r="Z123" s="111"/>
      <c r="AA123" s="111"/>
      <c r="AB123" s="111"/>
    </row>
    <row r="124" spans="1:28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8.6000110000000005E-2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102113493.63537557</v>
      </c>
      <c r="I124" s="118">
        <f t="shared" si="6"/>
        <v>3410601.9687089026</v>
      </c>
      <c r="J124" s="5">
        <f t="shared" si="7"/>
        <v>3.4554225424590169E-2</v>
      </c>
      <c r="K124"/>
      <c r="L124"/>
      <c r="M124"/>
      <c r="N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8.6000110000000005E-2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100718061.48090206</v>
      </c>
      <c r="I125" s="118">
        <f t="shared" si="6"/>
        <v>1866978.1475687176</v>
      </c>
      <c r="J125" s="5">
        <f t="shared" si="7"/>
        <v>1.888677477891796E-2</v>
      </c>
      <c r="K125"/>
      <c r="L125"/>
      <c r="M125"/>
      <c r="N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7.8295169999999997E-2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91709444.991503432</v>
      </c>
      <c r="I126" s="118">
        <f t="shared" si="6"/>
        <v>4379436.6581700891</v>
      </c>
      <c r="J126" s="5">
        <f t="shared" si="7"/>
        <v>5.0148130542413842E-2</v>
      </c>
      <c r="K126"/>
      <c r="L126"/>
      <c r="M126"/>
      <c r="N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7.8295169999999997E-2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85605583.276337638</v>
      </c>
      <c r="I127" s="118">
        <f t="shared" si="6"/>
        <v>3691624.9430042952</v>
      </c>
      <c r="J127" s="5">
        <f t="shared" si="7"/>
        <v>4.5067104778185992E-2</v>
      </c>
      <c r="K127"/>
      <c r="L127"/>
      <c r="M127"/>
      <c r="N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7.8295169999999997E-2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90466854.882665217</v>
      </c>
      <c r="I128" s="118">
        <f t="shared" si="6"/>
        <v>4074921.5493318737</v>
      </c>
      <c r="J128" s="5">
        <f t="shared" si="7"/>
        <v>4.7167847646252543E-2</v>
      </c>
      <c r="K128"/>
      <c r="L128"/>
      <c r="M128"/>
      <c r="N128"/>
      <c r="T128" s="111"/>
      <c r="U128" s="111"/>
      <c r="V128" s="111"/>
      <c r="W128" s="111"/>
      <c r="X128" s="111"/>
      <c r="Y128" s="111"/>
      <c r="Z128" s="111"/>
      <c r="AA128" s="111"/>
      <c r="AB128" s="111"/>
    </row>
    <row r="129" spans="1:28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6.7434110000000005E-2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104081794.0930358</v>
      </c>
      <c r="I129" s="118">
        <f t="shared" si="6"/>
        <v>44727.426369130611</v>
      </c>
      <c r="J129" s="5">
        <f t="shared" si="7"/>
        <v>4.2991818014666511E-4</v>
      </c>
      <c r="K129"/>
      <c r="L129"/>
      <c r="M129"/>
      <c r="N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6.7434110000000005E-2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97029914.081305042</v>
      </c>
      <c r="I130" s="118">
        <f t="shared" si="6"/>
        <v>1366472.4146383703</v>
      </c>
      <c r="J130" s="5">
        <f t="shared" si="7"/>
        <v>1.4284165307367454E-2</v>
      </c>
      <c r="K130"/>
      <c r="L130"/>
      <c r="M130"/>
      <c r="N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6.7434110000000005E-2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84477117.682927072</v>
      </c>
      <c r="I131" s="118">
        <f t="shared" si="6"/>
        <v>1465009.3495937288</v>
      </c>
      <c r="J131" s="5">
        <f t="shared" si="7"/>
        <v>1.7648140482241639E-2</v>
      </c>
      <c r="K131"/>
      <c r="L131"/>
      <c r="M131"/>
      <c r="N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7.5499999999999998E-2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89483335.184996113</v>
      </c>
      <c r="I132" s="118">
        <f t="shared" ref="I132:I133" si="9">H132-B132</f>
        <v>5019935.1849960983</v>
      </c>
      <c r="J132" s="5">
        <f t="shared" ref="J132:J133" si="10">I132/B132</f>
        <v>5.9433259672190528E-2</v>
      </c>
      <c r="K132"/>
      <c r="L132"/>
      <c r="M132"/>
      <c r="N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7.5499999999999998E-2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95767886.301291361</v>
      </c>
      <c r="I133" s="118">
        <f t="shared" si="9"/>
        <v>1518702.9679580182</v>
      </c>
      <c r="J133" s="5">
        <f t="shared" si="10"/>
        <v>1.611369896529273E-2</v>
      </c>
      <c r="K133"/>
      <c r="L133"/>
      <c r="M133"/>
      <c r="N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7.5499999999999998E-2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106401430.70604365</v>
      </c>
      <c r="I134" s="118">
        <f t="shared" ref="I134" ca="1" si="11">H134-B134</f>
        <v>-2014152.6272896975</v>
      </c>
      <c r="J134" s="5">
        <f t="shared" ref="J134" ca="1" si="12">I134/B134</f>
        <v>-1.8578073053363613E-2</v>
      </c>
      <c r="L134"/>
      <c r="M134"/>
      <c r="N134"/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>
      <c r="A135" s="3">
        <v>41640</v>
      </c>
      <c r="B135" s="111"/>
      <c r="C135" s="98">
        <f>(+C123/SUM(C$123:C$134))*Trends!B$22</f>
        <v>564.54188088253147</v>
      </c>
      <c r="D135" s="98">
        <f ca="1">(+D123/SUM(D$123:D$134))*Trends!C$22</f>
        <v>0</v>
      </c>
      <c r="E135" s="103">
        <f>+'Purchased Power Model '!E135</f>
        <v>7.5499999999999998E-2</v>
      </c>
      <c r="F135" s="10">
        <f>+'Purchased Power Model '!F135</f>
        <v>31</v>
      </c>
      <c r="G135" s="10">
        <f>+'Purchased Power Model '!G135</f>
        <v>0</v>
      </c>
      <c r="H135" s="117">
        <f t="shared" ca="1" si="8"/>
        <v>110085160.82052246</v>
      </c>
      <c r="I135" s="118"/>
      <c r="J135" s="119"/>
      <c r="L135"/>
      <c r="M135"/>
      <c r="N135"/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>
      <c r="A136" s="3">
        <v>41671</v>
      </c>
      <c r="B136" s="111"/>
      <c r="C136" s="98">
        <f>(+C124/SUM(C$123:C$134))*Trends!B$22</f>
        <v>560.96418615480661</v>
      </c>
      <c r="D136" s="98">
        <f ca="1">(+D124/SUM(D$123:D$134))*Trends!C$22</f>
        <v>0</v>
      </c>
      <c r="E136" s="103">
        <f>+'Purchased Power Model '!E136</f>
        <v>7.5499999999999998E-2</v>
      </c>
      <c r="F136" s="10">
        <f>+'Purchased Power Model '!F136</f>
        <v>28</v>
      </c>
      <c r="G136" s="10">
        <f>+'Purchased Power Model '!G136</f>
        <v>0</v>
      </c>
      <c r="H136" s="117">
        <f t="shared" ca="1" si="8"/>
        <v>101437911.46012902</v>
      </c>
      <c r="I136" s="118"/>
      <c r="J136" s="119"/>
      <c r="L136"/>
      <c r="M136"/>
      <c r="N136"/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>
      <c r="A137" s="3">
        <v>41699</v>
      </c>
      <c r="B137" s="111"/>
      <c r="C137" s="98">
        <f>(+C125/SUM(C$123:C$134))*Trends!B$22</f>
        <v>499.95990425898538</v>
      </c>
      <c r="D137" s="98">
        <f ca="1">(+D125/SUM(D$123:D$134))*Trends!C$22</f>
        <v>0</v>
      </c>
      <c r="E137" s="103">
        <f>+'Purchased Power Model '!E137</f>
        <v>7.5499999999999998E-2</v>
      </c>
      <c r="F137" s="10">
        <f>+'Purchased Power Model '!F137</f>
        <v>31</v>
      </c>
      <c r="G137" s="10">
        <f>+'Purchased Power Model '!G137</f>
        <v>1</v>
      </c>
      <c r="H137" s="117">
        <f t="shared" ca="1" si="8"/>
        <v>100263149.9752156</v>
      </c>
      <c r="I137" s="118"/>
      <c r="J137" s="119"/>
      <c r="L137"/>
      <c r="M137"/>
      <c r="N137"/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>
      <c r="A138" s="3">
        <v>41730</v>
      </c>
      <c r="B138" s="111"/>
      <c r="C138" s="98">
        <f>(+C126/SUM(C$123:C$134))*Trends!B$22</f>
        <v>336.21156864388644</v>
      </c>
      <c r="D138" s="98">
        <f ca="1">(+D126/SUM(D$123:D$134))*Trends!C$22</f>
        <v>0</v>
      </c>
      <c r="E138" s="103">
        <f>+'Purchased Power Model '!E138</f>
        <v>7.5499999999999998E-2</v>
      </c>
      <c r="F138" s="10">
        <f>+'Purchased Power Model '!F138</f>
        <v>30</v>
      </c>
      <c r="G138" s="10">
        <f>+'Purchased Power Model '!G138</f>
        <v>1</v>
      </c>
      <c r="H138" s="117">
        <f t="shared" ca="1" si="8"/>
        <v>90853599.108644739</v>
      </c>
      <c r="I138" s="118"/>
      <c r="J138" s="119"/>
      <c r="L138"/>
      <c r="M138"/>
      <c r="N138"/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>
      <c r="A139" s="3">
        <v>41760</v>
      </c>
      <c r="B139" s="111"/>
      <c r="C139" s="98">
        <f>(+C127/SUM(C$123:C$134))*Trends!B$22</f>
        <v>122.37550684063973</v>
      </c>
      <c r="D139" s="98">
        <f ca="1">(+D127/SUM(D$123:D$134))*Trends!C$22</f>
        <v>3.772678088367897</v>
      </c>
      <c r="E139" s="103">
        <f>+'Purchased Power Model '!E139</f>
        <v>7.5499999999999998E-2</v>
      </c>
      <c r="F139" s="10">
        <f>+'Purchased Power Model '!F139</f>
        <v>31</v>
      </c>
      <c r="G139" s="10">
        <f>+'Purchased Power Model '!G139</f>
        <v>1</v>
      </c>
      <c r="H139" s="117">
        <f t="shared" ca="1" si="8"/>
        <v>85631760.584812269</v>
      </c>
      <c r="I139" s="118"/>
      <c r="J139" s="119"/>
      <c r="L139"/>
      <c r="M139"/>
      <c r="N139"/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>
      <c r="A140" s="3">
        <v>41791</v>
      </c>
      <c r="B140" s="111"/>
      <c r="C140" s="98">
        <f>(+C128/SUM(C$123:C$134))*Trends!B$22</f>
        <v>39.35464200497335</v>
      </c>
      <c r="D140" s="98">
        <f ca="1">(+D128/SUM(D$123:D$134))*Trends!C$22</f>
        <v>40.493411481815428</v>
      </c>
      <c r="E140" s="103">
        <f>+'Purchased Power Model '!E140</f>
        <v>7.5499999999999998E-2</v>
      </c>
      <c r="F140" s="10">
        <f>+'Purchased Power Model '!F140</f>
        <v>30</v>
      </c>
      <c r="G140" s="10">
        <f>+'Purchased Power Model '!G140</f>
        <v>0</v>
      </c>
      <c r="H140" s="117">
        <f t="shared" ca="1" si="8"/>
        <v>91849550.4565157</v>
      </c>
      <c r="I140" s="118"/>
      <c r="J140" s="119"/>
      <c r="L140"/>
      <c r="M140"/>
      <c r="N140"/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>
      <c r="A141" s="3">
        <v>41821</v>
      </c>
      <c r="B141" s="111"/>
      <c r="C141" s="98">
        <f>(+C129/SUM(C$123:C$134))*Trends!B$22</f>
        <v>4.0363735389716258</v>
      </c>
      <c r="D141" s="98">
        <f ca="1">(+D129/SUM(D$123:D$134))*Trends!C$22</f>
        <v>138.33152990682285</v>
      </c>
      <c r="E141" s="103">
        <f>+'Purchased Power Model '!E141</f>
        <v>7.5499999999999998E-2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ca="1" si="8"/>
        <v>107006263.73782702</v>
      </c>
      <c r="I141" s="118"/>
      <c r="J141" s="119"/>
      <c r="L141"/>
      <c r="M141"/>
      <c r="N141"/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>
      <c r="A142" s="3">
        <v>41852</v>
      </c>
      <c r="B142" s="111"/>
      <c r="C142" s="98">
        <f>(+C130/SUM(C$123:C$134))*Trends!B$22</f>
        <v>10.090933847429062</v>
      </c>
      <c r="D142" s="98">
        <f ca="1">(+D130/SUM(D$123:D$134))*Trends!C$22</f>
        <v>72.812687105500387</v>
      </c>
      <c r="E142" s="103">
        <f>+'Purchased Power Model '!E142</f>
        <v>7.5499999999999998E-2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ca="1" si="8"/>
        <v>98047948.759023011</v>
      </c>
      <c r="I142" s="118"/>
      <c r="J142" s="119"/>
      <c r="L142"/>
      <c r="M142"/>
      <c r="N142"/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>
      <c r="A143" s="3">
        <v>41883</v>
      </c>
      <c r="B143" s="111"/>
      <c r="C143" s="98">
        <f>(+C131/SUM(C$123:C$134))*Trends!B$22</f>
        <v>88.616746332877042</v>
      </c>
      <c r="D143" s="98">
        <f ca="1">(+D131/SUM(D$123:D$134))*Trends!C$22</f>
        <v>19.743681995791995</v>
      </c>
      <c r="E143" s="103">
        <f>+'Purchased Power Model '!E143</f>
        <v>7.5499999999999998E-2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ca="1" si="8"/>
        <v>83684664.871724352</v>
      </c>
      <c r="I143" s="118"/>
      <c r="J143" s="119"/>
      <c r="L143"/>
      <c r="M143"/>
      <c r="N143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>
      <c r="A144" s="3">
        <v>41913</v>
      </c>
      <c r="B144" s="111"/>
      <c r="C144" s="98">
        <f>(+C132/SUM(C$123:C$134))*Trends!B$22</f>
        <v>202.73603457107481</v>
      </c>
      <c r="D144" s="98">
        <f ca="1">(+D132/SUM(D$123:D$134))*Trends!C$22</f>
        <v>3.772678088367897</v>
      </c>
      <c r="E144" s="103">
        <f>+'Purchased Power Model '!E144</f>
        <v>7.5499999999999998E-2</v>
      </c>
      <c r="F144" s="10">
        <f>+'Purchased Power Model '!F144</f>
        <v>31</v>
      </c>
      <c r="G144" s="10">
        <f>+'Purchased Power Model '!G144</f>
        <v>1</v>
      </c>
      <c r="H144" s="117">
        <f t="shared" ca="1" si="8"/>
        <v>88858492.947047696</v>
      </c>
      <c r="I144" s="118"/>
      <c r="J144" s="119"/>
      <c r="L144"/>
      <c r="M144"/>
      <c r="N144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>
      <c r="A145" s="3">
        <v>41944</v>
      </c>
      <c r="B145" s="111"/>
      <c r="C145" s="98">
        <f>(+C133/SUM(C$123:C$134))*Trends!B$22</f>
        <v>420.70020567554263</v>
      </c>
      <c r="D145" s="98">
        <f ca="1">(+D133/SUM(D$123:D$134))*Trends!C$22</f>
        <v>0</v>
      </c>
      <c r="E145" s="103">
        <f>+'Purchased Power Model '!E145</f>
        <v>7.5499999999999998E-2</v>
      </c>
      <c r="F145" s="10">
        <f>+'Purchased Power Model '!F145</f>
        <v>30</v>
      </c>
      <c r="G145" s="10">
        <f>+'Purchased Power Model '!G145</f>
        <v>1</v>
      </c>
      <c r="H145" s="117">
        <f t="shared" ca="1" si="8"/>
        <v>94246088.270310074</v>
      </c>
      <c r="I145" s="118"/>
      <c r="J145" s="119"/>
      <c r="L145"/>
      <c r="M145"/>
      <c r="N145"/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>
      <c r="A146" s="3">
        <v>41974</v>
      </c>
      <c r="B146" s="111"/>
      <c r="C146" s="98">
        <f>(+C134/SUM(C$123:C$134))*Trends!B$22</f>
        <v>433.72668391495097</v>
      </c>
      <c r="D146" s="98">
        <f ca="1">(+D134/SUM(D$123:D$134))*Trends!C$22</f>
        <v>0</v>
      </c>
      <c r="E146" s="103">
        <f>+'Purchased Power Model '!E146</f>
        <v>7.5499999999999998E-2</v>
      </c>
      <c r="F146" s="10">
        <f>+'Purchased Power Model '!F146</f>
        <v>31</v>
      </c>
      <c r="G146" s="10">
        <f>+'Purchased Power Model '!G146</f>
        <v>0</v>
      </c>
      <c r="H146" s="117">
        <f t="shared" ca="1" si="8"/>
        <v>104832512.02081043</v>
      </c>
      <c r="I146" s="118"/>
      <c r="J146" s="119"/>
      <c r="L146"/>
      <c r="M146"/>
      <c r="N146"/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>
      <c r="A147" s="3">
        <v>42005</v>
      </c>
      <c r="B147" s="111"/>
      <c r="C147" s="98">
        <f>(+C135/SUM(C$135:C$146))*Trends!B$22</f>
        <v>564.54188088253147</v>
      </c>
      <c r="D147" s="98">
        <f ca="1">(+D135/SUM(D$135:D$146))*Trends!C$22</f>
        <v>0</v>
      </c>
      <c r="E147" s="103">
        <f>+'Purchased Power Model '!E147</f>
        <v>7.5499999999999998E-2</v>
      </c>
      <c r="F147" s="10">
        <f>+'Purchased Power Model '!F147</f>
        <v>31</v>
      </c>
      <c r="G147" s="10">
        <f>+'Purchased Power Model '!G147</f>
        <v>0</v>
      </c>
      <c r="H147" s="117">
        <f t="shared" ca="1" si="8"/>
        <v>110085160.82052246</v>
      </c>
      <c r="I147" s="118"/>
      <c r="J147" s="119"/>
      <c r="L147"/>
      <c r="M147"/>
      <c r="N147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>
      <c r="A148" s="3">
        <v>42036</v>
      </c>
      <c r="B148" s="111"/>
      <c r="C148" s="98">
        <f>(+C136/SUM(C$135:C$146))*Trends!B$22</f>
        <v>560.96418615480661</v>
      </c>
      <c r="D148" s="98">
        <f ca="1">(+D136/SUM(D$135:D$146))*Trends!C$22</f>
        <v>0</v>
      </c>
      <c r="E148" s="103">
        <f>+'Purchased Power Model '!E148</f>
        <v>7.5499999999999998E-2</v>
      </c>
      <c r="F148" s="10">
        <f>+'Purchased Power Model '!F148</f>
        <v>28</v>
      </c>
      <c r="G148" s="10">
        <f>+'Purchased Power Model '!G148</f>
        <v>0</v>
      </c>
      <c r="H148" s="117">
        <f t="shared" ca="1" si="8"/>
        <v>101437911.46012902</v>
      </c>
      <c r="I148" s="118"/>
      <c r="J148" s="119"/>
      <c r="L148"/>
      <c r="M148"/>
      <c r="N148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>
      <c r="A149" s="3">
        <v>42064</v>
      </c>
      <c r="B149" s="111"/>
      <c r="C149" s="98">
        <f>(+C137/SUM(C$135:C$146))*Trends!B$22</f>
        <v>499.95990425898538</v>
      </c>
      <c r="D149" s="98">
        <f ca="1">(+D137/SUM(D$135:D$146))*Trends!C$22</f>
        <v>0</v>
      </c>
      <c r="E149" s="103">
        <f>+'Purchased Power Model '!E149</f>
        <v>7.5499999999999998E-2</v>
      </c>
      <c r="F149" s="10">
        <f>+'Purchased Power Model '!F149</f>
        <v>31</v>
      </c>
      <c r="G149" s="10">
        <f>+'Purchased Power Model '!G149</f>
        <v>1</v>
      </c>
      <c r="H149" s="117">
        <f t="shared" ca="1" si="8"/>
        <v>100263149.9752156</v>
      </c>
      <c r="I149" s="118"/>
      <c r="J149" s="119"/>
      <c r="L149"/>
      <c r="M149"/>
      <c r="N14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>
      <c r="A150" s="3">
        <v>42095</v>
      </c>
      <c r="B150" s="111"/>
      <c r="C150" s="98">
        <f>(+C138/SUM(C$135:C$146))*Trends!B$22</f>
        <v>336.21156864388644</v>
      </c>
      <c r="D150" s="98">
        <f ca="1">(+D138/SUM(D$135:D$146))*Trends!C$22</f>
        <v>0</v>
      </c>
      <c r="E150" s="103">
        <f>+'Purchased Power Model '!E150</f>
        <v>7.5499999999999998E-2</v>
      </c>
      <c r="F150" s="10">
        <f>+'Purchased Power Model '!F150</f>
        <v>30</v>
      </c>
      <c r="G150" s="10">
        <f>+'Purchased Power Model '!G150</f>
        <v>1</v>
      </c>
      <c r="H150" s="117">
        <f t="shared" ca="1" si="8"/>
        <v>90853599.108644739</v>
      </c>
      <c r="I150" s="118"/>
      <c r="J150" s="119"/>
      <c r="L150"/>
      <c r="M150"/>
      <c r="N150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>
      <c r="A151" s="3">
        <v>42125</v>
      </c>
      <c r="B151" s="111"/>
      <c r="C151" s="98">
        <f>(+C139/SUM(C$135:C$146))*Trends!B$22</f>
        <v>122.37550684063973</v>
      </c>
      <c r="D151" s="98">
        <f ca="1">(+D139/SUM(D$135:D$146))*Trends!C$22</f>
        <v>3.772678088367897</v>
      </c>
      <c r="E151" s="103">
        <f>+'Purchased Power Model '!E151</f>
        <v>7.5499999999999998E-2</v>
      </c>
      <c r="F151" s="10">
        <f>+'Purchased Power Model '!F151</f>
        <v>31</v>
      </c>
      <c r="G151" s="10">
        <f>+'Purchased Power Model '!G151</f>
        <v>1</v>
      </c>
      <c r="H151" s="117">
        <f t="shared" ca="1" si="8"/>
        <v>85631760.584812269</v>
      </c>
      <c r="I151" s="118"/>
      <c r="J151" s="119"/>
      <c r="L151"/>
      <c r="M151"/>
      <c r="N151"/>
      <c r="T151" s="111"/>
      <c r="U151" s="111"/>
      <c r="V151" s="111"/>
      <c r="W151" s="111"/>
      <c r="X151" s="111"/>
      <c r="Y151" s="111"/>
      <c r="Z151" s="111"/>
      <c r="AA151" s="111"/>
      <c r="AB151" s="111"/>
    </row>
    <row r="152" spans="1:28">
      <c r="A152" s="3">
        <v>42156</v>
      </c>
      <c r="B152" s="111"/>
      <c r="C152" s="98">
        <f>(+C140/SUM(C$135:C$146))*Trends!B$22</f>
        <v>39.35464200497335</v>
      </c>
      <c r="D152" s="98">
        <f ca="1">(+D140/SUM(D$135:D$146))*Trends!C$22</f>
        <v>40.493411481815428</v>
      </c>
      <c r="E152" s="103">
        <f>+'Purchased Power Model '!E152</f>
        <v>7.5499999999999998E-2</v>
      </c>
      <c r="F152" s="10">
        <f>+'Purchased Power Model '!F152</f>
        <v>30</v>
      </c>
      <c r="G152" s="10">
        <f>+'Purchased Power Model '!G152</f>
        <v>0</v>
      </c>
      <c r="H152" s="117">
        <f t="shared" ca="1" si="8"/>
        <v>91849550.4565157</v>
      </c>
      <c r="I152" s="118"/>
      <c r="J152" s="119"/>
      <c r="L152"/>
      <c r="M152"/>
      <c r="N152"/>
      <c r="T152" s="111"/>
      <c r="U152" s="111"/>
      <c r="V152" s="111"/>
      <c r="W152" s="111"/>
      <c r="X152" s="111"/>
      <c r="Y152" s="111"/>
      <c r="Z152" s="111"/>
      <c r="AA152" s="111"/>
      <c r="AB152" s="111"/>
    </row>
    <row r="153" spans="1:28">
      <c r="A153" s="3">
        <v>42186</v>
      </c>
      <c r="B153" s="111"/>
      <c r="C153" s="98">
        <f>(+C141/SUM(C$135:C$146))*Trends!B$22</f>
        <v>4.0363735389716258</v>
      </c>
      <c r="D153" s="98">
        <f ca="1">(+D141/SUM(D$135:D$146))*Trends!C$22</f>
        <v>138.33152990682285</v>
      </c>
      <c r="E153" s="103">
        <f>+'Purchased Power Model '!E153</f>
        <v>7.5499999999999998E-2</v>
      </c>
      <c r="F153" s="10">
        <f>+'Purchased Power Model '!F153</f>
        <v>31</v>
      </c>
      <c r="G153" s="10">
        <f>+'Purchased Power Model '!G153</f>
        <v>0</v>
      </c>
      <c r="H153" s="117">
        <f t="shared" ca="1" si="8"/>
        <v>107006263.73782702</v>
      </c>
      <c r="I153" s="118"/>
      <c r="J153" s="119"/>
      <c r="L153"/>
      <c r="M153"/>
      <c r="N153"/>
      <c r="T153" s="111"/>
      <c r="U153" s="111"/>
      <c r="V153" s="111"/>
      <c r="W153" s="111"/>
      <c r="X153" s="111"/>
      <c r="Y153" s="111"/>
      <c r="Z153" s="111"/>
      <c r="AA153" s="111"/>
      <c r="AB153" s="111"/>
    </row>
    <row r="154" spans="1:28">
      <c r="A154" s="3">
        <v>42217</v>
      </c>
      <c r="B154" s="111"/>
      <c r="C154" s="98">
        <f>(+C142/SUM(C$135:C$146))*Trends!B$22</f>
        <v>10.090933847429062</v>
      </c>
      <c r="D154" s="98">
        <f ca="1">(+D142/SUM(D$135:D$146))*Trends!C$22</f>
        <v>72.812687105500387</v>
      </c>
      <c r="E154" s="103">
        <f>+'Purchased Power Model '!E154</f>
        <v>7.5499999999999998E-2</v>
      </c>
      <c r="F154" s="10">
        <f>+'Purchased Power Model '!F154</f>
        <v>31</v>
      </c>
      <c r="G154" s="10">
        <f>+'Purchased Power Model '!G154</f>
        <v>0</v>
      </c>
      <c r="H154" s="117">
        <f t="shared" ca="1" si="8"/>
        <v>98047948.759023011</v>
      </c>
      <c r="I154" s="118"/>
      <c r="J154" s="119"/>
      <c r="L154"/>
      <c r="M154"/>
      <c r="N154"/>
      <c r="T154" s="111"/>
      <c r="U154" s="111"/>
      <c r="V154" s="111"/>
      <c r="W154" s="111"/>
      <c r="X154" s="111"/>
      <c r="Y154" s="111"/>
      <c r="Z154" s="111"/>
      <c r="AA154" s="111"/>
      <c r="AB154" s="111"/>
    </row>
    <row r="155" spans="1:28">
      <c r="A155" s="3">
        <v>42248</v>
      </c>
      <c r="B155" s="111"/>
      <c r="C155" s="98">
        <f>(+C143/SUM(C$135:C$146))*Trends!B$22</f>
        <v>88.616746332877042</v>
      </c>
      <c r="D155" s="98">
        <f ca="1">(+D143/SUM(D$135:D$146))*Trends!C$22</f>
        <v>19.743681995791995</v>
      </c>
      <c r="E155" s="103">
        <f>+'Purchased Power Model '!E155</f>
        <v>7.5499999999999998E-2</v>
      </c>
      <c r="F155" s="10">
        <f>+'Purchased Power Model '!F155</f>
        <v>30</v>
      </c>
      <c r="G155" s="10">
        <f>+'Purchased Power Model '!G155</f>
        <v>1</v>
      </c>
      <c r="H155" s="117">
        <f t="shared" ca="1" si="8"/>
        <v>83684664.871724352</v>
      </c>
      <c r="I155" s="118"/>
      <c r="J155" s="119"/>
      <c r="L155"/>
      <c r="M155"/>
      <c r="N155"/>
      <c r="T155" s="111"/>
      <c r="U155" s="111"/>
      <c r="V155" s="111"/>
      <c r="W155" s="111"/>
      <c r="X155" s="111"/>
      <c r="Y155" s="111"/>
      <c r="Z155" s="111"/>
      <c r="AA155" s="111"/>
      <c r="AB155" s="111"/>
    </row>
    <row r="156" spans="1:28">
      <c r="A156" s="3">
        <v>42278</v>
      </c>
      <c r="B156" s="111"/>
      <c r="C156" s="98">
        <f>(+C144/SUM(C$135:C$146))*Trends!B$22</f>
        <v>202.73603457107481</v>
      </c>
      <c r="D156" s="98">
        <f ca="1">(+D144/SUM(D$135:D$146))*Trends!C$22</f>
        <v>3.772678088367897</v>
      </c>
      <c r="E156" s="103">
        <f>+'Purchased Power Model '!E156</f>
        <v>7.5499999999999998E-2</v>
      </c>
      <c r="F156" s="10">
        <f>+'Purchased Power Model '!F156</f>
        <v>31</v>
      </c>
      <c r="G156" s="10">
        <f>+'Purchased Power Model '!G156</f>
        <v>1</v>
      </c>
      <c r="H156" s="117">
        <f t="shared" ca="1" si="8"/>
        <v>88858492.947047696</v>
      </c>
      <c r="I156" s="118"/>
      <c r="J156" s="119"/>
      <c r="L156"/>
      <c r="M156"/>
      <c r="N156"/>
      <c r="T156" s="111"/>
      <c r="U156" s="111"/>
      <c r="V156" s="111"/>
      <c r="W156" s="111"/>
      <c r="X156" s="111"/>
      <c r="Y156" s="111"/>
      <c r="Z156" s="111"/>
      <c r="AA156" s="111"/>
      <c r="AB156" s="111"/>
    </row>
    <row r="157" spans="1:28">
      <c r="A157" s="3">
        <v>42309</v>
      </c>
      <c r="B157" s="111"/>
      <c r="C157" s="98">
        <f>(+C145/SUM(C$135:C$146))*Trends!B$22</f>
        <v>420.70020567554263</v>
      </c>
      <c r="D157" s="98">
        <f ca="1">(+D145/SUM(D$135:D$146))*Trends!C$22</f>
        <v>0</v>
      </c>
      <c r="E157" s="103">
        <f>+'Purchased Power Model '!E157</f>
        <v>7.5499999999999998E-2</v>
      </c>
      <c r="F157" s="10">
        <f>+'Purchased Power Model '!F157</f>
        <v>30</v>
      </c>
      <c r="G157" s="10">
        <f>+'Purchased Power Model '!G157</f>
        <v>1</v>
      </c>
      <c r="H157" s="117">
        <f t="shared" ca="1" si="8"/>
        <v>94246088.270310074</v>
      </c>
      <c r="I157" s="118"/>
      <c r="J157" s="119"/>
      <c r="L157"/>
      <c r="M157"/>
      <c r="N157"/>
      <c r="T157" s="111"/>
      <c r="U157" s="111"/>
      <c r="V157" s="111"/>
      <c r="W157" s="111"/>
      <c r="X157" s="111"/>
      <c r="Y157" s="111"/>
      <c r="Z157" s="111"/>
      <c r="AA157" s="111"/>
      <c r="AB157" s="111"/>
    </row>
    <row r="158" spans="1:28">
      <c r="A158" s="3">
        <v>42339</v>
      </c>
      <c r="B158" s="111"/>
      <c r="C158" s="98">
        <f>(+C146/SUM(C$135:C$146))*Trends!B$22</f>
        <v>433.72668391495097</v>
      </c>
      <c r="D158" s="98">
        <f ca="1">(+D146/SUM(D$135:D$146))*Trends!C$22</f>
        <v>0</v>
      </c>
      <c r="E158" s="103">
        <f>+'Purchased Power Model '!E158</f>
        <v>7.5499999999999998E-2</v>
      </c>
      <c r="F158" s="10">
        <f>+'Purchased Power Model '!F158</f>
        <v>31</v>
      </c>
      <c r="G158" s="10">
        <f>+'Purchased Power Model '!G158</f>
        <v>0</v>
      </c>
      <c r="H158" s="117">
        <f t="shared" ca="1" si="8"/>
        <v>104832512.02081043</v>
      </c>
      <c r="I158" s="118"/>
      <c r="J158" s="119"/>
      <c r="L158"/>
      <c r="M158"/>
      <c r="N158"/>
      <c r="T158" s="111"/>
      <c r="U158" s="111"/>
      <c r="V158" s="111"/>
      <c r="W158" s="111"/>
      <c r="X158" s="111"/>
      <c r="Y158" s="111"/>
      <c r="Z158" s="111"/>
      <c r="AA158" s="111"/>
      <c r="AB158" s="111"/>
    </row>
    <row r="159" spans="1:28">
      <c r="A159" s="3">
        <v>42370</v>
      </c>
      <c r="B159" s="111"/>
      <c r="C159" s="98">
        <f>(+C147/SUM(C$147:C$158))*Trends!B$22</f>
        <v>564.54188088253147</v>
      </c>
      <c r="D159" s="98">
        <f ca="1">(+D147/SUM(D$147:D$158))*Trends!C$22</f>
        <v>0</v>
      </c>
      <c r="E159" s="103">
        <f>+'Purchased Power Model '!E159</f>
        <v>7.5499999999999998E-2</v>
      </c>
      <c r="F159" s="10">
        <f>+'Purchased Power Model '!F159</f>
        <v>31</v>
      </c>
      <c r="G159" s="10">
        <f>+'Purchased Power Model '!G159</f>
        <v>0</v>
      </c>
      <c r="H159" s="117">
        <f t="shared" ca="1" si="8"/>
        <v>110085160.82052246</v>
      </c>
      <c r="I159" s="118"/>
      <c r="J159" s="119"/>
      <c r="L159"/>
      <c r="M159"/>
      <c r="N159"/>
      <c r="T159" s="111"/>
      <c r="U159" s="111"/>
      <c r="V159" s="111"/>
      <c r="W159" s="111"/>
      <c r="X159" s="111"/>
      <c r="Y159" s="111"/>
      <c r="Z159" s="111"/>
      <c r="AA159" s="111"/>
      <c r="AB159" s="111"/>
    </row>
    <row r="160" spans="1:28">
      <c r="A160" s="3">
        <v>42401</v>
      </c>
      <c r="B160" s="111"/>
      <c r="C160" s="98">
        <f>(+C148/SUM(C$147:C$158))*Trends!B$22</f>
        <v>560.96418615480661</v>
      </c>
      <c r="D160" s="98">
        <f ca="1">(+D148/SUM(D$147:D$158))*Trends!C$22</f>
        <v>0</v>
      </c>
      <c r="E160" s="103">
        <f>+'Purchased Power Model '!E160</f>
        <v>7.5499999999999998E-2</v>
      </c>
      <c r="F160" s="10">
        <f>+'Purchased Power Model '!F160</f>
        <v>29</v>
      </c>
      <c r="G160" s="10">
        <f>+'Purchased Power Model '!G160</f>
        <v>0</v>
      </c>
      <c r="H160" s="117">
        <f t="shared" ca="1" si="8"/>
        <v>104272442.61598042</v>
      </c>
      <c r="I160" s="118"/>
      <c r="J160" s="119"/>
      <c r="L160"/>
      <c r="M160"/>
      <c r="N160"/>
      <c r="T160" s="111"/>
      <c r="U160" s="111"/>
      <c r="V160" s="111"/>
      <c r="W160" s="111"/>
      <c r="X160" s="111"/>
      <c r="Y160" s="111"/>
      <c r="Z160" s="111"/>
      <c r="AA160" s="111"/>
      <c r="AB160" s="111"/>
    </row>
    <row r="161" spans="1:28">
      <c r="A161" s="3">
        <v>42430</v>
      </c>
      <c r="B161" s="111"/>
      <c r="C161" s="98">
        <f>(+C149/SUM(C$147:C$158))*Trends!B$22</f>
        <v>499.95990425898538</v>
      </c>
      <c r="D161" s="98">
        <f ca="1">(+D149/SUM(D$147:D$158))*Trends!C$22</f>
        <v>0</v>
      </c>
      <c r="E161" s="103">
        <f>+'Purchased Power Model '!E161</f>
        <v>7.5499999999999998E-2</v>
      </c>
      <c r="F161" s="10">
        <f>+'Purchased Power Model '!F161</f>
        <v>31</v>
      </c>
      <c r="G161" s="10">
        <f>+'Purchased Power Model '!G161</f>
        <v>1</v>
      </c>
      <c r="H161" s="117">
        <f t="shared" ca="1" si="8"/>
        <v>100263149.9752156</v>
      </c>
      <c r="I161" s="118"/>
      <c r="J161" s="119"/>
      <c r="L161"/>
      <c r="M161"/>
      <c r="N161"/>
      <c r="T161" s="111"/>
      <c r="U161" s="111"/>
      <c r="V161" s="111"/>
      <c r="W161" s="111"/>
      <c r="X161" s="111"/>
      <c r="Y161" s="111"/>
      <c r="Z161" s="111"/>
      <c r="AA161" s="111"/>
      <c r="AB161" s="111"/>
    </row>
    <row r="162" spans="1:28">
      <c r="A162" s="3">
        <v>42461</v>
      </c>
      <c r="B162" s="111"/>
      <c r="C162" s="98">
        <f>(+C150/SUM(C$147:C$158))*Trends!B$22</f>
        <v>336.21156864388644</v>
      </c>
      <c r="D162" s="98">
        <f ca="1">(+D150/SUM(D$147:D$158))*Trends!C$22</f>
        <v>0</v>
      </c>
      <c r="E162" s="103">
        <f>+'Purchased Power Model '!E162</f>
        <v>7.5499999999999998E-2</v>
      </c>
      <c r="F162" s="10">
        <f>+'Purchased Power Model '!F162</f>
        <v>30</v>
      </c>
      <c r="G162" s="10">
        <f>+'Purchased Power Model '!G162</f>
        <v>1</v>
      </c>
      <c r="H162" s="117">
        <f t="shared" ca="1" si="8"/>
        <v>90853599.108644739</v>
      </c>
      <c r="I162" s="118"/>
      <c r="J162" s="119"/>
      <c r="L162"/>
      <c r="M162"/>
      <c r="N162"/>
      <c r="T162" s="111"/>
      <c r="U162" s="111"/>
      <c r="V162" s="111"/>
      <c r="W162" s="111"/>
      <c r="X162" s="111"/>
      <c r="Y162" s="111"/>
      <c r="Z162" s="111"/>
      <c r="AA162" s="111"/>
      <c r="AB162" s="111"/>
    </row>
    <row r="163" spans="1:28">
      <c r="A163" s="3">
        <v>42491</v>
      </c>
      <c r="B163" s="111"/>
      <c r="C163" s="98">
        <f>(+C151/SUM(C$147:C$158))*Trends!B$22</f>
        <v>122.37550684063973</v>
      </c>
      <c r="D163" s="98">
        <f ca="1">(+D151/SUM(D$147:D$158))*Trends!C$22</f>
        <v>3.772678088367897</v>
      </c>
      <c r="E163" s="103">
        <f>+'Purchased Power Model '!E163</f>
        <v>7.5499999999999998E-2</v>
      </c>
      <c r="F163" s="10">
        <f>+'Purchased Power Model '!F163</f>
        <v>31</v>
      </c>
      <c r="G163" s="10">
        <f>+'Purchased Power Model '!G163</f>
        <v>1</v>
      </c>
      <c r="H163" s="117">
        <f t="shared" ca="1" si="8"/>
        <v>85631760.584812269</v>
      </c>
      <c r="I163" s="118"/>
      <c r="J163" s="119"/>
      <c r="L163"/>
      <c r="M163"/>
      <c r="N163"/>
      <c r="T163" s="111"/>
      <c r="U163" s="111"/>
      <c r="V163" s="111"/>
      <c r="W163" s="111"/>
      <c r="X163" s="111"/>
      <c r="Y163" s="111"/>
      <c r="Z163" s="111"/>
      <c r="AA163" s="111"/>
      <c r="AB163" s="111"/>
    </row>
    <row r="164" spans="1:28">
      <c r="A164" s="3">
        <v>42522</v>
      </c>
      <c r="B164" s="111"/>
      <c r="C164" s="98">
        <f>(+C152/SUM(C$147:C$158))*Trends!B$22</f>
        <v>39.35464200497335</v>
      </c>
      <c r="D164" s="98">
        <f ca="1">(+D152/SUM(D$147:D$158))*Trends!C$22</f>
        <v>40.493411481815428</v>
      </c>
      <c r="E164" s="103">
        <f>+'Purchased Power Model '!E164</f>
        <v>7.5499999999999998E-2</v>
      </c>
      <c r="F164" s="10">
        <f>+'Purchased Power Model '!F164</f>
        <v>30</v>
      </c>
      <c r="G164" s="10">
        <f>+'Purchased Power Model '!G164</f>
        <v>0</v>
      </c>
      <c r="H164" s="117">
        <f t="shared" ca="1" si="8"/>
        <v>91849550.4565157</v>
      </c>
      <c r="I164" s="118"/>
      <c r="J164" s="119"/>
      <c r="L164"/>
      <c r="M164"/>
      <c r="N164"/>
      <c r="T164" s="111"/>
      <c r="U164" s="111"/>
      <c r="V164" s="111"/>
      <c r="W164" s="111"/>
      <c r="X164" s="111"/>
      <c r="Y164" s="111"/>
      <c r="Z164" s="111"/>
      <c r="AA164" s="111"/>
      <c r="AB164" s="111"/>
    </row>
    <row r="165" spans="1:28">
      <c r="A165" s="3">
        <v>42552</v>
      </c>
      <c r="B165" s="111"/>
      <c r="C165" s="98">
        <f>(+C153/SUM(C$147:C$158))*Trends!B$22</f>
        <v>4.0363735389716258</v>
      </c>
      <c r="D165" s="98">
        <f ca="1">(+D153/SUM(D$147:D$158))*Trends!C$22</f>
        <v>138.33152990682285</v>
      </c>
      <c r="E165" s="103">
        <f>+'Purchased Power Model '!E165</f>
        <v>7.5499999999999998E-2</v>
      </c>
      <c r="F165" s="10">
        <f>+'Purchased Power Model '!F165</f>
        <v>31</v>
      </c>
      <c r="G165" s="10">
        <f>+'Purchased Power Model '!G165</f>
        <v>0</v>
      </c>
      <c r="H165" s="117">
        <f t="shared" ca="1" si="8"/>
        <v>107006263.73782702</v>
      </c>
      <c r="I165" s="118"/>
      <c r="J165" s="119"/>
      <c r="L165"/>
      <c r="M165"/>
      <c r="N165"/>
      <c r="T165" s="111"/>
      <c r="U165" s="111"/>
      <c r="V165" s="111"/>
      <c r="W165" s="111"/>
      <c r="X165" s="111"/>
      <c r="Y165" s="111"/>
      <c r="Z165" s="111"/>
      <c r="AA165" s="111"/>
      <c r="AB165" s="111"/>
    </row>
    <row r="166" spans="1:28">
      <c r="A166" s="3">
        <v>42583</v>
      </c>
      <c r="B166" s="111"/>
      <c r="C166" s="98">
        <f>(+C154/SUM(C$147:C$158))*Trends!B$22</f>
        <v>10.090933847429062</v>
      </c>
      <c r="D166" s="98">
        <f ca="1">(+D154/SUM(D$147:D$158))*Trends!C$22</f>
        <v>72.812687105500387</v>
      </c>
      <c r="E166" s="103">
        <f>+'Purchased Power Model '!E166</f>
        <v>7.5499999999999998E-2</v>
      </c>
      <c r="F166" s="10">
        <f>+'Purchased Power Model '!F166</f>
        <v>31</v>
      </c>
      <c r="G166" s="10">
        <f>+'Purchased Power Model '!G166</f>
        <v>0</v>
      </c>
      <c r="H166" s="117">
        <f t="shared" ca="1" si="8"/>
        <v>98047948.759023011</v>
      </c>
      <c r="I166" s="118"/>
      <c r="J166" s="119"/>
      <c r="L166"/>
      <c r="M166"/>
      <c r="N166"/>
      <c r="T166" s="111"/>
      <c r="U166" s="111"/>
      <c r="V166" s="111"/>
      <c r="W166" s="111"/>
      <c r="X166" s="111"/>
      <c r="Y166" s="111"/>
      <c r="Z166" s="111"/>
      <c r="AA166" s="111"/>
      <c r="AB166" s="111"/>
    </row>
    <row r="167" spans="1:28">
      <c r="A167" s="3">
        <v>42614</v>
      </c>
      <c r="B167" s="111"/>
      <c r="C167" s="98">
        <f>(+C155/SUM(C$147:C$158))*Trends!B$22</f>
        <v>88.616746332877042</v>
      </c>
      <c r="D167" s="98">
        <f ca="1">(+D155/SUM(D$147:D$158))*Trends!C$22</f>
        <v>19.743681995791995</v>
      </c>
      <c r="E167" s="103">
        <f>+'Purchased Power Model '!E167</f>
        <v>7.5499999999999998E-2</v>
      </c>
      <c r="F167" s="10">
        <f>+'Purchased Power Model '!F167</f>
        <v>30</v>
      </c>
      <c r="G167" s="10">
        <f>+'Purchased Power Model '!G167</f>
        <v>1</v>
      </c>
      <c r="H167" s="117">
        <f t="shared" ca="1" si="8"/>
        <v>83684664.871724352</v>
      </c>
      <c r="I167" s="118"/>
      <c r="J167" s="119"/>
      <c r="L167"/>
      <c r="M167"/>
      <c r="N167"/>
      <c r="T167" s="111"/>
      <c r="U167" s="111"/>
      <c r="V167" s="111"/>
      <c r="W167" s="111"/>
      <c r="X167" s="111"/>
      <c r="Y167" s="111"/>
      <c r="Z167" s="111"/>
      <c r="AA167" s="111"/>
      <c r="AB167" s="111"/>
    </row>
    <row r="168" spans="1:28">
      <c r="A168" s="3">
        <v>42644</v>
      </c>
      <c r="B168" s="111"/>
      <c r="C168" s="98">
        <f>(+C156/SUM(C$147:C$158))*Trends!B$22</f>
        <v>202.73603457107481</v>
      </c>
      <c r="D168" s="98">
        <f ca="1">(+D156/SUM(D$147:D$158))*Trends!C$22</f>
        <v>3.772678088367897</v>
      </c>
      <c r="E168" s="103">
        <f>+'Purchased Power Model '!E168</f>
        <v>7.5499999999999998E-2</v>
      </c>
      <c r="F168" s="10">
        <f>+'Purchased Power Model '!F168</f>
        <v>31</v>
      </c>
      <c r="G168" s="10">
        <f>+'Purchased Power Model '!G168</f>
        <v>1</v>
      </c>
      <c r="H168" s="117">
        <f t="shared" ca="1" si="8"/>
        <v>88858492.947047696</v>
      </c>
      <c r="I168" s="118"/>
      <c r="J168" s="119"/>
      <c r="L168"/>
      <c r="M168"/>
      <c r="N168"/>
      <c r="T168" s="111"/>
      <c r="U168" s="111"/>
      <c r="V168" s="111"/>
      <c r="W168" s="111"/>
      <c r="X168" s="111"/>
      <c r="Y168" s="111"/>
      <c r="Z168" s="111"/>
      <c r="AA168" s="111"/>
      <c r="AB168" s="111"/>
    </row>
    <row r="169" spans="1:28">
      <c r="A169" s="3">
        <v>42675</v>
      </c>
      <c r="B169" s="111"/>
      <c r="C169" s="98">
        <f>(+C157/SUM(C$147:C$158))*Trends!B$22</f>
        <v>420.70020567554263</v>
      </c>
      <c r="D169" s="98">
        <f ca="1">(+D157/SUM(D$147:D$158))*Trends!C$22</f>
        <v>0</v>
      </c>
      <c r="E169" s="103">
        <f>+'Purchased Power Model '!E169</f>
        <v>7.5499999999999998E-2</v>
      </c>
      <c r="F169" s="10">
        <f>+'Purchased Power Model '!F169</f>
        <v>30</v>
      </c>
      <c r="G169" s="10">
        <f>+'Purchased Power Model '!G169</f>
        <v>1</v>
      </c>
      <c r="H169" s="117">
        <f t="shared" ca="1" si="8"/>
        <v>94246088.270310074</v>
      </c>
      <c r="I169" s="118"/>
      <c r="J169" s="119"/>
      <c r="L169"/>
      <c r="M169"/>
      <c r="N169"/>
      <c r="T169" s="111"/>
      <c r="U169" s="111"/>
      <c r="V169" s="111"/>
      <c r="W169" s="111"/>
      <c r="X169" s="111"/>
      <c r="Y169" s="111"/>
      <c r="Z169" s="111"/>
      <c r="AA169" s="111"/>
      <c r="AB169" s="111"/>
    </row>
    <row r="170" spans="1:28">
      <c r="A170" s="3">
        <v>42705</v>
      </c>
      <c r="B170" s="111"/>
      <c r="C170" s="98">
        <f>(+C158/SUM(C$147:C$158))*Trends!B$22</f>
        <v>433.72668391495097</v>
      </c>
      <c r="D170" s="98">
        <f ca="1">(+D158/SUM(D$147:D$158))*Trends!C$22</f>
        <v>0</v>
      </c>
      <c r="E170" s="103">
        <f>+'Purchased Power Model '!E170</f>
        <v>7.5499999999999998E-2</v>
      </c>
      <c r="F170" s="10">
        <f>+'Purchased Power Model '!F170</f>
        <v>31</v>
      </c>
      <c r="G170" s="10">
        <f>+'Purchased Power Model '!G170</f>
        <v>0</v>
      </c>
      <c r="H170" s="117">
        <f t="shared" ca="1" si="8"/>
        <v>104832512.02081043</v>
      </c>
      <c r="I170" s="118"/>
      <c r="J170" s="119"/>
      <c r="L170"/>
      <c r="M170"/>
      <c r="N170"/>
      <c r="T170" s="111"/>
      <c r="U170" s="111"/>
      <c r="V170" s="111"/>
      <c r="W170" s="111"/>
      <c r="X170" s="111"/>
      <c r="Y170" s="111"/>
      <c r="Z170" s="111"/>
      <c r="AA170" s="111"/>
      <c r="AB170" s="111"/>
    </row>
    <row r="171" spans="1:28">
      <c r="A171" s="3">
        <v>42736</v>
      </c>
      <c r="B171" s="111"/>
      <c r="C171" s="98">
        <f>(+C159/SUM(C$159:C$170))*Trends!B$22</f>
        <v>564.54188088253147</v>
      </c>
      <c r="D171" s="98">
        <f ca="1">(+D159/SUM(D$159:D$170))*Trends!C$22</f>
        <v>0</v>
      </c>
      <c r="E171" s="103">
        <f>+'Purchased Power Model '!E171</f>
        <v>7.5499999999999998E-2</v>
      </c>
      <c r="F171" s="10">
        <f>+'Purchased Power Model '!F171</f>
        <v>31</v>
      </c>
      <c r="G171" s="10">
        <f>+'Purchased Power Model '!G171</f>
        <v>0</v>
      </c>
      <c r="H171" s="117">
        <f t="shared" ca="1" si="8"/>
        <v>110085160.82052246</v>
      </c>
      <c r="I171" s="118"/>
      <c r="J171" s="119"/>
      <c r="L171"/>
      <c r="M171"/>
      <c r="N171"/>
      <c r="T171" s="111"/>
      <c r="U171" s="111"/>
      <c r="V171" s="111"/>
      <c r="W171" s="111"/>
      <c r="X171" s="111"/>
      <c r="Y171" s="111"/>
      <c r="Z171" s="111"/>
      <c r="AA171" s="111"/>
      <c r="AB171" s="111"/>
    </row>
    <row r="172" spans="1:28">
      <c r="A172" s="3">
        <v>42767</v>
      </c>
      <c r="B172" s="111"/>
      <c r="C172" s="98">
        <f>(+C160/SUM(C$159:C$170))*Trends!B$22</f>
        <v>560.96418615480661</v>
      </c>
      <c r="D172" s="98">
        <f ca="1">(+D160/SUM(D$159:D$170))*Trends!C$22</f>
        <v>0</v>
      </c>
      <c r="E172" s="103">
        <f>+'Purchased Power Model '!E172</f>
        <v>7.5499999999999998E-2</v>
      </c>
      <c r="F172" s="10">
        <f>+'Purchased Power Model '!F172</f>
        <v>28</v>
      </c>
      <c r="G172" s="10">
        <f>+'Purchased Power Model '!G172</f>
        <v>0</v>
      </c>
      <c r="H172" s="117">
        <f t="shared" ca="1" si="8"/>
        <v>101437911.46012902</v>
      </c>
      <c r="I172" s="118"/>
      <c r="J172" s="119"/>
      <c r="L172"/>
      <c r="M172"/>
      <c r="N172"/>
      <c r="T172" s="111"/>
      <c r="U172" s="111"/>
      <c r="V172" s="111"/>
      <c r="W172" s="111"/>
      <c r="X172" s="111"/>
      <c r="Y172" s="111"/>
      <c r="Z172" s="111"/>
      <c r="AA172" s="111"/>
      <c r="AB172" s="111"/>
    </row>
    <row r="173" spans="1:28">
      <c r="A173" s="3">
        <v>42795</v>
      </c>
      <c r="B173" s="111"/>
      <c r="C173" s="98">
        <f>(+C161/SUM(C$159:C$170))*Trends!B$22</f>
        <v>499.95990425898538</v>
      </c>
      <c r="D173" s="98">
        <f ca="1">(+D161/SUM(D$159:D$170))*Trends!C$22</f>
        <v>0</v>
      </c>
      <c r="E173" s="103">
        <f>+'Purchased Power Model '!E173</f>
        <v>7.5499999999999998E-2</v>
      </c>
      <c r="F173" s="10">
        <f>+'Purchased Power Model '!F173</f>
        <v>31</v>
      </c>
      <c r="G173" s="10">
        <f>+'Purchased Power Model '!G173</f>
        <v>1</v>
      </c>
      <c r="H173" s="117">
        <f t="shared" ca="1" si="8"/>
        <v>100263149.9752156</v>
      </c>
      <c r="I173" s="118"/>
      <c r="J173" s="119"/>
      <c r="L173"/>
      <c r="M173"/>
      <c r="N173"/>
      <c r="T173" s="111"/>
      <c r="U173" s="111"/>
      <c r="V173" s="111"/>
      <c r="W173" s="111"/>
      <c r="X173" s="111"/>
      <c r="Y173" s="111"/>
      <c r="Z173" s="111"/>
      <c r="AA173" s="111"/>
      <c r="AB173" s="111"/>
    </row>
    <row r="174" spans="1:28">
      <c r="A174" s="3">
        <v>42826</v>
      </c>
      <c r="B174" s="111"/>
      <c r="C174" s="98">
        <f>(+C162/SUM(C$159:C$170))*Trends!B$22</f>
        <v>336.21156864388644</v>
      </c>
      <c r="D174" s="98">
        <f ca="1">(+D162/SUM(D$159:D$170))*Trends!C$22</f>
        <v>0</v>
      </c>
      <c r="E174" s="103">
        <f>+'Purchased Power Model '!E174</f>
        <v>7.5499999999999998E-2</v>
      </c>
      <c r="F174" s="10">
        <f>+'Purchased Power Model '!F174</f>
        <v>30</v>
      </c>
      <c r="G174" s="10">
        <f>+'Purchased Power Model '!G174</f>
        <v>1</v>
      </c>
      <c r="H174" s="117">
        <f t="shared" ca="1" si="8"/>
        <v>90853599.108644739</v>
      </c>
      <c r="I174" s="118"/>
      <c r="J174" s="119"/>
      <c r="L174"/>
      <c r="M174"/>
      <c r="N174"/>
      <c r="T174" s="111"/>
      <c r="U174" s="111"/>
      <c r="V174" s="111"/>
      <c r="W174" s="111"/>
      <c r="X174" s="111"/>
      <c r="Y174" s="111"/>
      <c r="Z174" s="111"/>
      <c r="AA174" s="111"/>
      <c r="AB174" s="111"/>
    </row>
    <row r="175" spans="1:28">
      <c r="A175" s="3">
        <v>42856</v>
      </c>
      <c r="B175" s="111"/>
      <c r="C175" s="98">
        <f>(+C163/SUM(C$159:C$170))*Trends!B$22</f>
        <v>122.37550684063973</v>
      </c>
      <c r="D175" s="98">
        <f ca="1">(+D163/SUM(D$159:D$170))*Trends!C$22</f>
        <v>3.772678088367897</v>
      </c>
      <c r="E175" s="103">
        <f>+'Purchased Power Model '!E175</f>
        <v>7.5499999999999998E-2</v>
      </c>
      <c r="F175" s="10">
        <f>+'Purchased Power Model '!F175</f>
        <v>31</v>
      </c>
      <c r="G175" s="10">
        <f>+'Purchased Power Model '!G175</f>
        <v>1</v>
      </c>
      <c r="H175" s="117">
        <f t="shared" ca="1" si="8"/>
        <v>85631760.584812269</v>
      </c>
      <c r="I175" s="118"/>
      <c r="J175" s="119"/>
      <c r="L175"/>
      <c r="M175"/>
      <c r="N175"/>
      <c r="T175" s="111"/>
      <c r="U175" s="111"/>
      <c r="V175" s="111"/>
      <c r="W175" s="111"/>
      <c r="X175" s="111"/>
      <c r="Y175" s="111"/>
      <c r="Z175" s="111"/>
      <c r="AA175" s="111"/>
      <c r="AB175" s="111"/>
    </row>
    <row r="176" spans="1:28">
      <c r="A176" s="3">
        <v>42887</v>
      </c>
      <c r="B176" s="111"/>
      <c r="C176" s="98">
        <f>(+C164/SUM(C$159:C$170))*Trends!B$22</f>
        <v>39.35464200497335</v>
      </c>
      <c r="D176" s="98">
        <f ca="1">(+D164/SUM(D$159:D$170))*Trends!C$22</f>
        <v>40.493411481815428</v>
      </c>
      <c r="E176" s="103">
        <f>+'Purchased Power Model '!E176</f>
        <v>7.5499999999999998E-2</v>
      </c>
      <c r="F176" s="10">
        <f>+'Purchased Power Model '!F176</f>
        <v>30</v>
      </c>
      <c r="G176" s="10">
        <f>+'Purchased Power Model '!G176</f>
        <v>0</v>
      </c>
      <c r="H176" s="117">
        <f t="shared" ca="1" si="8"/>
        <v>91849550.4565157</v>
      </c>
      <c r="I176" s="118"/>
      <c r="J176" s="119"/>
      <c r="L176"/>
      <c r="M176"/>
      <c r="N176"/>
      <c r="T176" s="111"/>
      <c r="U176" s="111"/>
      <c r="V176" s="111"/>
      <c r="W176" s="111"/>
      <c r="X176" s="111"/>
      <c r="Y176" s="111"/>
      <c r="Z176" s="111"/>
      <c r="AA176" s="111"/>
      <c r="AB176" s="111"/>
    </row>
    <row r="177" spans="1:28">
      <c r="A177" s="3">
        <v>42917</v>
      </c>
      <c r="B177" s="111"/>
      <c r="C177" s="98">
        <f>(+C165/SUM(C$159:C$170))*Trends!B$22</f>
        <v>4.0363735389716258</v>
      </c>
      <c r="D177" s="98">
        <f ca="1">(+D165/SUM(D$159:D$170))*Trends!C$22</f>
        <v>138.33152990682285</v>
      </c>
      <c r="E177" s="103">
        <f>+'Purchased Power Model '!E177</f>
        <v>7.5499999999999998E-2</v>
      </c>
      <c r="F177" s="10">
        <f>+'Purchased Power Model '!F177</f>
        <v>31</v>
      </c>
      <c r="G177" s="10">
        <f>+'Purchased Power Model '!G177</f>
        <v>0</v>
      </c>
      <c r="H177" s="117">
        <f t="shared" ca="1" si="8"/>
        <v>107006263.73782702</v>
      </c>
      <c r="I177" s="118"/>
      <c r="J177" s="119"/>
      <c r="L177"/>
      <c r="M177"/>
      <c r="N177"/>
      <c r="T177" s="111"/>
      <c r="U177" s="111"/>
      <c r="V177" s="111"/>
      <c r="W177" s="111"/>
      <c r="X177" s="111"/>
      <c r="Y177" s="111"/>
      <c r="Z177" s="111"/>
      <c r="AA177" s="111"/>
      <c r="AB177" s="111"/>
    </row>
    <row r="178" spans="1:28">
      <c r="A178" s="3">
        <v>42948</v>
      </c>
      <c r="B178" s="111"/>
      <c r="C178" s="98">
        <f>(+C166/SUM(C$159:C$170))*Trends!B$22</f>
        <v>10.090933847429062</v>
      </c>
      <c r="D178" s="98">
        <f ca="1">(+D166/SUM(D$159:D$170))*Trends!C$22</f>
        <v>72.812687105500387</v>
      </c>
      <c r="E178" s="103">
        <f>+'Purchased Power Model '!E178</f>
        <v>7.5499999999999998E-2</v>
      </c>
      <c r="F178" s="10">
        <f>+'Purchased Power Model '!F178</f>
        <v>31</v>
      </c>
      <c r="G178" s="10">
        <f>+'Purchased Power Model '!G178</f>
        <v>0</v>
      </c>
      <c r="H178" s="117">
        <f t="shared" ca="1" si="8"/>
        <v>98047948.759023011</v>
      </c>
      <c r="I178" s="118"/>
      <c r="J178" s="119"/>
      <c r="L178"/>
      <c r="M178"/>
      <c r="N178"/>
      <c r="T178" s="111"/>
      <c r="U178" s="111"/>
      <c r="V178" s="111"/>
      <c r="W178" s="111"/>
      <c r="X178" s="111"/>
      <c r="Y178" s="111"/>
      <c r="Z178" s="111"/>
      <c r="AA178" s="111"/>
      <c r="AB178" s="111"/>
    </row>
    <row r="179" spans="1:28">
      <c r="A179" s="3">
        <v>42979</v>
      </c>
      <c r="B179" s="111"/>
      <c r="C179" s="98">
        <f>(+C167/SUM(C$159:C$170))*Trends!B$22</f>
        <v>88.616746332877042</v>
      </c>
      <c r="D179" s="98">
        <f ca="1">(+D167/SUM(D$159:D$170))*Trends!C$22</f>
        <v>19.743681995791995</v>
      </c>
      <c r="E179" s="103">
        <f>+'Purchased Power Model '!E179</f>
        <v>7.5499999999999998E-2</v>
      </c>
      <c r="F179" s="10">
        <f>+'Purchased Power Model '!F179</f>
        <v>30</v>
      </c>
      <c r="G179" s="10">
        <f>+'Purchased Power Model '!G179</f>
        <v>1</v>
      </c>
      <c r="H179" s="117">
        <f t="shared" ca="1" si="8"/>
        <v>83684664.871724352</v>
      </c>
      <c r="I179" s="118"/>
      <c r="J179" s="119"/>
      <c r="L179"/>
      <c r="M179"/>
      <c r="N179"/>
      <c r="T179" s="111"/>
      <c r="U179" s="111"/>
      <c r="V179" s="111"/>
      <c r="W179" s="111"/>
      <c r="X179" s="111"/>
      <c r="Y179" s="111"/>
      <c r="Z179" s="111"/>
      <c r="AA179" s="111"/>
      <c r="AB179" s="111"/>
    </row>
    <row r="180" spans="1:28">
      <c r="A180" s="3">
        <v>43009</v>
      </c>
      <c r="B180" s="111"/>
      <c r="C180" s="98">
        <f>(+C168/SUM(C$159:C$170))*Trends!B$22</f>
        <v>202.73603457107481</v>
      </c>
      <c r="D180" s="98">
        <f ca="1">(+D168/SUM(D$159:D$170))*Trends!C$22</f>
        <v>3.772678088367897</v>
      </c>
      <c r="E180" s="103">
        <f>+'Purchased Power Model '!E180</f>
        <v>7.5499999999999998E-2</v>
      </c>
      <c r="F180" s="10">
        <f>+'Purchased Power Model '!F180</f>
        <v>31</v>
      </c>
      <c r="G180" s="10">
        <f>+'Purchased Power Model '!G180</f>
        <v>1</v>
      </c>
      <c r="H180" s="117">
        <f t="shared" ca="1" si="8"/>
        <v>88858492.947047696</v>
      </c>
      <c r="I180" s="118"/>
      <c r="J180" s="119"/>
      <c r="L180"/>
      <c r="M180"/>
      <c r="N180"/>
      <c r="T180" s="111"/>
      <c r="U180" s="111"/>
      <c r="V180" s="111"/>
      <c r="W180" s="111"/>
      <c r="X180" s="111"/>
      <c r="Y180" s="111"/>
      <c r="Z180" s="111"/>
      <c r="AA180" s="111"/>
      <c r="AB180" s="111"/>
    </row>
    <row r="181" spans="1:28">
      <c r="A181" s="3">
        <v>43040</v>
      </c>
      <c r="B181" s="111"/>
      <c r="C181" s="98">
        <f>(+C169/SUM(C$159:C$170))*Trends!B$22</f>
        <v>420.70020567554263</v>
      </c>
      <c r="D181" s="98">
        <f ca="1">(+D169/SUM(D$159:D$170))*Trends!C$22</f>
        <v>0</v>
      </c>
      <c r="E181" s="103">
        <f>+'Purchased Power Model '!E181</f>
        <v>7.5499999999999998E-2</v>
      </c>
      <c r="F181" s="10">
        <f>+'Purchased Power Model '!F181</f>
        <v>30</v>
      </c>
      <c r="G181" s="10">
        <f>+'Purchased Power Model '!G181</f>
        <v>1</v>
      </c>
      <c r="H181" s="117">
        <f t="shared" ca="1" si="8"/>
        <v>94246088.270310074</v>
      </c>
      <c r="I181" s="118"/>
      <c r="J181" s="119"/>
      <c r="L181"/>
      <c r="M181"/>
      <c r="N181"/>
      <c r="T181" s="111"/>
      <c r="U181" s="111"/>
      <c r="V181" s="111"/>
      <c r="W181" s="111"/>
      <c r="X181" s="111"/>
      <c r="Y181" s="111"/>
      <c r="Z181" s="111"/>
      <c r="AA181" s="111"/>
      <c r="AB181" s="111"/>
    </row>
    <row r="182" spans="1:28">
      <c r="A182" s="3">
        <v>43070</v>
      </c>
      <c r="B182" s="111"/>
      <c r="C182" s="98">
        <f>(+C170/SUM(C$159:C$170))*Trends!B$22</f>
        <v>433.72668391495097</v>
      </c>
      <c r="D182" s="98">
        <f ca="1">(+D170/SUM(D$159:D$170))*Trends!C$22</f>
        <v>0</v>
      </c>
      <c r="E182" s="103">
        <f>+'Purchased Power Model '!E182</f>
        <v>7.5499999999999998E-2</v>
      </c>
      <c r="F182" s="10">
        <f>+'Purchased Power Model '!F182</f>
        <v>31</v>
      </c>
      <c r="G182" s="10">
        <f>+'Purchased Power Model '!G182</f>
        <v>0</v>
      </c>
      <c r="H182" s="117">
        <f t="shared" ca="1" si="8"/>
        <v>104832512.02081043</v>
      </c>
      <c r="I182" s="118"/>
      <c r="J182" s="119"/>
      <c r="L182"/>
      <c r="M182"/>
      <c r="N182"/>
      <c r="T182" s="111"/>
      <c r="U182" s="111"/>
      <c r="V182" s="111"/>
      <c r="W182" s="111"/>
      <c r="X182" s="111"/>
      <c r="Y182" s="111"/>
      <c r="Z182" s="111"/>
      <c r="AA182" s="111"/>
      <c r="AB182" s="111"/>
    </row>
    <row r="183" spans="1:28">
      <c r="A183" s="3">
        <v>43101</v>
      </c>
      <c r="B183" s="111"/>
      <c r="C183" s="98">
        <f>(+C171/SUM(C$171:C$182))*Trends!B$22</f>
        <v>564.54188088253147</v>
      </c>
      <c r="D183" s="98">
        <f ca="1">(+D171/SUM(D$171:D$182))*Trends!C$22</f>
        <v>0</v>
      </c>
      <c r="E183" s="103">
        <f>+'Purchased Power Model '!E183</f>
        <v>7.5499999999999998E-2</v>
      </c>
      <c r="F183" s="10">
        <f>+'Purchased Power Model '!F183</f>
        <v>31</v>
      </c>
      <c r="G183" s="10">
        <f>+'Purchased Power Model '!G183</f>
        <v>0</v>
      </c>
      <c r="H183" s="117">
        <f t="shared" ca="1" si="8"/>
        <v>110085160.82052246</v>
      </c>
      <c r="I183" s="118"/>
      <c r="J183" s="119"/>
      <c r="L183"/>
      <c r="M183"/>
      <c r="N183"/>
      <c r="T183" s="111"/>
      <c r="U183" s="111"/>
      <c r="V183" s="111"/>
      <c r="W183" s="111"/>
      <c r="X183" s="111"/>
      <c r="Y183" s="111"/>
      <c r="Z183" s="111"/>
      <c r="AA183" s="111"/>
      <c r="AB183" s="111"/>
    </row>
    <row r="184" spans="1:28">
      <c r="A184" s="3">
        <v>43132</v>
      </c>
      <c r="B184" s="111"/>
      <c r="C184" s="98">
        <f>(+C172/SUM(C$171:C$182))*Trends!B$22</f>
        <v>560.96418615480661</v>
      </c>
      <c r="D184" s="98">
        <f ca="1">(+D172/SUM(D$171:D$182))*Trends!C$22</f>
        <v>0</v>
      </c>
      <c r="E184" s="103">
        <f>+'Purchased Power Model '!E184</f>
        <v>7.5499999999999998E-2</v>
      </c>
      <c r="F184" s="10">
        <f>+'Purchased Power Model '!F184</f>
        <v>28</v>
      </c>
      <c r="G184" s="10">
        <f>+'Purchased Power Model '!G184</f>
        <v>0</v>
      </c>
      <c r="H184" s="117">
        <f t="shared" ca="1" si="8"/>
        <v>101437911.46012902</v>
      </c>
      <c r="I184" s="118"/>
      <c r="J184" s="119"/>
      <c r="L184"/>
      <c r="M184"/>
      <c r="N184"/>
      <c r="T184" s="111"/>
      <c r="U184" s="111"/>
      <c r="V184" s="111"/>
      <c r="W184" s="111"/>
      <c r="X184" s="111"/>
      <c r="Y184" s="111"/>
      <c r="Z184" s="111"/>
      <c r="AA184" s="111"/>
      <c r="AB184" s="111"/>
    </row>
    <row r="185" spans="1:28">
      <c r="A185" s="3">
        <v>43160</v>
      </c>
      <c r="B185" s="111"/>
      <c r="C185" s="98">
        <f>(+C173/SUM(C$171:C$182))*Trends!B$22</f>
        <v>499.95990425898538</v>
      </c>
      <c r="D185" s="98">
        <f ca="1">(+D173/SUM(D$171:D$182))*Trends!C$22</f>
        <v>0</v>
      </c>
      <c r="E185" s="103">
        <f>+'Purchased Power Model '!E185</f>
        <v>7.5499999999999998E-2</v>
      </c>
      <c r="F185" s="10">
        <f>+'Purchased Power Model '!F185</f>
        <v>31</v>
      </c>
      <c r="G185" s="10">
        <f>+'Purchased Power Model '!G185</f>
        <v>1</v>
      </c>
      <c r="H185" s="117">
        <f t="shared" ca="1" si="8"/>
        <v>100263149.9752156</v>
      </c>
      <c r="I185" s="118"/>
      <c r="J185" s="119"/>
      <c r="L185"/>
      <c r="M185"/>
      <c r="N185"/>
      <c r="T185" s="111"/>
      <c r="U185" s="111"/>
      <c r="V185" s="111"/>
      <c r="W185" s="111"/>
      <c r="X185" s="111"/>
      <c r="Y185" s="111"/>
      <c r="Z185" s="111"/>
      <c r="AA185" s="111"/>
      <c r="AB185" s="111"/>
    </row>
    <row r="186" spans="1:28">
      <c r="A186" s="3">
        <v>43191</v>
      </c>
      <c r="B186" s="111"/>
      <c r="C186" s="98">
        <f>(+C174/SUM(C$171:C$182))*Trends!B$22</f>
        <v>336.21156864388644</v>
      </c>
      <c r="D186" s="98">
        <f ca="1">(+D174/SUM(D$171:D$182))*Trends!C$22</f>
        <v>0</v>
      </c>
      <c r="E186" s="103">
        <f>+'Purchased Power Model '!E186</f>
        <v>7.5499999999999998E-2</v>
      </c>
      <c r="F186" s="10">
        <f>+'Purchased Power Model '!F186</f>
        <v>30</v>
      </c>
      <c r="G186" s="10">
        <f>+'Purchased Power Model '!G186</f>
        <v>1</v>
      </c>
      <c r="H186" s="117">
        <f t="shared" ca="1" si="8"/>
        <v>90853599.108644739</v>
      </c>
      <c r="I186" s="118"/>
      <c r="J186" s="119"/>
      <c r="L186"/>
      <c r="M186"/>
      <c r="N186"/>
      <c r="T186" s="111"/>
      <c r="U186" s="111"/>
      <c r="V186" s="111"/>
      <c r="W186" s="111"/>
      <c r="X186" s="111"/>
      <c r="Y186" s="111"/>
      <c r="Z186" s="111"/>
      <c r="AA186" s="111"/>
      <c r="AB186" s="111"/>
    </row>
    <row r="187" spans="1:28">
      <c r="A187" s="3">
        <v>43221</v>
      </c>
      <c r="B187" s="111"/>
      <c r="C187" s="98">
        <f>(+C175/SUM(C$171:C$182))*Trends!B$22</f>
        <v>122.37550684063973</v>
      </c>
      <c r="D187" s="98">
        <f ca="1">(+D175/SUM(D$171:D$182))*Trends!C$22</f>
        <v>3.772678088367897</v>
      </c>
      <c r="E187" s="103">
        <f>+'Purchased Power Model '!E187</f>
        <v>7.5499999999999998E-2</v>
      </c>
      <c r="F187" s="10">
        <f>+'Purchased Power Model '!F187</f>
        <v>31</v>
      </c>
      <c r="G187" s="10">
        <f>+'Purchased Power Model '!G187</f>
        <v>1</v>
      </c>
      <c r="H187" s="117">
        <f t="shared" ca="1" si="8"/>
        <v>85631760.584812269</v>
      </c>
      <c r="I187" s="118"/>
      <c r="J187" s="119"/>
      <c r="L187"/>
      <c r="M187"/>
      <c r="N187"/>
      <c r="T187" s="111"/>
      <c r="U187" s="111"/>
      <c r="V187" s="111"/>
      <c r="W187" s="111"/>
      <c r="X187" s="111"/>
      <c r="Y187" s="111"/>
      <c r="Z187" s="111"/>
      <c r="AA187" s="111"/>
      <c r="AB187" s="111"/>
    </row>
    <row r="188" spans="1:28">
      <c r="A188" s="3">
        <v>43252</v>
      </c>
      <c r="B188" s="111"/>
      <c r="C188" s="98">
        <f>(+C176/SUM(C$171:C$182))*Trends!B$22</f>
        <v>39.35464200497335</v>
      </c>
      <c r="D188" s="98">
        <f ca="1">(+D176/SUM(D$171:D$182))*Trends!C$22</f>
        <v>40.493411481815428</v>
      </c>
      <c r="E188" s="103">
        <f>+'Purchased Power Model '!E188</f>
        <v>7.5499999999999998E-2</v>
      </c>
      <c r="F188" s="10">
        <f>+'Purchased Power Model '!F188</f>
        <v>30</v>
      </c>
      <c r="G188" s="10">
        <f>+'Purchased Power Model '!G188</f>
        <v>0</v>
      </c>
      <c r="H188" s="117">
        <f t="shared" ca="1" si="8"/>
        <v>91849550.4565157</v>
      </c>
      <c r="I188" s="118"/>
      <c r="J188" s="119"/>
      <c r="L188"/>
      <c r="M188"/>
      <c r="N188"/>
      <c r="T188" s="111"/>
      <c r="U188" s="111"/>
      <c r="V188" s="111"/>
      <c r="W188" s="111"/>
      <c r="X188" s="111"/>
      <c r="Y188" s="111"/>
      <c r="Z188" s="111"/>
      <c r="AA188" s="111"/>
      <c r="AB188" s="111"/>
    </row>
    <row r="189" spans="1:28">
      <c r="A189" s="3">
        <v>43282</v>
      </c>
      <c r="B189" s="111"/>
      <c r="C189" s="98">
        <f>(+C177/SUM(C$171:C$182))*Trends!B$22</f>
        <v>4.0363735389716258</v>
      </c>
      <c r="D189" s="98">
        <f ca="1">(+D177/SUM(D$171:D$182))*Trends!C$22</f>
        <v>138.33152990682285</v>
      </c>
      <c r="E189" s="103">
        <f>+'Purchased Power Model '!E189</f>
        <v>7.5499999999999998E-2</v>
      </c>
      <c r="F189" s="10">
        <f>+'Purchased Power Model '!F189</f>
        <v>31</v>
      </c>
      <c r="G189" s="10">
        <f>+'Purchased Power Model '!G189</f>
        <v>0</v>
      </c>
      <c r="H189" s="117">
        <f t="shared" ca="1" si="8"/>
        <v>107006263.73782702</v>
      </c>
      <c r="I189" s="118"/>
      <c r="J189" s="119"/>
      <c r="L189"/>
      <c r="M189"/>
      <c r="N189"/>
      <c r="T189" s="111"/>
      <c r="U189" s="111"/>
      <c r="V189" s="111"/>
      <c r="W189" s="111"/>
      <c r="X189" s="111"/>
      <c r="Y189" s="111"/>
      <c r="Z189" s="111"/>
      <c r="AA189" s="111"/>
      <c r="AB189" s="111"/>
    </row>
    <row r="190" spans="1:28">
      <c r="A190" s="3">
        <v>43313</v>
      </c>
      <c r="B190" s="111"/>
      <c r="C190" s="98">
        <f>(+C178/SUM(C$171:C$182))*Trends!B$22</f>
        <v>10.090933847429062</v>
      </c>
      <c r="D190" s="98">
        <f ca="1">(+D178/SUM(D$171:D$182))*Trends!C$22</f>
        <v>72.812687105500387</v>
      </c>
      <c r="E190" s="103">
        <f>+'Purchased Power Model '!E190</f>
        <v>7.5499999999999998E-2</v>
      </c>
      <c r="F190" s="10">
        <f>+'Purchased Power Model '!F190</f>
        <v>31</v>
      </c>
      <c r="G190" s="10">
        <f>+'Purchased Power Model '!G190</f>
        <v>0</v>
      </c>
      <c r="H190" s="117">
        <f t="shared" ca="1" si="8"/>
        <v>98047948.759023011</v>
      </c>
      <c r="I190" s="118"/>
      <c r="J190" s="119"/>
      <c r="L190"/>
      <c r="M190"/>
      <c r="N190"/>
      <c r="T190" s="111"/>
      <c r="U190" s="111"/>
      <c r="V190" s="111"/>
      <c r="W190" s="111"/>
      <c r="X190" s="111"/>
      <c r="Y190" s="111"/>
      <c r="Z190" s="111"/>
      <c r="AA190" s="111"/>
      <c r="AB190" s="111"/>
    </row>
    <row r="191" spans="1:28">
      <c r="A191" s="3">
        <v>43344</v>
      </c>
      <c r="B191" s="111"/>
      <c r="C191" s="98">
        <f>(+C179/SUM(C$171:C$182))*Trends!B$22</f>
        <v>88.616746332877042</v>
      </c>
      <c r="D191" s="98">
        <f ca="1">(+D179/SUM(D$171:D$182))*Trends!C$22</f>
        <v>19.743681995791995</v>
      </c>
      <c r="E191" s="103">
        <f>+'Purchased Power Model '!E191</f>
        <v>7.5499999999999998E-2</v>
      </c>
      <c r="F191" s="10">
        <f>+'Purchased Power Model '!F191</f>
        <v>30</v>
      </c>
      <c r="G191" s="10">
        <f>+'Purchased Power Model '!G191</f>
        <v>1</v>
      </c>
      <c r="H191" s="117">
        <f t="shared" ca="1" si="8"/>
        <v>83684664.871724352</v>
      </c>
      <c r="I191" s="118"/>
      <c r="J191" s="119"/>
      <c r="L191"/>
      <c r="M191"/>
      <c r="N191"/>
      <c r="T191" s="111"/>
      <c r="U191" s="111"/>
      <c r="V191" s="111"/>
      <c r="W191" s="111"/>
      <c r="X191" s="111"/>
      <c r="Y191" s="111"/>
      <c r="Z191" s="111"/>
      <c r="AA191" s="111"/>
      <c r="AB191" s="111"/>
    </row>
    <row r="192" spans="1:28">
      <c r="A192" s="3">
        <v>43374</v>
      </c>
      <c r="B192" s="111"/>
      <c r="C192" s="98">
        <f>(+C180/SUM(C$171:C$182))*Trends!B$22</f>
        <v>202.73603457107481</v>
      </c>
      <c r="D192" s="98">
        <f ca="1">(+D180/SUM(D$171:D$182))*Trends!C$22</f>
        <v>3.772678088367897</v>
      </c>
      <c r="E192" s="103">
        <f>+'Purchased Power Model '!E192</f>
        <v>7.5499999999999998E-2</v>
      </c>
      <c r="F192" s="10">
        <f>+'Purchased Power Model '!F192</f>
        <v>31</v>
      </c>
      <c r="G192" s="10">
        <f>+'Purchased Power Model '!G192</f>
        <v>1</v>
      </c>
      <c r="H192" s="117">
        <f t="shared" ca="1" si="8"/>
        <v>88858492.947047696</v>
      </c>
      <c r="I192" s="118"/>
      <c r="J192" s="119"/>
      <c r="L192"/>
      <c r="M192"/>
      <c r="N192"/>
      <c r="T192" s="111"/>
      <c r="U192" s="111"/>
      <c r="V192" s="111"/>
      <c r="W192" s="111"/>
      <c r="X192" s="111"/>
      <c r="Y192" s="111"/>
      <c r="Z192" s="111"/>
      <c r="AA192" s="111"/>
      <c r="AB192" s="111"/>
    </row>
    <row r="193" spans="1:28">
      <c r="A193" s="3">
        <v>43405</v>
      </c>
      <c r="B193" s="111"/>
      <c r="C193" s="98">
        <f>(+C181/SUM(C$171:C$182))*Trends!B$22</f>
        <v>420.70020567554263</v>
      </c>
      <c r="D193" s="98">
        <f ca="1">(+D181/SUM(D$171:D$182))*Trends!C$22</f>
        <v>0</v>
      </c>
      <c r="E193" s="103">
        <f>+'Purchased Power Model '!E193</f>
        <v>7.5499999999999998E-2</v>
      </c>
      <c r="F193" s="10">
        <f>+'Purchased Power Model '!F193</f>
        <v>30</v>
      </c>
      <c r="G193" s="10">
        <f>+'Purchased Power Model '!G193</f>
        <v>1</v>
      </c>
      <c r="H193" s="117">
        <f t="shared" ca="1" si="8"/>
        <v>94246088.270310074</v>
      </c>
      <c r="I193" s="118"/>
      <c r="J193" s="119"/>
      <c r="L193"/>
      <c r="M193"/>
      <c r="N193"/>
      <c r="T193" s="111"/>
      <c r="U193" s="111"/>
      <c r="V193" s="111"/>
      <c r="W193" s="111"/>
      <c r="X193" s="111"/>
      <c r="Y193" s="111"/>
      <c r="Z193" s="111"/>
      <c r="AA193" s="111"/>
      <c r="AB193" s="111"/>
    </row>
    <row r="194" spans="1:28">
      <c r="A194" s="3">
        <v>43435</v>
      </c>
      <c r="B194" s="111"/>
      <c r="C194" s="98">
        <f>(+C182/SUM(C$171:C$182))*Trends!B$22</f>
        <v>433.72668391495097</v>
      </c>
      <c r="D194" s="98">
        <f ca="1">(+D182/SUM(D$171:D$182))*Trends!C$22</f>
        <v>0</v>
      </c>
      <c r="E194" s="103">
        <f>+'Purchased Power Model '!E194</f>
        <v>7.5499999999999998E-2</v>
      </c>
      <c r="F194" s="10">
        <f>+'Purchased Power Model '!F194</f>
        <v>31</v>
      </c>
      <c r="G194" s="10">
        <f>+'Purchased Power Model '!G194</f>
        <v>0</v>
      </c>
      <c r="H194" s="117">
        <f t="shared" ca="1" si="8"/>
        <v>104832512.02081043</v>
      </c>
      <c r="I194" s="118"/>
      <c r="J194" s="119"/>
      <c r="L194"/>
      <c r="M194"/>
      <c r="N194"/>
      <c r="T194" s="111"/>
      <c r="U194" s="111"/>
      <c r="V194" s="111"/>
      <c r="W194" s="111"/>
      <c r="X194" s="111"/>
      <c r="Y194" s="111"/>
      <c r="Z194" s="111"/>
      <c r="AA194" s="111"/>
      <c r="AB194" s="111"/>
    </row>
    <row r="195" spans="1:28">
      <c r="A195" s="3">
        <v>43466</v>
      </c>
      <c r="B195" s="111"/>
      <c r="C195" s="98">
        <f>(+C183/SUM(C$183:C$194))*Trends!B$22</f>
        <v>564.54188088253147</v>
      </c>
      <c r="D195" s="98">
        <f ca="1">(+D183/SUM(D$183:D$194))*Trends!C$22</f>
        <v>0</v>
      </c>
      <c r="E195" s="103">
        <f>+'Purchased Power Model '!E195</f>
        <v>7.5499999999999998E-2</v>
      </c>
      <c r="F195" s="10">
        <f>+'Purchased Power Model '!F195</f>
        <v>31</v>
      </c>
      <c r="G195" s="10">
        <f>+'Purchased Power Model '!G195</f>
        <v>0</v>
      </c>
      <c r="H195" s="117">
        <f t="shared" ca="1" si="8"/>
        <v>110085160.82052246</v>
      </c>
      <c r="I195" s="118"/>
      <c r="J195" s="119"/>
      <c r="L195"/>
      <c r="M195"/>
      <c r="N195"/>
      <c r="T195" s="111"/>
      <c r="U195" s="111"/>
      <c r="V195" s="111"/>
      <c r="W195" s="111"/>
      <c r="X195" s="111"/>
      <c r="Y195" s="111"/>
      <c r="Z195" s="111"/>
      <c r="AA195" s="111"/>
      <c r="AB195" s="111"/>
    </row>
    <row r="196" spans="1:28">
      <c r="A196" s="3">
        <v>43497</v>
      </c>
      <c r="B196" s="111"/>
      <c r="C196" s="98">
        <f>(+C184/SUM(C$183:C$194))*Trends!B$22</f>
        <v>560.96418615480661</v>
      </c>
      <c r="D196" s="98">
        <f ca="1">(+D184/SUM(D$183:D$194))*Trends!C$22</f>
        <v>0</v>
      </c>
      <c r="E196" s="103">
        <f>+'Purchased Power Model '!E196</f>
        <v>7.5499999999999998E-2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ca="1" si="13">$M$18+C196*$M$19+D196*$M$20+E196*$M$21+F196*$M$22+G196*$M$23</f>
        <v>101437911.46012902</v>
      </c>
      <c r="I196" s="118"/>
      <c r="J196" s="119"/>
      <c r="L196"/>
      <c r="M196"/>
      <c r="N196"/>
      <c r="T196" s="111"/>
      <c r="U196" s="111"/>
      <c r="V196" s="111"/>
      <c r="W196" s="111"/>
      <c r="X196" s="111"/>
      <c r="Y196" s="111"/>
      <c r="Z196" s="111"/>
      <c r="AA196" s="111"/>
      <c r="AB196" s="111"/>
    </row>
    <row r="197" spans="1:28">
      <c r="A197" s="3">
        <v>43525</v>
      </c>
      <c r="B197" s="111"/>
      <c r="C197" s="98">
        <f>(+C185/SUM(C$183:C$194))*Trends!B$22</f>
        <v>499.95990425898538</v>
      </c>
      <c r="D197" s="98">
        <f ca="1">(+D185/SUM(D$183:D$194))*Trends!C$22</f>
        <v>0</v>
      </c>
      <c r="E197" s="103">
        <f>+'Purchased Power Model '!E197</f>
        <v>7.5499999999999998E-2</v>
      </c>
      <c r="F197" s="10">
        <f>+'Purchased Power Model '!F197</f>
        <v>31</v>
      </c>
      <c r="G197" s="10">
        <f>+'Purchased Power Model '!G197</f>
        <v>1</v>
      </c>
      <c r="H197" s="117">
        <f t="shared" ca="1" si="13"/>
        <v>100263149.9752156</v>
      </c>
      <c r="I197" s="118"/>
      <c r="J197" s="119"/>
      <c r="L197"/>
      <c r="M197"/>
      <c r="N197"/>
      <c r="T197" s="111"/>
      <c r="U197" s="111"/>
      <c r="V197" s="111"/>
      <c r="W197" s="111"/>
      <c r="X197" s="111"/>
      <c r="Y197" s="111"/>
      <c r="Z197" s="111"/>
      <c r="AA197" s="111"/>
      <c r="AB197" s="111"/>
    </row>
    <row r="198" spans="1:28">
      <c r="A198" s="3">
        <v>43556</v>
      </c>
      <c r="B198" s="111"/>
      <c r="C198" s="98">
        <f>(+C186/SUM(C$183:C$194))*Trends!B$22</f>
        <v>336.21156864388644</v>
      </c>
      <c r="D198" s="98">
        <f ca="1">(+D186/SUM(D$183:D$194))*Trends!C$22</f>
        <v>0</v>
      </c>
      <c r="E198" s="103">
        <f>+'Purchased Power Model '!E198</f>
        <v>7.5499999999999998E-2</v>
      </c>
      <c r="F198" s="10">
        <f>+'Purchased Power Model '!F198</f>
        <v>30</v>
      </c>
      <c r="G198" s="10">
        <f>+'Purchased Power Model '!G198</f>
        <v>1</v>
      </c>
      <c r="H198" s="117">
        <f t="shared" ca="1" si="13"/>
        <v>90853599.108644739</v>
      </c>
      <c r="I198" s="118"/>
      <c r="J198" s="119"/>
      <c r="L198"/>
      <c r="M198"/>
      <c r="N198"/>
      <c r="T198" s="111"/>
      <c r="U198" s="111"/>
      <c r="V198" s="111"/>
      <c r="W198" s="111"/>
      <c r="X198" s="111"/>
      <c r="Y198" s="111"/>
      <c r="Z198" s="111"/>
      <c r="AA198" s="111"/>
      <c r="AB198" s="111"/>
    </row>
    <row r="199" spans="1:28">
      <c r="A199" s="3">
        <v>43586</v>
      </c>
      <c r="B199" s="111"/>
      <c r="C199" s="98">
        <f>(+C187/SUM(C$183:C$194))*Trends!B$22</f>
        <v>122.37550684063973</v>
      </c>
      <c r="D199" s="98">
        <f ca="1">(+D187/SUM(D$183:D$194))*Trends!C$22</f>
        <v>3.772678088367897</v>
      </c>
      <c r="E199" s="103">
        <f>+'Purchased Power Model '!E199</f>
        <v>7.5499999999999998E-2</v>
      </c>
      <c r="F199" s="10">
        <f>+'Purchased Power Model '!F199</f>
        <v>31</v>
      </c>
      <c r="G199" s="10">
        <f>+'Purchased Power Model '!G199</f>
        <v>1</v>
      </c>
      <c r="H199" s="117">
        <f t="shared" ca="1" si="13"/>
        <v>85631760.584812269</v>
      </c>
      <c r="I199" s="118"/>
      <c r="J199" s="119"/>
      <c r="L199"/>
      <c r="M199"/>
      <c r="N199"/>
      <c r="T199" s="111"/>
      <c r="U199" s="111"/>
      <c r="V199" s="111"/>
      <c r="W199" s="111"/>
      <c r="X199" s="111"/>
      <c r="Y199" s="111"/>
      <c r="Z199" s="111"/>
      <c r="AA199" s="111"/>
      <c r="AB199" s="111"/>
    </row>
    <row r="200" spans="1:28">
      <c r="A200" s="3">
        <v>43617</v>
      </c>
      <c r="B200" s="111"/>
      <c r="C200" s="98">
        <f>(+C188/SUM(C$183:C$194))*Trends!B$22</f>
        <v>39.35464200497335</v>
      </c>
      <c r="D200" s="98">
        <f ca="1">(+D188/SUM(D$183:D$194))*Trends!C$22</f>
        <v>40.493411481815428</v>
      </c>
      <c r="E200" s="103">
        <f>+'Purchased Power Model '!E200</f>
        <v>7.5499999999999998E-2</v>
      </c>
      <c r="F200" s="10">
        <f>+'Purchased Power Model '!F200</f>
        <v>30</v>
      </c>
      <c r="G200" s="10">
        <f>+'Purchased Power Model '!G200</f>
        <v>0</v>
      </c>
      <c r="H200" s="117">
        <f t="shared" ca="1" si="13"/>
        <v>91849550.4565157</v>
      </c>
      <c r="I200" s="118"/>
      <c r="J200" s="119"/>
      <c r="L200"/>
      <c r="M200"/>
      <c r="N200"/>
      <c r="T200" s="111"/>
      <c r="U200" s="111"/>
      <c r="V200" s="111"/>
      <c r="W200" s="111"/>
      <c r="X200" s="111"/>
      <c r="Y200" s="111"/>
      <c r="Z200" s="111"/>
      <c r="AA200" s="111"/>
      <c r="AB200" s="111"/>
    </row>
    <row r="201" spans="1:28">
      <c r="A201" s="3">
        <v>43647</v>
      </c>
      <c r="B201" s="111"/>
      <c r="C201" s="98">
        <f>(+C189/SUM(C$183:C$194))*Trends!B$22</f>
        <v>4.0363735389716258</v>
      </c>
      <c r="D201" s="98">
        <f ca="1">(+D189/SUM(D$183:D$194))*Trends!C$22</f>
        <v>138.33152990682285</v>
      </c>
      <c r="E201" s="103">
        <f>+'Purchased Power Model '!E201</f>
        <v>7.5499999999999998E-2</v>
      </c>
      <c r="F201" s="10">
        <f>+'Purchased Power Model '!F201</f>
        <v>31</v>
      </c>
      <c r="G201" s="10">
        <f>+'Purchased Power Model '!G201</f>
        <v>0</v>
      </c>
      <c r="H201" s="117">
        <f t="shared" ca="1" si="13"/>
        <v>107006263.73782702</v>
      </c>
      <c r="I201" s="118"/>
      <c r="J201" s="119"/>
      <c r="L201"/>
      <c r="M201"/>
      <c r="N201"/>
      <c r="T201" s="111"/>
      <c r="U201" s="111"/>
      <c r="V201" s="111"/>
      <c r="W201" s="111"/>
      <c r="X201" s="111"/>
      <c r="Y201" s="111"/>
      <c r="Z201" s="111"/>
      <c r="AA201" s="111"/>
      <c r="AB201" s="111"/>
    </row>
    <row r="202" spans="1:28">
      <c r="A202" s="3">
        <v>43678</v>
      </c>
      <c r="B202" s="111"/>
      <c r="C202" s="98">
        <f>(+C190/SUM(C$183:C$194))*Trends!B$22</f>
        <v>10.090933847429062</v>
      </c>
      <c r="D202" s="98">
        <f ca="1">(+D190/SUM(D$183:D$194))*Trends!C$22</f>
        <v>72.812687105500387</v>
      </c>
      <c r="E202" s="103">
        <f>+'Purchased Power Model '!E202</f>
        <v>7.5499999999999998E-2</v>
      </c>
      <c r="F202" s="10">
        <f>+'Purchased Power Model '!F202</f>
        <v>31</v>
      </c>
      <c r="G202" s="10">
        <f>+'Purchased Power Model '!G202</f>
        <v>0</v>
      </c>
      <c r="H202" s="117">
        <f t="shared" ca="1" si="13"/>
        <v>98047948.759023011</v>
      </c>
      <c r="I202" s="118"/>
      <c r="J202" s="119"/>
      <c r="L202"/>
      <c r="M202"/>
      <c r="N202"/>
      <c r="T202" s="111"/>
      <c r="U202" s="111"/>
      <c r="V202" s="111"/>
      <c r="W202" s="111"/>
      <c r="X202" s="111"/>
      <c r="Y202" s="111"/>
      <c r="Z202" s="111"/>
      <c r="AA202" s="111"/>
      <c r="AB202" s="111"/>
    </row>
    <row r="203" spans="1:28">
      <c r="A203" s="3">
        <v>43709</v>
      </c>
      <c r="B203" s="111"/>
      <c r="C203" s="98">
        <f>(+C191/SUM(C$183:C$194))*Trends!B$22</f>
        <v>88.616746332877042</v>
      </c>
      <c r="D203" s="98">
        <f ca="1">(+D191/SUM(D$183:D$194))*Trends!C$22</f>
        <v>19.743681995791995</v>
      </c>
      <c r="E203" s="103">
        <f>+'Purchased Power Model '!E203</f>
        <v>7.5499999999999998E-2</v>
      </c>
      <c r="F203" s="10">
        <f>+'Purchased Power Model '!F203</f>
        <v>30</v>
      </c>
      <c r="G203" s="10">
        <f>+'Purchased Power Model '!G203</f>
        <v>1</v>
      </c>
      <c r="H203" s="117">
        <f t="shared" ca="1" si="13"/>
        <v>83684664.871724352</v>
      </c>
      <c r="I203" s="118"/>
      <c r="J203" s="119"/>
      <c r="L203"/>
      <c r="M203"/>
      <c r="N203"/>
      <c r="T203" s="111"/>
      <c r="U203" s="111"/>
      <c r="V203" s="111"/>
      <c r="W203" s="111"/>
      <c r="X203" s="111"/>
      <c r="Y203" s="111"/>
      <c r="Z203" s="111"/>
      <c r="AA203" s="111"/>
      <c r="AB203" s="111"/>
    </row>
    <row r="204" spans="1:28">
      <c r="A204" s="3">
        <v>43739</v>
      </c>
      <c r="B204" s="111"/>
      <c r="C204" s="98">
        <f>(+C192/SUM(C$183:C$194))*Trends!B$22</f>
        <v>202.73603457107481</v>
      </c>
      <c r="D204" s="98">
        <f ca="1">(+D192/SUM(D$183:D$194))*Trends!C$22</f>
        <v>3.772678088367897</v>
      </c>
      <c r="E204" s="103">
        <f>+'Purchased Power Model '!E204</f>
        <v>7.5499999999999998E-2</v>
      </c>
      <c r="F204" s="10">
        <f>+'Purchased Power Model '!F204</f>
        <v>31</v>
      </c>
      <c r="G204" s="10">
        <f>+'Purchased Power Model '!G204</f>
        <v>1</v>
      </c>
      <c r="H204" s="117">
        <f t="shared" ca="1" si="13"/>
        <v>88858492.947047696</v>
      </c>
      <c r="I204" s="118"/>
      <c r="J204" s="119"/>
      <c r="L204"/>
      <c r="M204"/>
      <c r="N204"/>
      <c r="T204" s="111"/>
      <c r="U204" s="111"/>
      <c r="V204" s="111"/>
      <c r="W204" s="111"/>
      <c r="X204" s="111"/>
      <c r="Y204" s="111"/>
      <c r="Z204" s="111"/>
      <c r="AA204" s="111"/>
      <c r="AB204" s="111"/>
    </row>
    <row r="205" spans="1:28">
      <c r="A205" s="3">
        <v>43770</v>
      </c>
      <c r="B205" s="111"/>
      <c r="C205" s="98">
        <f>(+C193/SUM(C$183:C$194))*Trends!B$22</f>
        <v>420.70020567554263</v>
      </c>
      <c r="D205" s="98">
        <f ca="1">(+D193/SUM(D$183:D$194))*Trends!C$22</f>
        <v>0</v>
      </c>
      <c r="E205" s="103">
        <f>+'Purchased Power Model '!E205</f>
        <v>7.5499999999999998E-2</v>
      </c>
      <c r="F205" s="10">
        <f>+'Purchased Power Model '!F205</f>
        <v>30</v>
      </c>
      <c r="G205" s="10">
        <f>+'Purchased Power Model '!G205</f>
        <v>1</v>
      </c>
      <c r="H205" s="117">
        <f t="shared" ca="1" si="13"/>
        <v>94246088.270310074</v>
      </c>
      <c r="I205" s="118"/>
      <c r="J205" s="119"/>
      <c r="L205"/>
      <c r="M205"/>
      <c r="N205"/>
      <c r="T205" s="111"/>
      <c r="U205" s="111"/>
      <c r="V205" s="111"/>
      <c r="W205" s="111"/>
      <c r="X205" s="111"/>
      <c r="Y205" s="111"/>
      <c r="Z205" s="111"/>
      <c r="AA205" s="111"/>
      <c r="AB205" s="111"/>
    </row>
    <row r="206" spans="1:28">
      <c r="A206" s="3">
        <v>43800</v>
      </c>
      <c r="B206" s="111"/>
      <c r="C206" s="98">
        <f>(+C194/SUM(C$183:C$194))*Trends!B$22</f>
        <v>433.72668391495097</v>
      </c>
      <c r="D206" s="98">
        <f ca="1">(+D194/SUM(D$183:D$194))*Trends!C$22</f>
        <v>0</v>
      </c>
      <c r="E206" s="103">
        <f>+'Purchased Power Model '!E206</f>
        <v>7.5499999999999998E-2</v>
      </c>
      <c r="F206" s="10">
        <f>+'Purchased Power Model '!F206</f>
        <v>31</v>
      </c>
      <c r="G206" s="10">
        <f>+'Purchased Power Model '!G206</f>
        <v>0</v>
      </c>
      <c r="H206" s="117">
        <f t="shared" ca="1" si="13"/>
        <v>104832512.02081043</v>
      </c>
      <c r="I206" s="118"/>
      <c r="J206" s="119"/>
      <c r="L206"/>
      <c r="M206"/>
      <c r="N206"/>
      <c r="T206" s="111"/>
      <c r="U206" s="111"/>
      <c r="V206" s="111"/>
      <c r="W206" s="111"/>
      <c r="X206" s="111"/>
      <c r="Y206" s="111"/>
      <c r="Z206" s="111"/>
      <c r="AA206" s="111"/>
      <c r="AB206" s="111"/>
    </row>
    <row r="207" spans="1:28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L207"/>
      <c r="M207"/>
      <c r="N207"/>
      <c r="T207" s="120"/>
      <c r="U207" s="120"/>
      <c r="V207" s="120"/>
      <c r="W207" s="111"/>
      <c r="X207" s="111"/>
      <c r="Y207" s="111"/>
      <c r="Z207" s="111"/>
      <c r="AA207" s="111"/>
      <c r="AB207" s="111"/>
    </row>
    <row r="208" spans="1:28">
      <c r="A208" s="3"/>
      <c r="B208" s="6"/>
      <c r="C208" s="18"/>
      <c r="D208" s="180" t="s">
        <v>60</v>
      </c>
      <c r="E208" s="34"/>
      <c r="F208" s="180"/>
      <c r="G208" s="180"/>
      <c r="H208" s="47">
        <f ca="1">SUM(H3:H206)</f>
        <v>19722811313.289761</v>
      </c>
      <c r="I208" s="36"/>
      <c r="J208" s="5"/>
      <c r="L208"/>
      <c r="M208"/>
      <c r="N208"/>
      <c r="T208" s="111"/>
      <c r="U208" s="111"/>
      <c r="V208" s="111"/>
      <c r="W208" s="111"/>
      <c r="X208" s="111"/>
      <c r="Y208" s="111"/>
      <c r="Z208" s="111"/>
      <c r="AA208" s="111"/>
      <c r="AB208" s="111"/>
    </row>
    <row r="209" spans="1:28" ht="26.4">
      <c r="A209" s="3"/>
      <c r="B209" s="6"/>
      <c r="C209" s="23"/>
      <c r="D209" s="23"/>
      <c r="E209" s="34"/>
      <c r="F209"/>
      <c r="G209"/>
      <c r="H209" s="180"/>
      <c r="I209" s="36"/>
      <c r="J209" s="5" t="s">
        <v>196</v>
      </c>
      <c r="L209" s="408" t="s">
        <v>296</v>
      </c>
      <c r="M209" s="405" t="s">
        <v>294</v>
      </c>
      <c r="N209" s="408" t="s">
        <v>299</v>
      </c>
      <c r="O209" s="406" t="s">
        <v>295</v>
      </c>
      <c r="P209" s="408" t="s">
        <v>298</v>
      </c>
      <c r="Q209" s="406" t="s">
        <v>297</v>
      </c>
      <c r="T209" s="111"/>
      <c r="U209" s="111"/>
      <c r="V209" s="111"/>
      <c r="W209" s="111"/>
      <c r="X209" s="111"/>
      <c r="Y209" s="111"/>
      <c r="Z209" s="111"/>
      <c r="AA209" s="111"/>
      <c r="AB209" s="111"/>
    </row>
    <row r="210" spans="1:28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1214096286.5571823</v>
      </c>
      <c r="I210" s="36">
        <f t="shared" ref="I210:I224" si="14">H210-B210</f>
        <v>-18627883.442817688</v>
      </c>
      <c r="J210" s="5">
        <f t="shared" ref="J210:J226" si="15">I210/B210</f>
        <v>-1.5111152921433908E-2</v>
      </c>
      <c r="L210" s="183"/>
      <c r="M210" s="407">
        <f>+H210-L210</f>
        <v>1214096286.5571823</v>
      </c>
      <c r="N210" s="183"/>
      <c r="O210" s="407">
        <f>+M210-N210</f>
        <v>1214096286.5571823</v>
      </c>
      <c r="P210" s="183"/>
      <c r="Q210" s="407">
        <f>+O210+P210</f>
        <v>1214096286.5571823</v>
      </c>
      <c r="T210" s="111"/>
      <c r="U210" s="111"/>
      <c r="V210" s="111"/>
      <c r="W210" s="111"/>
      <c r="X210" s="111"/>
      <c r="Y210" s="111"/>
      <c r="Z210" s="111"/>
      <c r="AA210" s="111"/>
      <c r="AB210" s="111"/>
    </row>
    <row r="211" spans="1:28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1198833047.1489887</v>
      </c>
      <c r="I211" s="36">
        <f t="shared" si="14"/>
        <v>20391857.148988724</v>
      </c>
      <c r="J211" s="5">
        <f t="shared" si="15"/>
        <v>1.7304094020159567E-2</v>
      </c>
      <c r="L211" s="183"/>
      <c r="M211" s="407">
        <f t="shared" ref="M211:M226" si="16">+H211-L211</f>
        <v>1198833047.1489887</v>
      </c>
      <c r="N211" s="183"/>
      <c r="O211" s="407">
        <f t="shared" ref="O211:O226" si="17">+M211-N211</f>
        <v>1198833047.1489887</v>
      </c>
      <c r="P211" s="183"/>
      <c r="Q211" s="407">
        <f t="shared" ref="Q211:Q226" si="18">+O211+P211</f>
        <v>1198833047.1489887</v>
      </c>
      <c r="T211" s="111"/>
      <c r="U211" s="111"/>
      <c r="V211" s="111"/>
      <c r="W211" s="111"/>
      <c r="X211" s="111"/>
      <c r="Y211" s="111"/>
      <c r="Z211" s="111"/>
      <c r="AA211" s="111"/>
      <c r="AB211" s="111"/>
    </row>
    <row r="212" spans="1:28">
      <c r="A212" s="16">
        <v>2005</v>
      </c>
      <c r="B212" s="6">
        <f>SUM(B27:B38)</f>
        <v>1174501350</v>
      </c>
      <c r="C212" s="107">
        <f t="shared" ref="C212:C226" si="19">+B212-B211</f>
        <v>-3939840</v>
      </c>
      <c r="D212" s="109">
        <f t="shared" ref="D212:D226" si="20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1207050039.1496041</v>
      </c>
      <c r="I212" s="36">
        <f t="shared" si="14"/>
        <v>32548689.149604082</v>
      </c>
      <c r="J212" s="5">
        <f t="shared" si="15"/>
        <v>2.7712772871316054E-2</v>
      </c>
      <c r="L212" s="183"/>
      <c r="M212" s="407">
        <f t="shared" si="16"/>
        <v>1207050039.1496041</v>
      </c>
      <c r="N212" s="183"/>
      <c r="O212" s="407">
        <f t="shared" si="17"/>
        <v>1207050039.1496041</v>
      </c>
      <c r="P212" s="183"/>
      <c r="Q212" s="407">
        <f t="shared" si="18"/>
        <v>1207050039.1496041</v>
      </c>
      <c r="T212" s="120"/>
      <c r="U212" s="120"/>
      <c r="V212" s="120"/>
      <c r="W212" s="111"/>
      <c r="X212" s="111"/>
      <c r="Y212" s="111"/>
      <c r="Z212" s="111"/>
      <c r="AA212" s="111"/>
      <c r="AB212" s="111"/>
    </row>
    <row r="213" spans="1:28">
      <c r="A213">
        <v>2006</v>
      </c>
      <c r="B213" s="6">
        <f>SUM(B39:B50)</f>
        <v>1151360440</v>
      </c>
      <c r="C213" s="107">
        <f t="shared" si="19"/>
        <v>-23140910</v>
      </c>
      <c r="D213" s="109">
        <f t="shared" si="20"/>
        <v>-1.9702753002369899E-2</v>
      </c>
      <c r="E213" s="109">
        <f>RATE(3,0,-B$210,B213)</f>
        <v>-2.2503680894619967E-2</v>
      </c>
      <c r="F213"/>
      <c r="G213"/>
      <c r="H213" s="6">
        <f>SUM(H39:H50)</f>
        <v>1170881307.9356413</v>
      </c>
      <c r="I213" s="36">
        <f t="shared" si="14"/>
        <v>19520867.935641289</v>
      </c>
      <c r="J213" s="5">
        <f t="shared" si="15"/>
        <v>1.6954610613198841E-2</v>
      </c>
      <c r="L213" s="183"/>
      <c r="M213" s="407">
        <f t="shared" si="16"/>
        <v>1170881307.9356413</v>
      </c>
      <c r="N213" s="183"/>
      <c r="O213" s="407">
        <f t="shared" si="17"/>
        <v>1170881307.9356413</v>
      </c>
      <c r="P213" s="183"/>
      <c r="Q213" s="407">
        <f t="shared" si="18"/>
        <v>1170881307.9356413</v>
      </c>
      <c r="T213" s="111"/>
      <c r="U213" s="111"/>
      <c r="V213" s="111"/>
      <c r="W213" s="111"/>
      <c r="X213" s="111"/>
      <c r="Y213" s="111"/>
      <c r="Z213" s="111"/>
      <c r="AA213" s="111"/>
      <c r="AB213" s="111"/>
    </row>
    <row r="214" spans="1:28">
      <c r="A214" s="16">
        <v>2007</v>
      </c>
      <c r="B214" s="6">
        <f>SUM(B51:B62)</f>
        <v>1191153590</v>
      </c>
      <c r="C214" s="107">
        <f t="shared" si="19"/>
        <v>39793150</v>
      </c>
      <c r="D214" s="109">
        <f t="shared" si="20"/>
        <v>3.4561852759158546E-2</v>
      </c>
      <c r="E214" s="109">
        <f>RATE(4,0,-B$210,B214)</f>
        <v>-8.5393934317338754E-3</v>
      </c>
      <c r="F214"/>
      <c r="G214"/>
      <c r="H214" s="6">
        <f>SUM(H51:H62)</f>
        <v>1147471680.5230298</v>
      </c>
      <c r="I214" s="36">
        <f t="shared" si="14"/>
        <v>-43681909.476970196</v>
      </c>
      <c r="J214" s="5">
        <f t="shared" si="15"/>
        <v>-3.667193705638766E-2</v>
      </c>
      <c r="L214" s="183"/>
      <c r="M214" s="407">
        <f t="shared" si="16"/>
        <v>1147471680.5230298</v>
      </c>
      <c r="N214" s="183"/>
      <c r="O214" s="407">
        <f t="shared" si="17"/>
        <v>1147471680.5230298</v>
      </c>
      <c r="P214" s="183"/>
      <c r="Q214" s="407">
        <f t="shared" si="18"/>
        <v>1147471680.5230298</v>
      </c>
      <c r="T214" s="111"/>
      <c r="U214" s="111"/>
      <c r="V214" s="111"/>
      <c r="W214" s="111"/>
      <c r="X214" s="111"/>
      <c r="Y214" s="111"/>
      <c r="Z214" s="111"/>
      <c r="AA214" s="111"/>
      <c r="AB214" s="111"/>
    </row>
    <row r="215" spans="1:28">
      <c r="A215">
        <v>2008</v>
      </c>
      <c r="B215" s="6">
        <f>SUM(B63:B74)</f>
        <v>1158881926</v>
      </c>
      <c r="C215" s="107">
        <f t="shared" si="19"/>
        <v>-32271664</v>
      </c>
      <c r="D215" s="109">
        <f t="shared" si="20"/>
        <v>-2.70927815446537E-2</v>
      </c>
      <c r="E215" s="109">
        <f>RATE(5,0,-B$210,B215)</f>
        <v>-1.2278162500929547E-2</v>
      </c>
      <c r="F215"/>
      <c r="G215"/>
      <c r="H215" s="6">
        <f>SUM(H63:H74)</f>
        <v>1110172412.3567979</v>
      </c>
      <c r="I215" s="36">
        <f t="shared" si="14"/>
        <v>-48709513.643202066</v>
      </c>
      <c r="J215" s="5">
        <f t="shared" si="15"/>
        <v>-4.2031472361751261E-2</v>
      </c>
      <c r="L215" s="183"/>
      <c r="M215" s="407">
        <f t="shared" si="16"/>
        <v>1110172412.3567979</v>
      </c>
      <c r="N215" s="183"/>
      <c r="O215" s="407">
        <f t="shared" si="17"/>
        <v>1110172412.3567979</v>
      </c>
      <c r="P215" s="183"/>
      <c r="Q215" s="407">
        <f t="shared" si="18"/>
        <v>1110172412.3567979</v>
      </c>
      <c r="T215" s="111"/>
      <c r="U215" s="111"/>
      <c r="V215" s="111"/>
      <c r="W215" s="111"/>
      <c r="X215" s="111"/>
      <c r="Y215" s="111"/>
      <c r="Z215" s="111"/>
      <c r="AA215" s="111"/>
      <c r="AB215" s="111"/>
    </row>
    <row r="216" spans="1:28">
      <c r="A216" s="16">
        <v>2009</v>
      </c>
      <c r="B216" s="6">
        <f>SUM(B75:B86)</f>
        <v>1128390784.5107694</v>
      </c>
      <c r="C216" s="107">
        <f t="shared" si="19"/>
        <v>-30491141.489230633</v>
      </c>
      <c r="D216" s="109">
        <f t="shared" si="20"/>
        <v>-2.6310826672803447E-2</v>
      </c>
      <c r="E216" s="109">
        <f>RATE(6,0,-B$210,B216)</f>
        <v>-1.4630905973235077E-2</v>
      </c>
      <c r="F216"/>
      <c r="G216"/>
      <c r="H216" s="6">
        <f>SUM(H75:H86)</f>
        <v>1126724653.6746798</v>
      </c>
      <c r="I216" s="36">
        <f t="shared" si="14"/>
        <v>-1666130.8360896111</v>
      </c>
      <c r="J216" s="5">
        <f t="shared" si="15"/>
        <v>-1.4765548061543119E-3</v>
      </c>
      <c r="L216" s="183"/>
      <c r="M216" s="407">
        <f t="shared" si="16"/>
        <v>1126724653.6746798</v>
      </c>
      <c r="N216" s="183"/>
      <c r="O216" s="407">
        <f t="shared" si="17"/>
        <v>1126724653.6746798</v>
      </c>
      <c r="P216" s="183"/>
      <c r="Q216" s="407">
        <f t="shared" si="18"/>
        <v>1126724653.6746798</v>
      </c>
      <c r="T216" s="111"/>
      <c r="U216" s="111"/>
      <c r="V216" s="111"/>
      <c r="W216" s="111"/>
      <c r="X216" s="111"/>
      <c r="Y216" s="111"/>
      <c r="Z216" s="111"/>
      <c r="AA216" s="111"/>
      <c r="AB216" s="111"/>
    </row>
    <row r="217" spans="1:28">
      <c r="A217">
        <v>2010</v>
      </c>
      <c r="B217" s="6">
        <f>SUM(B87:B98)</f>
        <v>1148489331.8146157</v>
      </c>
      <c r="C217" s="107">
        <f t="shared" si="19"/>
        <v>20098547.303846359</v>
      </c>
      <c r="D217" s="109">
        <f t="shared" si="20"/>
        <v>1.781169039993568E-2</v>
      </c>
      <c r="E217" s="109">
        <f>RATE(7,0,-B$210,B217)</f>
        <v>-1.0060343960087228E-2</v>
      </c>
      <c r="F217"/>
      <c r="G217"/>
      <c r="H217" s="6">
        <f>SUM(H87:H98)</f>
        <v>1129720236.440757</v>
      </c>
      <c r="I217" s="36">
        <f t="shared" si="14"/>
        <v>-18769095.37385869</v>
      </c>
      <c r="J217" s="5">
        <f t="shared" si="15"/>
        <v>-1.6342420302854252E-2</v>
      </c>
      <c r="L217" s="183"/>
      <c r="M217" s="407">
        <f t="shared" si="16"/>
        <v>1129720236.440757</v>
      </c>
      <c r="N217" s="183"/>
      <c r="O217" s="407">
        <f t="shared" si="17"/>
        <v>1129720236.440757</v>
      </c>
      <c r="P217" s="183"/>
      <c r="Q217" s="407">
        <f t="shared" si="18"/>
        <v>1129720236.440757</v>
      </c>
      <c r="T217" s="111"/>
      <c r="U217" s="111"/>
      <c r="V217" s="111"/>
      <c r="W217" s="111"/>
      <c r="X217" s="111"/>
      <c r="Y217" s="111"/>
      <c r="Z217" s="111"/>
      <c r="AA217" s="111"/>
      <c r="AB217" s="111"/>
    </row>
    <row r="218" spans="1:28">
      <c r="A218">
        <v>2011</v>
      </c>
      <c r="B218" s="6">
        <f>SUM(B99:B110)</f>
        <v>1148632387.3953846</v>
      </c>
      <c r="C218" s="107">
        <f t="shared" si="19"/>
        <v>143055.58076882362</v>
      </c>
      <c r="D218" s="109">
        <f t="shared" si="20"/>
        <v>1.2455978197272019E-4</v>
      </c>
      <c r="E218" s="109">
        <f>RATE(8,0,-B$210,B218)</f>
        <v>-8.7929249231188996E-3</v>
      </c>
      <c r="F218"/>
      <c r="G218"/>
      <c r="H218" s="6">
        <f>SUM(H99:H110)</f>
        <v>1164987379.8152349</v>
      </c>
      <c r="I218" s="36">
        <f t="shared" si="14"/>
        <v>16354992.419850349</v>
      </c>
      <c r="J218" s="5">
        <f t="shared" si="15"/>
        <v>1.4238665563781113E-2</v>
      </c>
      <c r="L218" s="183"/>
      <c r="M218" s="407">
        <f t="shared" si="16"/>
        <v>1164987379.8152349</v>
      </c>
      <c r="N218" s="183"/>
      <c r="O218" s="407">
        <f t="shared" si="17"/>
        <v>1164987379.8152349</v>
      </c>
      <c r="P218" s="183"/>
      <c r="Q218" s="407">
        <f t="shared" si="18"/>
        <v>1164987379.8152349</v>
      </c>
      <c r="T218" s="111"/>
      <c r="U218" s="111"/>
      <c r="V218" s="111"/>
      <c r="W218" s="111"/>
      <c r="X218" s="111"/>
      <c r="Y218" s="111"/>
      <c r="Z218" s="111"/>
      <c r="AA218" s="111"/>
      <c r="AB218" s="111"/>
    </row>
    <row r="219" spans="1:28">
      <c r="A219">
        <v>2012</v>
      </c>
      <c r="B219" s="6">
        <f>SUM(B111:B122)</f>
        <v>1136211952.670979</v>
      </c>
      <c r="C219" s="107">
        <f t="shared" si="19"/>
        <v>-12420434.724405527</v>
      </c>
      <c r="D219" s="109">
        <f t="shared" si="20"/>
        <v>-1.0813237429748827E-2</v>
      </c>
      <c r="E219" s="109">
        <f>RATE(9,0,-B$210,B219)</f>
        <v>-9.0176077035169049E-3</v>
      </c>
      <c r="F219"/>
      <c r="G219"/>
      <c r="H219" s="6">
        <f>SUM(H111:H122)</f>
        <v>1150628519.5562067</v>
      </c>
      <c r="I219" s="36">
        <f t="shared" si="14"/>
        <v>14416566.88522768</v>
      </c>
      <c r="J219" s="5">
        <f t="shared" si="15"/>
        <v>1.268827251054486E-2</v>
      </c>
      <c r="L219" s="183"/>
      <c r="M219" s="407">
        <f t="shared" si="16"/>
        <v>1150628519.5562067</v>
      </c>
      <c r="N219" s="183"/>
      <c r="O219" s="407">
        <f t="shared" si="17"/>
        <v>1150628519.5562067</v>
      </c>
      <c r="P219" s="183"/>
      <c r="Q219" s="407">
        <f t="shared" si="18"/>
        <v>1150628519.5562067</v>
      </c>
      <c r="T219" s="111"/>
      <c r="U219" s="111"/>
      <c r="V219" s="111"/>
      <c r="W219" s="111"/>
      <c r="X219" s="111"/>
      <c r="Y219" s="111"/>
      <c r="Z219" s="111"/>
      <c r="AA219" s="111"/>
      <c r="AB219" s="111"/>
    </row>
    <row r="220" spans="1:28">
      <c r="A220">
        <v>2013</v>
      </c>
      <c r="B220" s="6">
        <f>SUM(B123:B134)</f>
        <v>1130407041.6666667</v>
      </c>
      <c r="C220" s="107">
        <f t="shared" si="19"/>
        <v>-5804911.0043122768</v>
      </c>
      <c r="D220" s="109">
        <f t="shared" si="20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1158628600.9002914</v>
      </c>
      <c r="I220" s="36">
        <f t="shared" ca="1" si="14"/>
        <v>28221559.233624697</v>
      </c>
      <c r="J220" s="5">
        <f t="shared" ca="1" si="15"/>
        <v>2.4965838139167078E-2</v>
      </c>
      <c r="L220" s="183"/>
      <c r="M220" s="407">
        <f t="shared" ca="1" si="16"/>
        <v>1158628600.9002914</v>
      </c>
      <c r="N220" s="183"/>
      <c r="O220" s="407">
        <f t="shared" ca="1" si="17"/>
        <v>1158628600.9002914</v>
      </c>
      <c r="P220" s="183"/>
      <c r="Q220" s="407">
        <f t="shared" ca="1" si="18"/>
        <v>1158628600.9002914</v>
      </c>
      <c r="T220" s="111"/>
      <c r="U220" s="111"/>
      <c r="V220" s="111"/>
      <c r="W220" s="111"/>
      <c r="X220" s="111"/>
      <c r="Y220" s="111"/>
      <c r="Z220" s="111"/>
      <c r="AA220" s="111"/>
      <c r="AB220" s="111"/>
    </row>
    <row r="221" spans="1:28">
      <c r="A221">
        <v>2014</v>
      </c>
      <c r="B221" s="6">
        <f ca="1">+H221</f>
        <v>1156797103.0125825</v>
      </c>
      <c r="C221" s="107">
        <f t="shared" ca="1" si="19"/>
        <v>26390061.345915794</v>
      </c>
      <c r="D221" s="109">
        <f t="shared" ca="1" si="20"/>
        <v>2.3345627170728179E-2</v>
      </c>
      <c r="E221" s="109">
        <f ca="1">RATE(11,0,-B$210,B221)</f>
        <v>-5.7625528515654221E-3</v>
      </c>
      <c r="F221"/>
      <c r="G221"/>
      <c r="H221" s="6">
        <f ca="1">SUM(H135:H146)</f>
        <v>1156797103.0125825</v>
      </c>
      <c r="I221" s="36">
        <f t="shared" ca="1" si="14"/>
        <v>0</v>
      </c>
      <c r="J221" s="5">
        <f t="shared" ca="1" si="15"/>
        <v>0</v>
      </c>
      <c r="L221" s="6">
        <f>+' CDM Summary'!J19</f>
        <v>37287880.640079185</v>
      </c>
      <c r="M221" s="407">
        <f t="shared" ca="1" si="16"/>
        <v>1119509222.3725033</v>
      </c>
      <c r="N221" s="6">
        <f>+' CDM Summary'!J18</f>
        <v>0</v>
      </c>
      <c r="O221" s="407">
        <f t="shared" ca="1" si="17"/>
        <v>1119509222.3725033</v>
      </c>
      <c r="P221" s="6">
        <f ca="1">+'City Expansion'!C104*'Rate Class Energy Model'!$F$25</f>
        <v>0</v>
      </c>
      <c r="Q221" s="407">
        <f t="shared" ca="1" si="18"/>
        <v>1119509222.3725033</v>
      </c>
      <c r="T221" s="111"/>
      <c r="U221" s="111"/>
      <c r="V221" s="111"/>
      <c r="W221" s="111"/>
      <c r="X221" s="111"/>
      <c r="Y221" s="111"/>
      <c r="Z221" s="111"/>
      <c r="AA221" s="111"/>
      <c r="AB221" s="111"/>
    </row>
    <row r="222" spans="1:28">
      <c r="A222">
        <v>2015</v>
      </c>
      <c r="B222" s="6">
        <f t="shared" ref="B222:B224" ca="1" si="21">+H222</f>
        <v>1156797103.0125825</v>
      </c>
      <c r="C222" s="107">
        <f t="shared" ca="1" si="19"/>
        <v>0</v>
      </c>
      <c r="D222" s="109">
        <f t="shared" ca="1" si="20"/>
        <v>0</v>
      </c>
      <c r="E222" s="109">
        <f ca="1">RATE(12,0,-B$210,B222)</f>
        <v>-5.2836110846701924E-3</v>
      </c>
      <c r="F222"/>
      <c r="G222"/>
      <c r="H222" s="6">
        <f ca="1">SUM(H147:H158)</f>
        <v>1156797103.0125825</v>
      </c>
      <c r="I222" s="36">
        <f t="shared" ca="1" si="14"/>
        <v>0</v>
      </c>
      <c r="J222" s="5">
        <f t="shared" ca="1" si="15"/>
        <v>0</v>
      </c>
      <c r="L222" s="6">
        <f ca="1">+' CDM Summary'!K$19</f>
        <v>41690292.043910623</v>
      </c>
      <c r="M222" s="407">
        <f t="shared" ca="1" si="16"/>
        <v>1115106810.9686718</v>
      </c>
      <c r="N222" s="6">
        <f ca="1">+' CDM Summary'!K$18</f>
        <v>2420722.3546389453</v>
      </c>
      <c r="O222" s="407">
        <f t="shared" ca="1" si="17"/>
        <v>1112686088.6140327</v>
      </c>
      <c r="P222" s="6">
        <f ca="1">+'City Expansion'!C105*'Rate Class Energy Model'!$F$25</f>
        <v>26157262.690238539</v>
      </c>
      <c r="Q222" s="407">
        <f t="shared" ca="1" si="18"/>
        <v>1138843351.3042712</v>
      </c>
      <c r="T222" s="111"/>
      <c r="U222" s="111"/>
      <c r="V222" s="111"/>
      <c r="W222" s="111"/>
      <c r="X222" s="111"/>
      <c r="Y222" s="111"/>
      <c r="Z222" s="111"/>
      <c r="AA222" s="111"/>
      <c r="AB222" s="111"/>
    </row>
    <row r="223" spans="1:28">
      <c r="A223">
        <v>2016</v>
      </c>
      <c r="B223" s="6">
        <f t="shared" ca="1" si="21"/>
        <v>1159631634.1684339</v>
      </c>
      <c r="C223" s="107">
        <f t="shared" ca="1" si="19"/>
        <v>2834531.1558513641</v>
      </c>
      <c r="D223" s="109">
        <f t="shared" ca="1" si="20"/>
        <v>2.4503269834178802E-3</v>
      </c>
      <c r="E223" s="109">
        <f ca="1">RATE(13,0,-B$210,B223)</f>
        <v>-4.6908170382757913E-3</v>
      </c>
      <c r="F223"/>
      <c r="G223"/>
      <c r="H223" s="6">
        <f ca="1">SUM(H159:H170)</f>
        <v>1159631634.1684339</v>
      </c>
      <c r="I223" s="36">
        <f t="shared" ca="1" si="14"/>
        <v>0</v>
      </c>
      <c r="J223" s="5">
        <f t="shared" ca="1" si="15"/>
        <v>0</v>
      </c>
      <c r="L223" s="6">
        <f ca="1">+' CDM Summary'!L$19</f>
        <v>48359546.040443286</v>
      </c>
      <c r="M223" s="407">
        <f t="shared" ca="1" si="16"/>
        <v>1111272088.1279907</v>
      </c>
      <c r="N223" s="6">
        <f ca="1">+' CDM Summary'!L$18</f>
        <v>4881743.9510676563</v>
      </c>
      <c r="O223" s="407">
        <f t="shared" ca="1" si="17"/>
        <v>1106390344.176923</v>
      </c>
      <c r="P223" s="6">
        <f ca="1">+'City Expansion'!C106*'Rate Class Energy Model'!$F$25</f>
        <v>53649599.577929974</v>
      </c>
      <c r="Q223" s="407">
        <f t="shared" ca="1" si="18"/>
        <v>1160039943.754853</v>
      </c>
      <c r="T223" s="111"/>
      <c r="U223" s="111"/>
      <c r="V223" s="111"/>
      <c r="W223" s="111"/>
      <c r="X223" s="111"/>
      <c r="Y223" s="111"/>
      <c r="Z223" s="111"/>
      <c r="AA223" s="111"/>
      <c r="AB223" s="111"/>
    </row>
    <row r="224" spans="1:28">
      <c r="A224">
        <v>2017</v>
      </c>
      <c r="B224" s="6">
        <f t="shared" ca="1" si="21"/>
        <v>1156797103.0125825</v>
      </c>
      <c r="C224" s="107">
        <f t="shared" ca="1" si="19"/>
        <v>-2834531.1558513641</v>
      </c>
      <c r="D224" s="109">
        <f t="shared" ca="1" si="20"/>
        <v>-2.4443375571450258E-3</v>
      </c>
      <c r="E224" s="109">
        <f ca="1">RATE(14,0,-B$210,B224)</f>
        <v>-4.5305221274447175E-3</v>
      </c>
      <c r="F224"/>
      <c r="G224"/>
      <c r="H224" s="6">
        <f ca="1">SUM(H171:H182)</f>
        <v>1156797103.0125825</v>
      </c>
      <c r="I224" s="36">
        <f t="shared" ca="1" si="14"/>
        <v>0</v>
      </c>
      <c r="J224" s="5">
        <f t="shared" ca="1" si="15"/>
        <v>0</v>
      </c>
      <c r="L224" s="6">
        <f ca="1">+' CDM Summary'!M$19</f>
        <v>56377572.837834381</v>
      </c>
      <c r="M224" s="407">
        <f t="shared" ca="1" si="16"/>
        <v>1100419530.1747482</v>
      </c>
      <c r="N224" s="6">
        <f ca="1">+' CDM Summary'!M$18</f>
        <v>4922378.6358886575</v>
      </c>
      <c r="O224" s="407">
        <f t="shared" ca="1" si="17"/>
        <v>1095497151.5388596</v>
      </c>
      <c r="P224" s="6">
        <f ca="1">+'City Expansion'!C107*'Rate Class Energy Model'!$F$25</f>
        <v>80773260.960848227</v>
      </c>
      <c r="Q224" s="407">
        <f t="shared" ca="1" si="18"/>
        <v>1176270412.4997079</v>
      </c>
      <c r="T224" s="111"/>
      <c r="U224" s="111"/>
      <c r="V224" s="111"/>
      <c r="W224" s="111"/>
      <c r="X224" s="111"/>
      <c r="Y224" s="111"/>
      <c r="Z224" s="111"/>
      <c r="AA224" s="111"/>
      <c r="AB224" s="111"/>
    </row>
    <row r="225" spans="1:28">
      <c r="A225">
        <v>2018</v>
      </c>
      <c r="B225" s="6">
        <f ca="1">+H225</f>
        <v>1156797103.0125825</v>
      </c>
      <c r="C225" s="107">
        <f t="shared" ca="1" si="19"/>
        <v>0</v>
      </c>
      <c r="D225" s="109">
        <f t="shared" ca="1" si="20"/>
        <v>0</v>
      </c>
      <c r="E225" s="109">
        <f ca="1">RATE(15,0,-B$210,B225)</f>
        <v>-4.2291269251920269E-3</v>
      </c>
      <c r="F225"/>
      <c r="G225"/>
      <c r="H225" s="6">
        <f ca="1">SUM(H183:H194)</f>
        <v>1156797103.0125825</v>
      </c>
      <c r="I225" s="36">
        <f ca="1">H225-B225</f>
        <v>0</v>
      </c>
      <c r="J225" s="5">
        <f t="shared" ca="1" si="15"/>
        <v>0</v>
      </c>
      <c r="L225" s="6">
        <f ca="1">+' CDM Summary'!N$19</f>
        <v>65235277.852556206</v>
      </c>
      <c r="M225" s="407">
        <f t="shared" ca="1" si="16"/>
        <v>1091561825.1600263</v>
      </c>
      <c r="N225" s="6">
        <f ca="1">+' CDM Summary'!N$18</f>
        <v>4963351.5559032811</v>
      </c>
      <c r="O225" s="407">
        <f t="shared" ca="1" si="17"/>
        <v>1086598473.6041231</v>
      </c>
      <c r="P225" s="6">
        <f ca="1">+'City Expansion'!C108*'Rate Class Energy Model'!$F$25</f>
        <v>109183825.80827054</v>
      </c>
      <c r="Q225" s="407">
        <f t="shared" ca="1" si="18"/>
        <v>1195782299.4123936</v>
      </c>
      <c r="T225" s="111"/>
      <c r="U225" s="111"/>
      <c r="V225" s="111"/>
      <c r="W225" s="111"/>
      <c r="X225" s="111"/>
      <c r="Y225" s="111"/>
      <c r="Z225" s="111"/>
      <c r="AA225" s="111"/>
      <c r="AB225" s="111"/>
    </row>
    <row r="226" spans="1:28">
      <c r="A226">
        <v>2019</v>
      </c>
      <c r="B226" s="6">
        <f ca="1">+H226</f>
        <v>1156797103.0125825</v>
      </c>
      <c r="C226" s="107">
        <f t="shared" ca="1" si="19"/>
        <v>0</v>
      </c>
      <c r="D226" s="109">
        <f t="shared" ca="1" si="20"/>
        <v>0</v>
      </c>
      <c r="E226" s="109">
        <f ca="1">RATE(16,0,-B$210,B226)</f>
        <v>-3.965331268607486E-3</v>
      </c>
      <c r="F226"/>
      <c r="G226"/>
      <c r="H226" s="6">
        <f ca="1">SUM(H195:H206)</f>
        <v>1156797103.0125825</v>
      </c>
      <c r="I226" s="36">
        <f ca="1">H226-B226</f>
        <v>0</v>
      </c>
      <c r="J226" s="5">
        <f t="shared" ca="1" si="15"/>
        <v>0</v>
      </c>
      <c r="L226" s="6">
        <f ca="1">+' CDM Summary'!O$19</f>
        <v>76419170.075954989</v>
      </c>
      <c r="M226" s="407">
        <f t="shared" ca="1" si="16"/>
        <v>1080377932.9366276</v>
      </c>
      <c r="N226" s="6">
        <f ca="1">+' CDM Summary'!O$18</f>
        <v>5004665.5265153311</v>
      </c>
      <c r="O226" s="407">
        <f t="shared" ca="1" si="17"/>
        <v>1075373267.4101124</v>
      </c>
      <c r="P226" s="6">
        <f ca="1">+'City Expansion'!C109*'Rate Class Energy Model'!$F$25</f>
        <v>138107544.65207192</v>
      </c>
      <c r="Q226" s="407">
        <f t="shared" ca="1" si="18"/>
        <v>1213480812.0621843</v>
      </c>
      <c r="T226" s="111"/>
      <c r="U226" s="111"/>
      <c r="V226" s="111"/>
      <c r="W226" s="111"/>
      <c r="X226" s="111"/>
      <c r="Y226" s="111"/>
      <c r="Z226" s="111"/>
      <c r="AA226" s="111"/>
      <c r="AB226" s="111"/>
    </row>
    <row r="227" spans="1:28">
      <c r="A227"/>
      <c r="B227" s="6"/>
      <c r="C227" s="101"/>
      <c r="D227" s="180"/>
      <c r="E227" s="34"/>
      <c r="F227" s="180"/>
      <c r="G227" s="180"/>
      <c r="H227" s="6"/>
      <c r="I227" s="180"/>
      <c r="J227" s="180"/>
      <c r="L227"/>
      <c r="M227"/>
      <c r="N227"/>
      <c r="T227" s="111"/>
      <c r="U227" s="111"/>
      <c r="V227" s="111"/>
      <c r="W227" s="111"/>
      <c r="X227" s="111"/>
      <c r="Y227" s="111"/>
      <c r="Z227" s="111"/>
      <c r="AA227" s="111"/>
      <c r="AB227" s="111"/>
    </row>
    <row r="228" spans="1:28">
      <c r="A228" t="s">
        <v>9</v>
      </c>
      <c r="B228" s="6">
        <f ca="1">SUM(B210:B226)</f>
        <v>19722811313.289757</v>
      </c>
      <c r="C228" s="101"/>
      <c r="D228" s="180"/>
      <c r="E228" s="34"/>
      <c r="F228" s="180"/>
      <c r="G228" s="180"/>
      <c r="H228" s="6">
        <f ca="1">SUM(H210:H226)</f>
        <v>19722811313.289757</v>
      </c>
      <c r="I228" s="184">
        <f ca="1">H228-B228</f>
        <v>0</v>
      </c>
      <c r="J228" s="180"/>
      <c r="L228"/>
      <c r="M228"/>
      <c r="N228"/>
      <c r="T228" s="111"/>
      <c r="U228" s="111"/>
      <c r="V228" s="111"/>
      <c r="W228" s="111"/>
      <c r="X228" s="111"/>
      <c r="Y228" s="111"/>
      <c r="Z228" s="111"/>
      <c r="AA228" s="111"/>
      <c r="AB228" s="111"/>
    </row>
    <row r="229" spans="1:28">
      <c r="A229"/>
      <c r="B229" s="6"/>
      <c r="C229" s="180"/>
      <c r="D229" s="180"/>
      <c r="E229" s="34"/>
      <c r="F229" s="180"/>
      <c r="G229" s="180"/>
      <c r="H229" s="180"/>
      <c r="I229" s="62"/>
      <c r="J229" s="180"/>
      <c r="T229" s="111"/>
      <c r="U229" s="111"/>
      <c r="V229" s="111"/>
      <c r="W229" s="111"/>
      <c r="X229" s="111"/>
      <c r="Y229" s="111"/>
      <c r="Z229" s="111"/>
      <c r="AA229" s="111"/>
      <c r="AB229" s="111"/>
    </row>
    <row r="230" spans="1:28">
      <c r="A230"/>
      <c r="B230" s="6"/>
      <c r="C230" s="180"/>
      <c r="D230" s="180"/>
      <c r="E230" s="34"/>
      <c r="F230" s="180"/>
      <c r="G230" s="180"/>
      <c r="H230" s="6">
        <f ca="1">SUM(H210:H226)</f>
        <v>19722811313.289757</v>
      </c>
      <c r="I230" s="184">
        <f ca="1">H208-H230</f>
        <v>0</v>
      </c>
      <c r="J230" s="180"/>
      <c r="T230" s="111"/>
      <c r="U230" s="111"/>
      <c r="V230" s="111"/>
      <c r="W230" s="111"/>
      <c r="X230" s="111"/>
      <c r="Y230" s="111"/>
      <c r="Z230" s="111"/>
      <c r="AA230" s="111"/>
      <c r="AB230" s="111"/>
    </row>
    <row r="231" spans="1:28">
      <c r="A231"/>
      <c r="B231" s="6"/>
      <c r="C231" s="180"/>
      <c r="D231" s="180"/>
      <c r="E231" s="34"/>
      <c r="F231" s="180"/>
      <c r="G231" s="180"/>
      <c r="H231" s="23"/>
      <c r="I231" s="185" t="s">
        <v>69</v>
      </c>
      <c r="J231" s="18"/>
      <c r="T231" s="111"/>
      <c r="U231" s="111"/>
      <c r="V231" s="111"/>
      <c r="W231" s="111"/>
      <c r="X231" s="111"/>
      <c r="Y231" s="111"/>
      <c r="Z231" s="111"/>
      <c r="AA231" s="111"/>
      <c r="AB231" s="111"/>
    </row>
    <row r="232" spans="1:28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  <c r="U232" s="111"/>
      <c r="V232" s="111"/>
      <c r="W232" s="111"/>
      <c r="X232" s="111"/>
      <c r="Y232" s="111"/>
      <c r="Z232" s="111"/>
      <c r="AA232" s="111"/>
      <c r="AB232" s="111"/>
    </row>
    <row r="233" spans="1:28">
      <c r="B233" s="111"/>
      <c r="C233" s="111"/>
      <c r="D233" s="111"/>
      <c r="E233" s="113"/>
      <c r="F233" s="111"/>
      <c r="G233" s="111"/>
      <c r="H233" s="111"/>
      <c r="I233" s="112"/>
      <c r="J233" s="112"/>
      <c r="T233" s="111"/>
      <c r="U233" s="111"/>
      <c r="V233" s="111"/>
      <c r="W233" s="111"/>
      <c r="X233" s="111"/>
      <c r="Y233" s="111"/>
      <c r="Z233" s="111"/>
      <c r="AA233" s="111"/>
      <c r="AB233" s="111"/>
    </row>
    <row r="234" spans="1:28">
      <c r="B234" s="111"/>
      <c r="C234" s="112"/>
      <c r="D234" s="112"/>
      <c r="E234" s="113"/>
      <c r="F234" s="112"/>
      <c r="G234" s="112"/>
      <c r="H234" s="111"/>
      <c r="I234" s="112"/>
      <c r="J234" s="112"/>
      <c r="T234" s="111"/>
      <c r="U234" s="111"/>
      <c r="V234" s="111"/>
      <c r="W234" s="111"/>
      <c r="X234" s="111"/>
      <c r="Y234" s="111"/>
      <c r="Z234" s="111"/>
      <c r="AA234" s="111"/>
      <c r="AB234" s="111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B232"/>
  <sheetViews>
    <sheetView topLeftCell="I208" workbookViewId="0"/>
  </sheetViews>
  <sheetFormatPr defaultColWidth="9.109375" defaultRowHeight="13.2"/>
  <cols>
    <col min="1" max="1" width="11.88671875" style="110" customWidth="1"/>
    <col min="2" max="2" width="18" style="110" customWidth="1"/>
    <col min="3" max="3" width="13.44140625" style="110" bestFit="1" customWidth="1"/>
    <col min="4" max="4" width="13.44140625" style="110" customWidth="1"/>
    <col min="5" max="5" width="14.44140625" style="110" customWidth="1"/>
    <col min="6" max="6" width="14" style="110" bestFit="1" customWidth="1"/>
    <col min="7" max="7" width="12.6640625" style="110" bestFit="1" customWidth="1"/>
    <col min="8" max="8" width="17.5546875" style="110" bestFit="1" customWidth="1"/>
    <col min="9" max="9" width="17" style="110" customWidth="1"/>
    <col min="10" max="10" width="13" style="110" customWidth="1"/>
    <col min="11" max="11" width="2.5546875" style="110" customWidth="1"/>
    <col min="12" max="12" width="30.44140625" style="110" bestFit="1" customWidth="1"/>
    <col min="13" max="13" width="15.5546875" style="110" bestFit="1" customWidth="1"/>
    <col min="14" max="14" width="25.109375" style="110" bestFit="1" customWidth="1"/>
    <col min="15" max="15" width="24.109375" style="110" bestFit="1" customWidth="1"/>
    <col min="16" max="16" width="17.109375" style="110" bestFit="1" customWidth="1"/>
    <col min="17" max="17" width="17.88671875" style="110" bestFit="1" customWidth="1"/>
    <col min="18" max="18" width="17.109375" style="110" bestFit="1" customWidth="1"/>
    <col min="19" max="19" width="15.5546875" style="110" bestFit="1" customWidth="1"/>
    <col min="20" max="20" width="14.5546875" style="110" bestFit="1" customWidth="1"/>
    <col min="21" max="21" width="11.33203125" style="110" customWidth="1"/>
    <col min="22" max="22" width="11.5546875" style="110" customWidth="1"/>
    <col min="23" max="23" width="9.33203125" style="110" customWidth="1"/>
    <col min="24" max="24" width="9.109375" style="110"/>
    <col min="25" max="25" width="11.6640625" style="110" bestFit="1" customWidth="1"/>
    <col min="26" max="26" width="10.6640625" style="110" bestFit="1" customWidth="1"/>
    <col min="27" max="16384" width="9.109375" style="110"/>
  </cols>
  <sheetData>
    <row r="1" spans="1:28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9.6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3.8" thickBot="1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4.7E-2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122651411.26094845</v>
      </c>
      <c r="I3" s="118">
        <f t="shared" ref="I3:I66" si="0">H3-B3</f>
        <v>-3360478.7390515506</v>
      </c>
      <c r="J3" s="5">
        <f t="shared" ref="J3:J66" si="1">I3/B3</f>
        <v>-2.6667949659762668E-2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4.7E-2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110152574.36842072</v>
      </c>
      <c r="I4" s="118">
        <f t="shared" si="0"/>
        <v>-2428425.6315792799</v>
      </c>
      <c r="J4" s="5">
        <f t="shared" si="1"/>
        <v>-2.157047487213011E-2</v>
      </c>
      <c r="K4"/>
      <c r="L4" s="53" t="s">
        <v>19</v>
      </c>
      <c r="M4" s="350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4.7E-2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106849865.20202516</v>
      </c>
      <c r="I5" s="118">
        <f t="shared" si="0"/>
        <v>-3686564.7979748398</v>
      </c>
      <c r="J5" s="5">
        <f t="shared" si="1"/>
        <v>-3.335158189906115E-2</v>
      </c>
      <c r="K5"/>
      <c r="L5" s="35" t="s">
        <v>20</v>
      </c>
      <c r="M5" s="95">
        <v>0.93389289150136334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96085294.514500573</v>
      </c>
      <c r="I6" s="118">
        <f t="shared" si="0"/>
        <v>-1627645.4854994267</v>
      </c>
      <c r="J6" s="5">
        <f t="shared" si="1"/>
        <v>-1.6657420045895936E-2</v>
      </c>
      <c r="K6"/>
      <c r="L6" s="35" t="s">
        <v>21</v>
      </c>
      <c r="M6" s="95">
        <v>0.87215593279677717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90411362.537167072</v>
      </c>
      <c r="I7" s="118">
        <f t="shared" si="0"/>
        <v>150212.5371670723</v>
      </c>
      <c r="J7" s="5">
        <f t="shared" si="1"/>
        <v>1.6641992392859197E-3</v>
      </c>
      <c r="K7"/>
      <c r="L7" s="35" t="s">
        <v>22</v>
      </c>
      <c r="M7" s="95">
        <v>0.86708275552680802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93662316.51634191</v>
      </c>
      <c r="I8" s="118">
        <f t="shared" si="0"/>
        <v>1186276.5163419098</v>
      </c>
      <c r="J8" s="5">
        <f t="shared" si="1"/>
        <v>1.2827933769027196E-2</v>
      </c>
      <c r="K8"/>
      <c r="L8" s="35" t="s">
        <v>23</v>
      </c>
      <c r="M8" s="67">
        <v>3802571.653620691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3.8" thickBot="1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5.2000000000000005E-2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98975274.728541389</v>
      </c>
      <c r="I9" s="118">
        <f t="shared" si="0"/>
        <v>-1396355.2714586109</v>
      </c>
      <c r="J9" s="5">
        <f t="shared" si="1"/>
        <v>-1.3911852098631963E-2</v>
      </c>
      <c r="K9"/>
      <c r="L9" s="51" t="s">
        <v>24</v>
      </c>
      <c r="M9" s="68">
        <v>132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5.2000000000000005E-2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105820820.86804268</v>
      </c>
      <c r="I10" s="118">
        <f t="shared" si="0"/>
        <v>4313140.8680426776</v>
      </c>
      <c r="J10" s="5">
        <f t="shared" si="1"/>
        <v>4.2490783633737643E-2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3.8" thickBot="1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5.2000000000000005E-2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84298838.82912071</v>
      </c>
      <c r="I11" s="118">
        <f t="shared" si="0"/>
        <v>-7042161.1708792895</v>
      </c>
      <c r="J11" s="5">
        <f t="shared" si="1"/>
        <v>-7.7097482739178352E-2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4.7E-2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95494540.17104502</v>
      </c>
      <c r="I12" s="118">
        <f t="shared" si="0"/>
        <v>-177709.82895497978</v>
      </c>
      <c r="J12" s="5">
        <f t="shared" si="1"/>
        <v>-1.8574856236262844E-3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4.7E-2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96591007.319765612</v>
      </c>
      <c r="I13" s="118">
        <f t="shared" si="0"/>
        <v>-4813912.6802343875</v>
      </c>
      <c r="J13" s="5">
        <f t="shared" si="1"/>
        <v>-4.747218064206734E-2</v>
      </c>
      <c r="K13"/>
      <c r="L13" s="35" t="s">
        <v>26</v>
      </c>
      <c r="M13" s="67">
        <v>5</v>
      </c>
      <c r="N13" s="67">
        <v>1.2429078146617112E+16</v>
      </c>
      <c r="O13" s="67">
        <v>2485815629323422.5</v>
      </c>
      <c r="P13" s="67">
        <v>171.91513057498165</v>
      </c>
      <c r="Q13" s="67">
        <v>1.6650378552635689E-54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4.7E-2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113102980.24126291</v>
      </c>
      <c r="I14" s="118">
        <f t="shared" si="0"/>
        <v>255740.24126291275</v>
      </c>
      <c r="J14" s="5">
        <f t="shared" si="1"/>
        <v>2.2662516270926321E-3</v>
      </c>
      <c r="K14"/>
      <c r="L14" s="35" t="s">
        <v>27</v>
      </c>
      <c r="M14" s="67">
        <v>126</v>
      </c>
      <c r="N14" s="67">
        <v>1821903448795869</v>
      </c>
      <c r="O14" s="67">
        <v>14459551180919.596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3.8" thickBot="1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0.05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123983231.57523879</v>
      </c>
      <c r="I15" s="118">
        <f t="shared" si="0"/>
        <v>-3213108.4247612059</v>
      </c>
      <c r="J15" s="5">
        <f t="shared" si="1"/>
        <v>-2.5261013208093926E-2</v>
      </c>
      <c r="K15"/>
      <c r="L15" s="51" t="s">
        <v>9</v>
      </c>
      <c r="M15" s="68">
        <v>131</v>
      </c>
      <c r="N15" s="68">
        <v>1.425098159541298E+16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3.8" thickBot="1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0.05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109753506.97002482</v>
      </c>
      <c r="I16" s="118">
        <f t="shared" si="0"/>
        <v>825236.97002482414</v>
      </c>
      <c r="J16" s="5">
        <f t="shared" si="1"/>
        <v>7.5759669186412689E-3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0.05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103034045.24413849</v>
      </c>
      <c r="I17" s="118">
        <f t="shared" si="0"/>
        <v>-2030104.7558615059</v>
      </c>
      <c r="J17" s="5">
        <f t="shared" si="1"/>
        <v>-1.9322525865021568E-2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5.4000000000000006E-2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93978095.457351938</v>
      </c>
      <c r="I18" s="118">
        <f t="shared" si="0"/>
        <v>2655715.4573519379</v>
      </c>
      <c r="J18" s="5">
        <f t="shared" si="1"/>
        <v>2.9080664097365157E-2</v>
      </c>
      <c r="K18"/>
      <c r="L18" s="35" t="s">
        <v>28</v>
      </c>
      <c r="M18" s="67">
        <v>9279404.3166922294</v>
      </c>
      <c r="N18" s="67">
        <v>13037924.908072893</v>
      </c>
      <c r="O18" s="67">
        <v>0.71172401913026495</v>
      </c>
      <c r="P18" s="67">
        <v>0.47795135276555889</v>
      </c>
      <c r="Q18" s="67">
        <v>-16522265.787345368</v>
      </c>
      <c r="R18" s="67">
        <v>35081074.420729831</v>
      </c>
      <c r="S18" s="67">
        <v>-16522265.787345368</v>
      </c>
      <c r="T18" s="67">
        <v>35081074.420729831</v>
      </c>
      <c r="U18" s="111"/>
      <c r="V18" s="111"/>
      <c r="W18" s="111"/>
      <c r="X18" s="111"/>
      <c r="Y18" s="111"/>
      <c r="Z18" s="111"/>
      <c r="AA18" s="111"/>
      <c r="AB18" s="111"/>
    </row>
    <row r="19" spans="1:28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5.4000000000000006E-2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90086965.571162418</v>
      </c>
      <c r="I19" s="118">
        <f t="shared" si="0"/>
        <v>3201715.5711624175</v>
      </c>
      <c r="J19" s="5">
        <f t="shared" si="1"/>
        <v>3.6849932194042347E-2</v>
      </c>
      <c r="K19"/>
      <c r="L19" s="35" t="s">
        <v>3</v>
      </c>
      <c r="M19" s="67">
        <v>40153.200250990565</v>
      </c>
      <c r="N19" s="67">
        <v>2055.4628325509125</v>
      </c>
      <c r="O19" s="67">
        <v>19.534870499778787</v>
      </c>
      <c r="P19" s="67">
        <v>6.1180883969573391E-40</v>
      </c>
      <c r="Q19" s="67">
        <v>36085.499731887925</v>
      </c>
      <c r="R19" s="67">
        <v>44220.900770093205</v>
      </c>
      <c r="S19" s="67">
        <v>36085.499731887925</v>
      </c>
      <c r="T19" s="67">
        <v>44220.900770093205</v>
      </c>
      <c r="U19" s="111"/>
      <c r="V19" s="111"/>
      <c r="W19" s="111"/>
      <c r="X19" s="111"/>
      <c r="Y19" s="111"/>
      <c r="Z19" s="111"/>
      <c r="AA19" s="111"/>
      <c r="AB19" s="111"/>
    </row>
    <row r="20" spans="1:28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5.4000000000000006E-2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92484147.59341082</v>
      </c>
      <c r="I20" s="118">
        <f t="shared" si="0"/>
        <v>5607647.5934108198</v>
      </c>
      <c r="J20" s="5">
        <f t="shared" si="1"/>
        <v>6.4547347020319876E-2</v>
      </c>
      <c r="K20"/>
      <c r="L20" s="35" t="s">
        <v>4</v>
      </c>
      <c r="M20" s="67">
        <v>140439.36916290395</v>
      </c>
      <c r="N20" s="67">
        <v>15308.980574394665</v>
      </c>
      <c r="O20" s="67">
        <v>9.1736591133833283</v>
      </c>
      <c r="P20" s="67">
        <v>1.1165759546625169E-15</v>
      </c>
      <c r="Q20" s="67">
        <v>110143.34665973134</v>
      </c>
      <c r="R20" s="67">
        <v>170735.39166607658</v>
      </c>
      <c r="S20" s="67">
        <v>110143.34665973134</v>
      </c>
      <c r="T20" s="67">
        <v>170735.39166607658</v>
      </c>
      <c r="U20" s="111"/>
      <c r="V20" s="111"/>
      <c r="W20" s="111"/>
      <c r="X20" s="111"/>
      <c r="Y20" s="111"/>
      <c r="Z20" s="111"/>
      <c r="AA20" s="111"/>
      <c r="AB20" s="111"/>
    </row>
    <row r="21" spans="1:28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5.5E-2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99872452.796622276</v>
      </c>
      <c r="I21" s="118">
        <f t="shared" si="0"/>
        <v>6968922.7966222763</v>
      </c>
      <c r="J21" s="5">
        <f t="shared" si="1"/>
        <v>7.5012465044355978E-2</v>
      </c>
      <c r="K21"/>
      <c r="L21" s="35" t="s">
        <v>218</v>
      </c>
      <c r="M21" s="67">
        <v>-128912218.81735335</v>
      </c>
      <c r="N21" s="67">
        <v>21115286.453336772</v>
      </c>
      <c r="O21" s="67">
        <v>-6.105160784924224</v>
      </c>
      <c r="P21" s="67">
        <v>1.1764889214566896E-8</v>
      </c>
      <c r="Q21" s="67">
        <v>-170698749.96111774</v>
      </c>
      <c r="R21" s="67">
        <v>-87125687.673588961</v>
      </c>
      <c r="S21" s="67">
        <v>-170698749.96111774</v>
      </c>
      <c r="T21" s="67">
        <v>-87125687.673588961</v>
      </c>
      <c r="U21" s="111"/>
      <c r="V21" s="111"/>
      <c r="W21" s="111"/>
      <c r="X21" s="111"/>
      <c r="Y21" s="111"/>
      <c r="Z21" s="111"/>
      <c r="AA21" s="111"/>
      <c r="AB21" s="111"/>
    </row>
    <row r="22" spans="1:28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5.5E-2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98374251.025182113</v>
      </c>
      <c r="I22" s="118">
        <f t="shared" si="0"/>
        <v>4252491.0251821131</v>
      </c>
      <c r="J22" s="5">
        <f t="shared" si="1"/>
        <v>4.5180742744102033E-2</v>
      </c>
      <c r="K22"/>
      <c r="L22" s="35" t="s">
        <v>5</v>
      </c>
      <c r="M22" s="67">
        <v>2834531.1558513953</v>
      </c>
      <c r="N22" s="67">
        <v>427048.99591481709</v>
      </c>
      <c r="O22" s="67">
        <v>6.637484651566294</v>
      </c>
      <c r="P22" s="67">
        <v>8.5306677629250904E-10</v>
      </c>
      <c r="Q22" s="67">
        <v>1989413.7473263573</v>
      </c>
      <c r="R22" s="67">
        <v>3679648.5643764334</v>
      </c>
      <c r="S22" s="67">
        <v>1989413.7473263573</v>
      </c>
      <c r="T22" s="67">
        <v>3679648.5643764334</v>
      </c>
      <c r="U22" s="111"/>
      <c r="V22" s="111"/>
      <c r="W22" s="111"/>
      <c r="X22" s="111"/>
      <c r="Y22" s="111"/>
      <c r="Z22" s="111"/>
      <c r="AA22" s="111"/>
      <c r="AB22" s="111"/>
    </row>
    <row r="23" spans="1:28" ht="13.8" thickBot="1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5.5E-2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85420448.759058684</v>
      </c>
      <c r="I23" s="118">
        <f t="shared" si="0"/>
        <v>-3116251.2409413159</v>
      </c>
      <c r="J23" s="5">
        <f t="shared" si="1"/>
        <v>-3.5197282493489322E-2</v>
      </c>
      <c r="K23"/>
      <c r="L23" s="51" t="s">
        <v>17</v>
      </c>
      <c r="M23" s="68">
        <v>-7228837.8053368237</v>
      </c>
      <c r="N23" s="68">
        <v>858465.52993021847</v>
      </c>
      <c r="O23" s="68">
        <v>-8.4206500474450383</v>
      </c>
      <c r="P23" s="68">
        <v>7.1069877769193136E-14</v>
      </c>
      <c r="Q23" s="68">
        <v>-8927715.8518910296</v>
      </c>
      <c r="R23" s="68">
        <v>-5529959.7587826168</v>
      </c>
      <c r="S23" s="68">
        <v>-8927715.8518910296</v>
      </c>
      <c r="T23" s="68">
        <v>-5529959.7587826168</v>
      </c>
      <c r="U23" s="111"/>
      <c r="V23" s="111"/>
      <c r="W23" s="111"/>
      <c r="X23" s="111"/>
      <c r="Y23" s="111"/>
      <c r="Z23" s="111"/>
      <c r="AA23" s="111"/>
      <c r="AB23" s="111"/>
    </row>
    <row r="24" spans="1:28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91880125.710324958</v>
      </c>
      <c r="I24" s="118">
        <f t="shared" si="0"/>
        <v>3502415.710324958</v>
      </c>
      <c r="J24" s="5">
        <f t="shared" si="1"/>
        <v>3.9630079918623801E-2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95096681.832297847</v>
      </c>
      <c r="I25" s="118">
        <f t="shared" si="0"/>
        <v>191581.83229784667</v>
      </c>
      <c r="J25" s="5">
        <f t="shared" si="1"/>
        <v>2.01866740878885E-3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114869094.61417556</v>
      </c>
      <c r="I26" s="118">
        <f t="shared" si="0"/>
        <v>1545594.6141755581</v>
      </c>
      <c r="J26" s="5">
        <f t="shared" si="1"/>
        <v>1.3638782901830231E-2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117802401.1803495</v>
      </c>
      <c r="I27" s="118">
        <f t="shared" si="0"/>
        <v>-364418.81965050101</v>
      </c>
      <c r="J27" s="5">
        <f t="shared" si="1"/>
        <v>-3.0839352336848955E-3</v>
      </c>
      <c r="K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103034908.4736408</v>
      </c>
      <c r="I28" s="118">
        <f t="shared" si="0"/>
        <v>2468068.4736407995</v>
      </c>
      <c r="J28" s="5">
        <f t="shared" si="1"/>
        <v>2.4541573282413961E-2</v>
      </c>
      <c r="K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103859948.29304707</v>
      </c>
      <c r="I29" s="118">
        <f t="shared" si="0"/>
        <v>-298781.7069529295</v>
      </c>
      <c r="J29" s="5">
        <f t="shared" si="1"/>
        <v>-2.8685229452483675E-3</v>
      </c>
      <c r="K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6.4000000000000001E-2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91897955.224233881</v>
      </c>
      <c r="I30" s="118">
        <f t="shared" si="0"/>
        <v>7463115.2242338806</v>
      </c>
      <c r="J30" s="5">
        <f t="shared" si="1"/>
        <v>8.8389049167782882E-2</v>
      </c>
      <c r="K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6.4000000000000001E-2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90389888.723425984</v>
      </c>
      <c r="I31" s="118">
        <f t="shared" si="0"/>
        <v>8558518.7234259844</v>
      </c>
      <c r="J31" s="5">
        <f t="shared" si="1"/>
        <v>0.10458725942662311</v>
      </c>
      <c r="K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6.4000000000000001E-2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99240555.119107112</v>
      </c>
      <c r="I32" s="118">
        <f t="shared" si="0"/>
        <v>878055.11910711229</v>
      </c>
      <c r="J32" s="5">
        <f t="shared" si="1"/>
        <v>8.9267263348035315E-3</v>
      </c>
      <c r="K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5.7999999999999996E-2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111248521.97915548</v>
      </c>
      <c r="I33" s="118">
        <f t="shared" si="0"/>
        <v>7502771.9791554809</v>
      </c>
      <c r="J33" s="5">
        <f t="shared" si="1"/>
        <v>7.2318836956265495E-2</v>
      </c>
      <c r="K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5.7999999999999996E-2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104840413.32627262</v>
      </c>
      <c r="I34" s="118">
        <f t="shared" si="0"/>
        <v>3415083.3262726218</v>
      </c>
      <c r="J34" s="5">
        <f t="shared" si="1"/>
        <v>3.3670911657596989E-2</v>
      </c>
      <c r="K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5.7999999999999996E-2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85689626.253245384</v>
      </c>
      <c r="I35" s="118">
        <f t="shared" si="0"/>
        <v>-2124223.7467546165</v>
      </c>
      <c r="J35" s="5">
        <f t="shared" si="1"/>
        <v>-2.4190076471474791E-2</v>
      </c>
      <c r="K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90340419.58273913</v>
      </c>
      <c r="I36" s="118">
        <f t="shared" si="0"/>
        <v>2989729.5827391297</v>
      </c>
      <c r="J36" s="5">
        <f t="shared" si="1"/>
        <v>3.422674260202329E-2</v>
      </c>
      <c r="K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94450432.826154336</v>
      </c>
      <c r="I37" s="118">
        <f t="shared" si="0"/>
        <v>-64707.173845663667</v>
      </c>
      <c r="J37" s="5">
        <f t="shared" si="1"/>
        <v>-6.8462231390297541E-4</v>
      </c>
      <c r="K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114254968.16823286</v>
      </c>
      <c r="I38" s="118">
        <f t="shared" si="0"/>
        <v>2125478.1682328582</v>
      </c>
      <c r="J38" s="5">
        <f t="shared" si="1"/>
        <v>1.8955567961941665E-2</v>
      </c>
      <c r="K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6.6000000000000003E-2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111055180.08624309</v>
      </c>
      <c r="I39" s="118">
        <f t="shared" si="0"/>
        <v>2468690.086243093</v>
      </c>
      <c r="J39" s="5">
        <f t="shared" si="1"/>
        <v>2.2734781152269432E-2</v>
      </c>
      <c r="K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6.6000000000000003E-2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104583338.55138904</v>
      </c>
      <c r="I40" s="118">
        <f t="shared" si="0"/>
        <v>2813348.5513890386</v>
      </c>
      <c r="J40" s="5">
        <f t="shared" si="1"/>
        <v>2.7644186182872166E-2</v>
      </c>
      <c r="K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6.6000000000000003E-2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102854634.83483231</v>
      </c>
      <c r="I41" s="118">
        <f t="shared" si="0"/>
        <v>125334.83483231068</v>
      </c>
      <c r="J41" s="5">
        <f t="shared" si="1"/>
        <v>1.2200495363281039E-3</v>
      </c>
      <c r="K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6.5000000000000002E-2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91700782.56498985</v>
      </c>
      <c r="I42" s="118">
        <f t="shared" si="0"/>
        <v>6455502.5649898499</v>
      </c>
      <c r="J42" s="5">
        <f t="shared" si="1"/>
        <v>7.5728563094517962E-2</v>
      </c>
      <c r="K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6.5000000000000002E-2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90269804.408226833</v>
      </c>
      <c r="I43" s="118">
        <f t="shared" si="0"/>
        <v>5078804.4082268327</v>
      </c>
      <c r="J43" s="5">
        <f t="shared" si="1"/>
        <v>5.9616677914648648E-2</v>
      </c>
      <c r="K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6.5000000000000002E-2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91927412.258475631</v>
      </c>
      <c r="I44" s="118">
        <f t="shared" si="0"/>
        <v>119102.25847563148</v>
      </c>
      <c r="J44" s="5">
        <f t="shared" si="1"/>
        <v>1.2972927883721144E-3</v>
      </c>
      <c r="K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6.7000000000000004E-2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103692288.04967797</v>
      </c>
      <c r="I45" s="118">
        <f t="shared" si="0"/>
        <v>81348.049677968025</v>
      </c>
      <c r="J45" s="5">
        <f t="shared" si="1"/>
        <v>7.8512992622176798E-4</v>
      </c>
      <c r="K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6.7000000000000004E-2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100219497.77670158</v>
      </c>
      <c r="I46" s="118">
        <f t="shared" si="0"/>
        <v>1966667.7767015845</v>
      </c>
      <c r="J46" s="5">
        <f t="shared" si="1"/>
        <v>2.0016398272717281E-2</v>
      </c>
      <c r="K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6.7000000000000004E-2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82004454.566610441</v>
      </c>
      <c r="I47" s="118">
        <f t="shared" si="0"/>
        <v>-1086015.4333895594</v>
      </c>
      <c r="J47" s="5">
        <f t="shared" si="1"/>
        <v>-1.3070276692255554E-2</v>
      </c>
      <c r="K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6.8000000000000005E-2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92181070.252090648</v>
      </c>
      <c r="I48" s="118">
        <f t="shared" si="0"/>
        <v>1321660.2520906478</v>
      </c>
      <c r="J48" s="5">
        <f t="shared" si="1"/>
        <v>1.4546212132465397E-2</v>
      </c>
      <c r="K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6.8000000000000005E-2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93076771.399556279</v>
      </c>
      <c r="I49" s="118">
        <f t="shared" si="0"/>
        <v>-2040688.6004437208</v>
      </c>
      <c r="J49" s="5">
        <f t="shared" si="1"/>
        <v>-2.145440595705269E-2</v>
      </c>
      <c r="K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6.8000000000000005E-2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107316073.18684751</v>
      </c>
      <c r="I50" s="118">
        <f t="shared" si="0"/>
        <v>2217113.186847508</v>
      </c>
      <c r="J50" s="5">
        <f t="shared" si="1"/>
        <v>2.109548169503778E-2</v>
      </c>
      <c r="K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6.0999999999999999E-2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112298023.86406963</v>
      </c>
      <c r="I51" s="118">
        <f t="shared" si="0"/>
        <v>204233.86406964064</v>
      </c>
      <c r="J51" s="5">
        <f t="shared" si="1"/>
        <v>1.8219908887873331E-3</v>
      </c>
      <c r="K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6.0999999999999999E-2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108628875.70673472</v>
      </c>
      <c r="I52" s="118">
        <f t="shared" si="0"/>
        <v>-673894.29326528311</v>
      </c>
      <c r="J52" s="5">
        <f t="shared" si="1"/>
        <v>-6.165390806338056E-3</v>
      </c>
      <c r="K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6.0999999999999999E-2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101246601.3948385</v>
      </c>
      <c r="I53" s="118">
        <f t="shared" si="0"/>
        <v>-5535288.605161503</v>
      </c>
      <c r="J53" s="5">
        <f t="shared" si="1"/>
        <v>-5.1837335012158925E-2</v>
      </c>
      <c r="K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0.06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90610725.408233821</v>
      </c>
      <c r="I54" s="118">
        <f t="shared" si="0"/>
        <v>-1657124.5917661786</v>
      </c>
      <c r="J54" s="5">
        <f t="shared" si="1"/>
        <v>-1.795993503442617E-2</v>
      </c>
      <c r="K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0.06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85741429.353212655</v>
      </c>
      <c r="I55" s="118">
        <f t="shared" si="0"/>
        <v>-287700.64678734541</v>
      </c>
      <c r="J55" s="5">
        <f t="shared" si="1"/>
        <v>-3.3442235994638725E-3</v>
      </c>
      <c r="K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0.06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91435967.013292283</v>
      </c>
      <c r="I56" s="118">
        <f t="shared" si="0"/>
        <v>-5393962.9867077023</v>
      </c>
      <c r="J56" s="5">
        <f t="shared" si="1"/>
        <v>-5.5705534298204108E-2</v>
      </c>
      <c r="K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6.5000000000000002E-2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94962186.524317935</v>
      </c>
      <c r="I57" s="118">
        <f t="shared" si="0"/>
        <v>-1957423.4756820649</v>
      </c>
      <c r="J57" s="5">
        <f t="shared" si="1"/>
        <v>-2.0196361455458445E-2</v>
      </c>
      <c r="K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6.5000000000000002E-2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101261765.33846444</v>
      </c>
      <c r="I58" s="118">
        <f t="shared" si="0"/>
        <v>-2382794.6615355611</v>
      </c>
      <c r="J58" s="5">
        <f t="shared" si="1"/>
        <v>-2.2990060081644045E-2</v>
      </c>
      <c r="K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6.5000000000000002E-2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81241690.529517934</v>
      </c>
      <c r="I59" s="118">
        <f t="shared" si="0"/>
        <v>-6518309.4704820663</v>
      </c>
      <c r="J59" s="5">
        <f t="shared" si="1"/>
        <v>-7.4274264704672591E-2</v>
      </c>
      <c r="K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6.3E-2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85875112.382730946</v>
      </c>
      <c r="I60" s="118">
        <f t="shared" si="0"/>
        <v>-3008267.6172690541</v>
      </c>
      <c r="J60" s="5">
        <f t="shared" si="1"/>
        <v>-3.3845108244860332E-2</v>
      </c>
      <c r="K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6.3E-2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91577151.600240156</v>
      </c>
      <c r="I61" s="118">
        <f t="shared" si="0"/>
        <v>-6211078.3997598439</v>
      </c>
      <c r="J61" s="5">
        <f t="shared" si="1"/>
        <v>-6.3515603051204059E-2</v>
      </c>
      <c r="K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6.3E-2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102592151.40737684</v>
      </c>
      <c r="I62" s="118">
        <f t="shared" si="0"/>
        <v>-10260298.592623159</v>
      </c>
      <c r="J62" s="5">
        <f t="shared" si="1"/>
        <v>-9.0917818732541109E-2</v>
      </c>
      <c r="K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6.4000000000000001E-2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106277793.2124036</v>
      </c>
      <c r="I63" s="118">
        <f t="shared" si="0"/>
        <v>-5145686.7875964046</v>
      </c>
      <c r="J63" s="5">
        <f t="shared" si="1"/>
        <v>-4.6181350533984443E-2</v>
      </c>
      <c r="K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6.4000000000000001E-2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95983082.231786683</v>
      </c>
      <c r="I64" s="118">
        <f t="shared" si="0"/>
        <v>-10544477.768213317</v>
      </c>
      <c r="J64" s="5">
        <f t="shared" si="1"/>
        <v>-9.8983566020035718E-2</v>
      </c>
      <c r="K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6.4000000000000001E-2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98936526.446364</v>
      </c>
      <c r="I65" s="118">
        <f t="shared" si="0"/>
        <v>-6697373.5536359847</v>
      </c>
      <c r="J65" s="5">
        <f t="shared" si="1"/>
        <v>-6.3401744644815586E-2</v>
      </c>
      <c r="K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83353149.75070636</v>
      </c>
      <c r="I66" s="118">
        <f t="shared" si="0"/>
        <v>-2794280.2492936254</v>
      </c>
      <c r="J66" s="5">
        <f t="shared" si="1"/>
        <v>-3.2436025651532793E-2</v>
      </c>
      <c r="K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86444661.388164088</v>
      </c>
      <c r="I67" s="118">
        <f t="shared" ref="I67:I130" si="3">H67-B67</f>
        <v>3668351.3881640881</v>
      </c>
      <c r="J67" s="5">
        <f t="shared" ref="J67:J130" si="4">I67/B67</f>
        <v>4.4316440152551956E-2</v>
      </c>
      <c r="K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88712578.515884832</v>
      </c>
      <c r="I68" s="118">
        <f t="shared" si="3"/>
        <v>-1980214.4841151685</v>
      </c>
      <c r="J68" s="5">
        <f t="shared" si="4"/>
        <v>-2.1834309194945275E-2</v>
      </c>
      <c r="K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97046969.735358745</v>
      </c>
      <c r="I69" s="118">
        <f t="shared" si="3"/>
        <v>-1821470.2646412551</v>
      </c>
      <c r="J69" s="5">
        <f t="shared" si="4"/>
        <v>-1.8423171890253907E-2</v>
      </c>
      <c r="K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93137090.569939956</v>
      </c>
      <c r="I70" s="118">
        <f t="shared" si="3"/>
        <v>-295229.43006004393</v>
      </c>
      <c r="J70" s="5">
        <f t="shared" si="4"/>
        <v>-3.1598212487931794E-3</v>
      </c>
      <c r="K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82513009.914628208</v>
      </c>
      <c r="I71" s="118">
        <f t="shared" si="3"/>
        <v>-4342062.0853717923</v>
      </c>
      <c r="J71" s="5">
        <f t="shared" si="4"/>
        <v>-4.9992038293075067E-2</v>
      </c>
      <c r="K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7.9000000000000001E-2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87892082.027153939</v>
      </c>
      <c r="I72" s="118">
        <f t="shared" si="3"/>
        <v>-402535.97284606099</v>
      </c>
      <c r="J72" s="5">
        <f t="shared" si="4"/>
        <v>-4.5590091668561384E-3</v>
      </c>
      <c r="K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7.9000000000000001E-2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87695616.127792627</v>
      </c>
      <c r="I73" s="118">
        <f t="shared" si="3"/>
        <v>-8175218.8722073734</v>
      </c>
      <c r="J73" s="5">
        <f t="shared" si="4"/>
        <v>-8.5273262428635088E-2</v>
      </c>
      <c r="K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7.9000000000000001E-2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102179852.4366149</v>
      </c>
      <c r="I74" s="118">
        <f t="shared" si="3"/>
        <v>-10179315.563385099</v>
      </c>
      <c r="J74" s="5">
        <f t="shared" si="4"/>
        <v>-9.0596216976126936E-2</v>
      </c>
      <c r="K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8.5000000000000006E-2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113669166.48036329</v>
      </c>
      <c r="I75" s="118">
        <f t="shared" si="3"/>
        <v>-5652539.5196367055</v>
      </c>
      <c r="J75" s="5">
        <f t="shared" si="4"/>
        <v>-4.7372265358297055E-2</v>
      </c>
      <c r="K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8.5000000000000006E-2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101591938.19047095</v>
      </c>
      <c r="I76" s="118">
        <f t="shared" si="3"/>
        <v>2206922.1904709488</v>
      </c>
      <c r="J76" s="5">
        <f t="shared" si="4"/>
        <v>2.2205783922909957E-2</v>
      </c>
      <c r="K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8.5000000000000006E-2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96719238.894261658</v>
      </c>
      <c r="I77" s="118">
        <f t="shared" si="3"/>
        <v>-4133071.1057383418</v>
      </c>
      <c r="J77" s="5">
        <f t="shared" si="4"/>
        <v>-4.0981422297003828E-2</v>
      </c>
      <c r="K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8.6999999999999994E-2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88471212.388548374</v>
      </c>
      <c r="I78" s="118">
        <f t="shared" si="3"/>
        <v>1729544.3885483742</v>
      </c>
      <c r="J78" s="5">
        <f t="shared" si="4"/>
        <v>1.9939026173077214E-2</v>
      </c>
      <c r="K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8.6999999999999994E-2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85535728.668332428</v>
      </c>
      <c r="I79" s="118">
        <f t="shared" si="3"/>
        <v>4943835.2837170362</v>
      </c>
      <c r="J79" s="5">
        <f t="shared" si="4"/>
        <v>6.1344076632163985E-2</v>
      </c>
      <c r="K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8.6999999999999994E-2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89118401.658641085</v>
      </c>
      <c r="I80" s="118">
        <f t="shared" si="3"/>
        <v>4920350.7355641574</v>
      </c>
      <c r="J80" s="5">
        <f t="shared" si="4"/>
        <v>5.8437822272862046E-2</v>
      </c>
      <c r="K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9.1999999999999998E-2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89559767.631675959</v>
      </c>
      <c r="I81" s="118">
        <f t="shared" si="3"/>
        <v>1728066.572445184</v>
      </c>
      <c r="J81" s="5">
        <f t="shared" si="4"/>
        <v>1.9674747859885277E-2</v>
      </c>
      <c r="K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9.1999999999999998E-2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96728091.924134597</v>
      </c>
      <c r="I82" s="118">
        <f t="shared" si="3"/>
        <v>-1151663.0758654028</v>
      </c>
      <c r="J82" s="5">
        <f t="shared" si="4"/>
        <v>-1.1766100925215871E-2</v>
      </c>
      <c r="K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9.1999999999999998E-2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79092458.754431084</v>
      </c>
      <c r="I83" s="118">
        <f t="shared" si="3"/>
        <v>-4815202.9332612306</v>
      </c>
      <c r="J83" s="5">
        <f t="shared" si="4"/>
        <v>-5.7386927920642206E-2</v>
      </c>
      <c r="K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9.9000000000000005E-2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88718829.032090873</v>
      </c>
      <c r="I84" s="118">
        <f t="shared" si="3"/>
        <v>621664.69516779482</v>
      </c>
      <c r="J84" s="5">
        <f t="shared" si="4"/>
        <v>7.0565800823085539E-3</v>
      </c>
      <c r="K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9.9000000000000005E-2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88273413.291173413</v>
      </c>
      <c r="I85" s="118">
        <f t="shared" si="3"/>
        <v>-1600453.3972881436</v>
      </c>
      <c r="J85" s="5">
        <f t="shared" si="4"/>
        <v>-1.7807772784895853E-2</v>
      </c>
      <c r="K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9.9000000000000005E-2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109246406.76055576</v>
      </c>
      <c r="I86" s="118">
        <f t="shared" si="3"/>
        <v>-463584.67021347582</v>
      </c>
      <c r="J86" s="5">
        <f t="shared" si="4"/>
        <v>-4.2255464991628735E-3</v>
      </c>
      <c r="K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111975136.46556638</v>
      </c>
      <c r="I87" s="118">
        <f t="shared" si="3"/>
        <v>-2173267.5621259362</v>
      </c>
      <c r="J87" s="5">
        <f t="shared" si="4"/>
        <v>-1.9038965815051632E-2</v>
      </c>
      <c r="K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98809756.448872194</v>
      </c>
      <c r="I88" s="118">
        <f t="shared" si="3"/>
        <v>-1471135.2088201195</v>
      </c>
      <c r="J88" s="5">
        <f t="shared" si="4"/>
        <v>-1.467014487507573E-2</v>
      </c>
      <c r="K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93146039.107718393</v>
      </c>
      <c r="I89" s="118">
        <f t="shared" si="3"/>
        <v>-2297572.2768969983</v>
      </c>
      <c r="J89" s="5">
        <f t="shared" si="4"/>
        <v>-2.407256225498761E-2</v>
      </c>
      <c r="K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84121572.38522099</v>
      </c>
      <c r="I90" s="118">
        <f t="shared" si="3"/>
        <v>3179766.4798363596</v>
      </c>
      <c r="J90" s="5">
        <f t="shared" si="4"/>
        <v>3.9284600142888912E-2</v>
      </c>
      <c r="K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85303560.51495561</v>
      </c>
      <c r="I91" s="118">
        <f t="shared" si="3"/>
        <v>-2115207.7435059398</v>
      </c>
      <c r="J91" s="5">
        <f t="shared" si="4"/>
        <v>-2.4196265694937904E-2</v>
      </c>
      <c r="K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88876476.017176658</v>
      </c>
      <c r="I92" s="118">
        <f t="shared" si="3"/>
        <v>-210812.92051565647</v>
      </c>
      <c r="J92" s="5">
        <f t="shared" si="4"/>
        <v>-2.3663636308777912E-3</v>
      </c>
      <c r="K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0.10400000000000001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101298017.36815929</v>
      </c>
      <c r="I93" s="118">
        <f t="shared" si="3"/>
        <v>-6606041.7118407041</v>
      </c>
      <c r="J93" s="5">
        <f t="shared" si="4"/>
        <v>-6.1221438453422677E-2</v>
      </c>
      <c r="K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0.10400000000000001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97466020.566853017</v>
      </c>
      <c r="I94" s="118">
        <f t="shared" si="3"/>
        <v>-4808405.6277623624</v>
      </c>
      <c r="J94" s="5">
        <f t="shared" si="4"/>
        <v>-4.7014740699816503E-2</v>
      </c>
      <c r="K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0.10400000000000001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79710857.380865946</v>
      </c>
      <c r="I95" s="118">
        <f t="shared" si="3"/>
        <v>-3780145.1199032813</v>
      </c>
      <c r="J95" s="5">
        <f t="shared" si="4"/>
        <v>-4.5276077741053043E-2</v>
      </c>
      <c r="K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87882159.014930263</v>
      </c>
      <c r="I96" s="118">
        <f t="shared" si="3"/>
        <v>2981969.7841610312</v>
      </c>
      <c r="J96" s="5">
        <f t="shared" si="4"/>
        <v>3.5123240727481395E-2</v>
      </c>
      <c r="K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90725290.374568939</v>
      </c>
      <c r="I97" s="118">
        <f t="shared" si="3"/>
        <v>-1011461.2623541504</v>
      </c>
      <c r="J97" s="5">
        <f t="shared" si="4"/>
        <v>-1.1025693021672764E-2</v>
      </c>
      <c r="K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110405350.7958694</v>
      </c>
      <c r="I98" s="118">
        <f t="shared" si="3"/>
        <v>-456782.20413060486</v>
      </c>
      <c r="J98" s="5">
        <f t="shared" si="4"/>
        <v>-4.1202725562803745E-3</v>
      </c>
      <c r="K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8.6999999999999994E-2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116487077.18195447</v>
      </c>
      <c r="I99" s="118">
        <f t="shared" si="3"/>
        <v>2842689.8611852229</v>
      </c>
      <c r="J99" s="5">
        <f t="shared" si="4"/>
        <v>2.5013904586079834E-2</v>
      </c>
      <c r="K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8.6999999999999994E-2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102896073.24259979</v>
      </c>
      <c r="I100" s="118">
        <f t="shared" si="3"/>
        <v>2335024.8579843938</v>
      </c>
      <c r="J100" s="5">
        <f t="shared" si="4"/>
        <v>2.3219973294765529E-2</v>
      </c>
      <c r="K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8.6999999999999994E-2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101183430.80614345</v>
      </c>
      <c r="I101" s="118">
        <f t="shared" si="3"/>
        <v>-1429966.0123181045</v>
      </c>
      <c r="J101" s="5">
        <f t="shared" si="4"/>
        <v>-1.3935470968258933E-2</v>
      </c>
      <c r="K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9.3000000000000013E-2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89183407.484930903</v>
      </c>
      <c r="I102" s="118">
        <f t="shared" si="3"/>
        <v>2167842.3218539804</v>
      </c>
      <c r="J102" s="5">
        <f t="shared" si="4"/>
        <v>2.4913270606140417E-2</v>
      </c>
      <c r="K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9.3000000000000013E-2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84657585.905972138</v>
      </c>
      <c r="I103" s="118">
        <f t="shared" si="3"/>
        <v>1736576.155972138</v>
      </c>
      <c r="J103" s="5">
        <f t="shared" si="4"/>
        <v>2.094253508498958E-2</v>
      </c>
      <c r="K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9.3000000000000013E-2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88580805.811032832</v>
      </c>
      <c r="I104" s="118">
        <f t="shared" si="3"/>
        <v>431673.80180205405</v>
      </c>
      <c r="J104" s="5">
        <f t="shared" si="4"/>
        <v>4.897085109775671E-3</v>
      </c>
      <c r="K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7.0999999999999994E-2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107835172.17790563</v>
      </c>
      <c r="I105" s="118">
        <f t="shared" si="3"/>
        <v>-1092492.5413251519</v>
      </c>
      <c r="J105" s="5">
        <f t="shared" si="4"/>
        <v>-1.0029523208278938E-2</v>
      </c>
      <c r="K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7.0999999999999994E-2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99451038.670595825</v>
      </c>
      <c r="I106" s="118">
        <f t="shared" si="3"/>
        <v>-856935.25632725656</v>
      </c>
      <c r="J106" s="5">
        <f t="shared" si="4"/>
        <v>-8.5430422206668813E-3</v>
      </c>
      <c r="K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7.0999999999999994E-2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84756427.316175103</v>
      </c>
      <c r="I107" s="118">
        <f t="shared" si="3"/>
        <v>-1048742.7245941311</v>
      </c>
      <c r="J107" s="5">
        <f t="shared" si="4"/>
        <v>-1.2222372196172263E-2</v>
      </c>
      <c r="K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89428044.166812688</v>
      </c>
      <c r="I108" s="118">
        <f t="shared" si="3"/>
        <v>3660094.4437357634</v>
      </c>
      <c r="J108" s="5">
        <f t="shared" si="4"/>
        <v>4.2674384260709103E-2</v>
      </c>
      <c r="K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91588571.122184515</v>
      </c>
      <c r="I109" s="118">
        <f t="shared" si="3"/>
        <v>2181102.9675691277</v>
      </c>
      <c r="J109" s="5">
        <f t="shared" si="4"/>
        <v>2.4395087039007432E-2</v>
      </c>
      <c r="K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108939745.92892753</v>
      </c>
      <c r="I110" s="118">
        <f t="shared" si="3"/>
        <v>5428124.5443121344</v>
      </c>
      <c r="J110" s="5">
        <f t="shared" si="4"/>
        <v>5.2439759629916295E-2</v>
      </c>
      <c r="K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0.08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111370497.99605244</v>
      </c>
      <c r="I111" s="118">
        <f t="shared" si="3"/>
        <v>3388325.6614370346</v>
      </c>
      <c r="J111" s="5">
        <f t="shared" si="4"/>
        <v>3.1378565444463213E-2</v>
      </c>
      <c r="K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0.08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102697976.30557558</v>
      </c>
      <c r="I112" s="118">
        <f t="shared" si="3"/>
        <v>5387457.776344806</v>
      </c>
      <c r="J112" s="5">
        <f t="shared" si="4"/>
        <v>5.5363570740058134E-2</v>
      </c>
      <c r="K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0.08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95645243.01760602</v>
      </c>
      <c r="I113" s="118">
        <f t="shared" si="3"/>
        <v>2704649.2968367934</v>
      </c>
      <c r="J113" s="5">
        <f t="shared" si="4"/>
        <v>2.9100839456251412E-2</v>
      </c>
      <c r="K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89785487.970798314</v>
      </c>
      <c r="I114" s="118">
        <f t="shared" si="3"/>
        <v>5723975.8007983118</v>
      </c>
      <c r="J114" s="5">
        <f t="shared" si="4"/>
        <v>6.8092705603755396E-2</v>
      </c>
      <c r="K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86542728.997275561</v>
      </c>
      <c r="I115" s="118">
        <f t="shared" si="3"/>
        <v>2244388.0754573941</v>
      </c>
      <c r="J115" s="5">
        <f t="shared" si="4"/>
        <v>2.6624344570896529E-2</v>
      </c>
      <c r="K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93649284.295829073</v>
      </c>
      <c r="I116" s="118">
        <f t="shared" si="3"/>
        <v>462162.44219271839</v>
      </c>
      <c r="J116" s="5">
        <f t="shared" si="4"/>
        <v>4.9595097798879372E-3</v>
      </c>
      <c r="K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9.0999999999999998E-2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107229092.26670532</v>
      </c>
      <c r="I117" s="118">
        <f t="shared" si="3"/>
        <v>-3537982.2842037529</v>
      </c>
      <c r="J117" s="5">
        <f t="shared" si="4"/>
        <v>-3.1940739597466572E-2</v>
      </c>
      <c r="K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9.0999999999999998E-2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100032699.46675721</v>
      </c>
      <c r="I118" s="118">
        <f t="shared" si="3"/>
        <v>-1341252.1250609607</v>
      </c>
      <c r="J118" s="5">
        <f t="shared" si="4"/>
        <v>-1.3230737324529947E-2</v>
      </c>
      <c r="K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9.0999999999999998E-2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82155078.703176185</v>
      </c>
      <c r="I119" s="118">
        <f t="shared" si="3"/>
        <v>-2868060.5150056332</v>
      </c>
      <c r="J119" s="5">
        <f t="shared" si="4"/>
        <v>-3.3732705489099506E-2</v>
      </c>
      <c r="K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9.6000000000000002E-2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86740542.193759575</v>
      </c>
      <c r="I120" s="118">
        <f t="shared" si="3"/>
        <v>1444851.9119414091</v>
      </c>
      <c r="J120" s="5">
        <f t="shared" si="4"/>
        <v>1.693933078174991E-2</v>
      </c>
      <c r="K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9.6000000000000002E-2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91892482.56783022</v>
      </c>
      <c r="I121" s="118">
        <f t="shared" si="3"/>
        <v>213282.83328476548</v>
      </c>
      <c r="J121" s="5">
        <f t="shared" si="4"/>
        <v>2.3264037415500999E-3</v>
      </c>
      <c r="K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9.6000000000000002E-2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102887405.7748414</v>
      </c>
      <c r="I122" s="118">
        <f t="shared" si="3"/>
        <v>594768.01120503247</v>
      </c>
      <c r="J122" s="5">
        <f t="shared" si="4"/>
        <v>5.8143774978150417E-3</v>
      </c>
      <c r="K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8.6000110000000005E-2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110773684.58390863</v>
      </c>
      <c r="I123" s="118">
        <f t="shared" si="3"/>
        <v>3397301.2505752891</v>
      </c>
      <c r="J123" s="5">
        <f t="shared" si="4"/>
        <v>3.1639184940965036E-2</v>
      </c>
      <c r="K123"/>
      <c r="T123" s="111"/>
      <c r="U123" s="120"/>
      <c r="V123" s="120"/>
      <c r="W123" s="111"/>
      <c r="X123" s="111"/>
      <c r="Y123" s="111"/>
      <c r="Z123" s="111"/>
      <c r="AA123" s="111"/>
      <c r="AB123" s="111"/>
    </row>
    <row r="124" spans="1:28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8.6000110000000005E-2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102113493.63537557</v>
      </c>
      <c r="I124" s="118">
        <f t="shared" si="3"/>
        <v>3410601.9687089026</v>
      </c>
      <c r="J124" s="5">
        <f t="shared" si="4"/>
        <v>3.4554225424590169E-2</v>
      </c>
      <c r="K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8.6000110000000005E-2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100718061.48090206</v>
      </c>
      <c r="I125" s="118">
        <f t="shared" si="3"/>
        <v>1866978.1475687176</v>
      </c>
      <c r="J125" s="5">
        <f t="shared" si="4"/>
        <v>1.888677477891796E-2</v>
      </c>
      <c r="K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7.8295169999999997E-2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91709444.991503432</v>
      </c>
      <c r="I126" s="118">
        <f t="shared" si="3"/>
        <v>4379436.6581700891</v>
      </c>
      <c r="J126" s="5">
        <f t="shared" si="4"/>
        <v>5.0148130542413842E-2</v>
      </c>
      <c r="K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7.8295169999999997E-2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85605583.276337638</v>
      </c>
      <c r="I127" s="118">
        <f t="shared" si="3"/>
        <v>3691624.9430042952</v>
      </c>
      <c r="J127" s="5">
        <f t="shared" si="4"/>
        <v>4.5067104778185992E-2</v>
      </c>
      <c r="K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7.8295169999999997E-2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90466854.882665217</v>
      </c>
      <c r="I128" s="118">
        <f t="shared" si="3"/>
        <v>4074921.5493318737</v>
      </c>
      <c r="J128" s="5">
        <f t="shared" si="4"/>
        <v>4.7167847646252543E-2</v>
      </c>
      <c r="K128"/>
      <c r="T128" s="111"/>
      <c r="U128" s="120"/>
      <c r="V128" s="120"/>
      <c r="W128" s="111"/>
      <c r="X128" s="111"/>
      <c r="Y128" s="111"/>
      <c r="Z128" s="111"/>
      <c r="AA128" s="111"/>
      <c r="AB128" s="111"/>
    </row>
    <row r="129" spans="1:28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6.7434110000000005E-2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104081794.0930358</v>
      </c>
      <c r="I129" s="118">
        <f t="shared" si="3"/>
        <v>44727.426369130611</v>
      </c>
      <c r="J129" s="5">
        <f t="shared" si="4"/>
        <v>4.2991818014666511E-4</v>
      </c>
      <c r="K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6.7434110000000005E-2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97029914.081305042</v>
      </c>
      <c r="I130" s="118">
        <f t="shared" si="3"/>
        <v>1366472.4146383703</v>
      </c>
      <c r="J130" s="5">
        <f t="shared" si="4"/>
        <v>1.4284165307367454E-2</v>
      </c>
      <c r="K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6.7434110000000005E-2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84477117.682927072</v>
      </c>
      <c r="I131" s="118">
        <f t="shared" ref="I131:I133" si="6">H131-B131</f>
        <v>1465009.3495937288</v>
      </c>
      <c r="J131" s="5">
        <f t="shared" ref="J131:J133" si="7">I131/B131</f>
        <v>1.7648140482241639E-2</v>
      </c>
      <c r="K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7.5499999999999998E-2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89483335.184996113</v>
      </c>
      <c r="I132" s="118">
        <f t="shared" si="6"/>
        <v>5019935.1849960983</v>
      </c>
      <c r="J132" s="5">
        <f t="shared" si="7"/>
        <v>5.9433259672190528E-2</v>
      </c>
      <c r="K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7.5499999999999998E-2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95767886.301291361</v>
      </c>
      <c r="I133" s="118">
        <f t="shared" si="6"/>
        <v>1518702.9679580182</v>
      </c>
      <c r="J133" s="5">
        <f t="shared" si="7"/>
        <v>1.611369896529273E-2</v>
      </c>
      <c r="K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7.5499999999999998E-2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106401430.70604365</v>
      </c>
      <c r="I134" s="118">
        <f t="shared" ref="I134" ca="1" si="9">H134-B134</f>
        <v>-2014152.6272896975</v>
      </c>
      <c r="J134" s="5">
        <f t="shared" ref="J134" ca="1" si="10">I134/B134</f>
        <v>-1.8578073053363613E-2</v>
      </c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>
      <c r="A135" s="3">
        <v>41640</v>
      </c>
      <c r="B135" s="111"/>
      <c r="C135" s="98">
        <f>(+C123/SUM(C$123:C$134))*Trends!B$24</f>
        <v>550.09469087935975</v>
      </c>
      <c r="D135" s="98">
        <f ca="1">(+D123/SUM(D$123:D$134))*Trends!C$24</f>
        <v>0</v>
      </c>
      <c r="E135" s="103">
        <f>+'Purchased Power Model '!E135</f>
        <v>7.5499999999999998E-2</v>
      </c>
      <c r="F135" s="10">
        <f>+'Purchased Power Model '!F135</f>
        <v>31</v>
      </c>
      <c r="G135" s="10">
        <f>+'Purchased Power Model '!G135</f>
        <v>0</v>
      </c>
      <c r="H135" s="117">
        <f t="shared" ca="1" si="8"/>
        <v>109505059.907261</v>
      </c>
      <c r="I135" s="118"/>
      <c r="J135" s="119"/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>
      <c r="A136" s="3">
        <v>41671</v>
      </c>
      <c r="B136" s="111"/>
      <c r="C136" s="98">
        <f>(+C124/SUM(C$123:C$134))*Trends!B$24</f>
        <v>546.60855292936048</v>
      </c>
      <c r="D136" s="98">
        <f ca="1">(+D124/SUM(D$123:D$134))*Trends!C$24</f>
        <v>0</v>
      </c>
      <c r="E136" s="103">
        <f>+'Purchased Power Model '!E136</f>
        <v>7.5499999999999998E-2</v>
      </c>
      <c r="F136" s="10">
        <f>+'Purchased Power Model '!F136</f>
        <v>28</v>
      </c>
      <c r="G136" s="10">
        <f>+'Purchased Power Model '!G136</f>
        <v>0</v>
      </c>
      <c r="H136" s="117">
        <f t="shared" ca="1" si="8"/>
        <v>100861486.84449792</v>
      </c>
      <c r="I136" s="118"/>
      <c r="J136" s="119"/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>
      <c r="A137" s="3">
        <v>41699</v>
      </c>
      <c r="B137" s="111"/>
      <c r="C137" s="98">
        <f>(+C125/SUM(C$123:C$134))*Trends!B$24</f>
        <v>487.16543147424602</v>
      </c>
      <c r="D137" s="98">
        <f ca="1">(+D125/SUM(D$123:D$134))*Trends!C$24</f>
        <v>0</v>
      </c>
      <c r="E137" s="103">
        <f>+'Purchased Power Model '!E137</f>
        <v>7.5499999999999998E-2</v>
      </c>
      <c r="F137" s="10">
        <f>+'Purchased Power Model '!F137</f>
        <v>31</v>
      </c>
      <c r="G137" s="10">
        <f>+'Purchased Power Model '!G137</f>
        <v>1</v>
      </c>
      <c r="H137" s="117">
        <f t="shared" ca="1" si="8"/>
        <v>99749410.947384104</v>
      </c>
      <c r="I137" s="118"/>
      <c r="J137" s="119"/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>
      <c r="A138" s="3">
        <v>41730</v>
      </c>
      <c r="B138" s="111"/>
      <c r="C138" s="98">
        <f>(+C126/SUM(C$123:C$134))*Trends!B$24</f>
        <v>327.6075791473599</v>
      </c>
      <c r="D138" s="98">
        <f ca="1">(+D126/SUM(D$123:D$134))*Trends!C$24</f>
        <v>0</v>
      </c>
      <c r="E138" s="103">
        <f>+'Purchased Power Model '!E138</f>
        <v>7.5499999999999998E-2</v>
      </c>
      <c r="F138" s="10">
        <f>+'Purchased Power Model '!F138</f>
        <v>30</v>
      </c>
      <c r="G138" s="10">
        <f>+'Purchased Power Model '!G138</f>
        <v>1</v>
      </c>
      <c r="H138" s="117">
        <f t="shared" ca="1" si="8"/>
        <v>90508121.395433277</v>
      </c>
      <c r="I138" s="118"/>
      <c r="J138" s="119"/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>
      <c r="A139" s="3">
        <v>41760</v>
      </c>
      <c r="B139" s="111"/>
      <c r="C139" s="98">
        <f>(+C127/SUM(C$123:C$134))*Trends!B$24</f>
        <v>119.24379552048516</v>
      </c>
      <c r="D139" s="98">
        <f ca="1">(+D127/SUM(D$123:D$134))*Trends!C$24</f>
        <v>3.6085283090503597</v>
      </c>
      <c r="E139" s="103">
        <f>+'Purchased Power Model '!E139</f>
        <v>7.5499999999999998E-2</v>
      </c>
      <c r="F139" s="10">
        <f>+'Purchased Power Model '!F139</f>
        <v>31</v>
      </c>
      <c r="G139" s="10">
        <f>+'Purchased Power Model '!G139</f>
        <v>1</v>
      </c>
      <c r="H139" s="117">
        <f t="shared" ca="1" si="8"/>
        <v>85482959.261590213</v>
      </c>
      <c r="I139" s="118"/>
      <c r="J139" s="119"/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>
      <c r="A140" s="3">
        <v>41791</v>
      </c>
      <c r="B140" s="111"/>
      <c r="C140" s="98">
        <f>(+C128/SUM(C$123:C$134))*Trends!B$24</f>
        <v>38.347517449991116</v>
      </c>
      <c r="D140" s="98">
        <f ca="1">(+D128/SUM(D$123:D$134))*Trends!C$24</f>
        <v>38.731537183807198</v>
      </c>
      <c r="E140" s="103">
        <f>+'Purchased Power Model '!E140</f>
        <v>7.5499999999999998E-2</v>
      </c>
      <c r="F140" s="10">
        <f>+'Purchased Power Model '!F140</f>
        <v>30</v>
      </c>
      <c r="G140" s="10">
        <f>+'Purchased Power Model '!G140</f>
        <v>0</v>
      </c>
      <c r="H140" s="117">
        <f t="shared" ca="1" si="8"/>
        <v>91561674.667625204</v>
      </c>
      <c r="I140" s="118"/>
      <c r="J140" s="119"/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>
      <c r="A141" s="3">
        <v>41821</v>
      </c>
      <c r="B141" s="111"/>
      <c r="C141" s="98">
        <f>(+C129/SUM(C$123:C$134))*Trends!B$24</f>
        <v>3.9330787128196012</v>
      </c>
      <c r="D141" s="98">
        <f ca="1">(+D129/SUM(D$123:D$134))*Trends!C$24</f>
        <v>132.31270466517984</v>
      </c>
      <c r="E141" s="103">
        <f>+'Purchased Power Model '!E141</f>
        <v>7.5499999999999998E-2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ca="1" si="8"/>
        <v>106156836.09994954</v>
      </c>
      <c r="I141" s="118"/>
      <c r="J141" s="119"/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>
      <c r="A142" s="3">
        <v>41852</v>
      </c>
      <c r="B142" s="111"/>
      <c r="C142" s="98">
        <f>(+C130/SUM(C$123:C$134))*Trends!B$24</f>
        <v>9.8326967820490019</v>
      </c>
      <c r="D142" s="98">
        <f ca="1">(+D130/SUM(D$123:D$134))*Trends!C$24</f>
        <v>69.644596364671926</v>
      </c>
      <c r="E142" s="103">
        <f>+'Purchased Power Model '!E142</f>
        <v>7.5499999999999998E-2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ca="1" si="8"/>
        <v>97592655.049331784</v>
      </c>
      <c r="I142" s="118"/>
      <c r="J142" s="119"/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>
      <c r="A143" s="3">
        <v>41883</v>
      </c>
      <c r="B143" s="111"/>
      <c r="C143" s="98">
        <f>(+C131/SUM(C$123:C$134))*Trends!B$24</f>
        <v>86.348955376903064</v>
      </c>
      <c r="D143" s="98">
        <f ca="1">(+D131/SUM(D$123:D$134))*Trends!C$24</f>
        <v>18.884631484030216</v>
      </c>
      <c r="E143" s="103">
        <f>+'Purchased Power Model '!E143</f>
        <v>7.5499999999999998E-2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ca="1" si="8"/>
        <v>83472961.295390859</v>
      </c>
      <c r="I143" s="118"/>
      <c r="J143" s="119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>
      <c r="A144" s="3">
        <v>41913</v>
      </c>
      <c r="B144" s="111"/>
      <c r="C144" s="98">
        <f>(+C132/SUM(C$123:C$134))*Trends!B$24</f>
        <v>197.54781716662086</v>
      </c>
      <c r="D144" s="98">
        <f ca="1">(+D132/SUM(D$123:D$134))*Trends!C$24</f>
        <v>3.6085283090503597</v>
      </c>
      <c r="E144" s="103">
        <f>+'Purchased Power Model '!E144</f>
        <v>7.5499999999999998E-2</v>
      </c>
      <c r="F144" s="10">
        <f>+'Purchased Power Model '!F144</f>
        <v>31</v>
      </c>
      <c r="G144" s="10">
        <f>+'Purchased Power Model '!G144</f>
        <v>1</v>
      </c>
      <c r="H144" s="117">
        <f t="shared" ca="1" si="8"/>
        <v>88627116.323205397</v>
      </c>
      <c r="I144" s="118"/>
      <c r="J144" s="119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>
      <c r="A145" s="3">
        <v>41944</v>
      </c>
      <c r="B145" s="111"/>
      <c r="C145" s="98">
        <f>(+C133/SUM(C$123:C$134))*Trends!B$24</f>
        <v>409.93406765887937</v>
      </c>
      <c r="D145" s="98">
        <f ca="1">(+D133/SUM(D$123:D$134))*Trends!C$24</f>
        <v>0</v>
      </c>
      <c r="E145" s="103">
        <f>+'Purchased Power Model '!E145</f>
        <v>7.5499999999999998E-2</v>
      </c>
      <c r="F145" s="10">
        <f>+'Purchased Power Model '!F145</f>
        <v>30</v>
      </c>
      <c r="G145" s="10">
        <f>+'Purchased Power Model '!G145</f>
        <v>1</v>
      </c>
      <c r="H145" s="117">
        <f t="shared" ca="1" si="8"/>
        <v>93813793.374597192</v>
      </c>
      <c r="I145" s="118"/>
      <c r="J145" s="119"/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>
      <c r="A146" s="3">
        <v>41974</v>
      </c>
      <c r="B146" s="111"/>
      <c r="C146" s="98">
        <f>(+C134/SUM(C$123:C$134))*Trends!B$24</f>
        <v>422.6271853229789</v>
      </c>
      <c r="D146" s="98">
        <f ca="1">(+D134/SUM(D$123:D$134))*Trends!C$24</f>
        <v>0</v>
      </c>
      <c r="E146" s="103">
        <f>+'Purchased Power Model '!E146</f>
        <v>7.5499999999999998E-2</v>
      </c>
      <c r="F146" s="10">
        <f>+'Purchased Power Model '!F146</f>
        <v>31</v>
      </c>
      <c r="G146" s="10">
        <f>+'Purchased Power Model '!G146</f>
        <v>0</v>
      </c>
      <c r="H146" s="117">
        <f t="shared" ca="1" si="8"/>
        <v>104386831.63116138</v>
      </c>
      <c r="I146" s="118"/>
      <c r="J146" s="119"/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>
      <c r="A147" s="3">
        <v>42005</v>
      </c>
      <c r="B147" s="111"/>
      <c r="C147" s="98">
        <f>(+C135/SUM(C$135:C$146))*Trends!B$24</f>
        <v>550.09469087935975</v>
      </c>
      <c r="D147" s="98">
        <f ca="1">(+D135/SUM(D$135:D$146))*Trends!C$24</f>
        <v>0</v>
      </c>
      <c r="E147" s="103">
        <f>+'Purchased Power Model '!E147</f>
        <v>7.5499999999999998E-2</v>
      </c>
      <c r="F147" s="10">
        <f>+'Purchased Power Model '!F147</f>
        <v>31</v>
      </c>
      <c r="G147" s="10">
        <f>+'Purchased Power Model '!G147</f>
        <v>0</v>
      </c>
      <c r="H147" s="117">
        <f t="shared" ca="1" si="8"/>
        <v>109505059.907261</v>
      </c>
      <c r="I147" s="118"/>
      <c r="J147" s="119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>
      <c r="A148" s="3">
        <v>42036</v>
      </c>
      <c r="B148" s="111"/>
      <c r="C148" s="98">
        <f>(+C136/SUM(C$135:C$146))*Trends!B$24</f>
        <v>546.60855292936048</v>
      </c>
      <c r="D148" s="98">
        <f ca="1">(+D136/SUM(D$135:D$146))*Trends!C$24</f>
        <v>0</v>
      </c>
      <c r="E148" s="103">
        <f>+'Purchased Power Model '!E148</f>
        <v>7.5499999999999998E-2</v>
      </c>
      <c r="F148" s="10">
        <f>+'Purchased Power Model '!F148</f>
        <v>28</v>
      </c>
      <c r="G148" s="10">
        <f>+'Purchased Power Model '!G148</f>
        <v>0</v>
      </c>
      <c r="H148" s="117">
        <f t="shared" ca="1" si="8"/>
        <v>100861486.84449792</v>
      </c>
      <c r="I148" s="118"/>
      <c r="J148" s="119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>
      <c r="A149" s="3">
        <v>42064</v>
      </c>
      <c r="B149" s="111"/>
      <c r="C149" s="98">
        <f>(+C137/SUM(C$135:C$146))*Trends!B$24</f>
        <v>487.16543147424602</v>
      </c>
      <c r="D149" s="98">
        <f ca="1">(+D137/SUM(D$135:D$146))*Trends!C$24</f>
        <v>0</v>
      </c>
      <c r="E149" s="103">
        <f>+'Purchased Power Model '!E149</f>
        <v>7.5499999999999998E-2</v>
      </c>
      <c r="F149" s="10">
        <f>+'Purchased Power Model '!F149</f>
        <v>31</v>
      </c>
      <c r="G149" s="10">
        <f>+'Purchased Power Model '!G149</f>
        <v>1</v>
      </c>
      <c r="H149" s="117">
        <f t="shared" ca="1" si="8"/>
        <v>99749410.947384104</v>
      </c>
      <c r="I149" s="118"/>
      <c r="J149" s="11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>
      <c r="A150" s="3">
        <v>42095</v>
      </c>
      <c r="B150" s="111"/>
      <c r="C150" s="98">
        <f>(+C138/SUM(C$135:C$146))*Trends!B$24</f>
        <v>327.6075791473599</v>
      </c>
      <c r="D150" s="98">
        <f ca="1">(+D138/SUM(D$135:D$146))*Trends!C$24</f>
        <v>0</v>
      </c>
      <c r="E150" s="103">
        <f>+'Purchased Power Model '!E150</f>
        <v>7.5499999999999998E-2</v>
      </c>
      <c r="F150" s="10">
        <f>+'Purchased Power Model '!F150</f>
        <v>30</v>
      </c>
      <c r="G150" s="10">
        <f>+'Purchased Power Model '!G150</f>
        <v>1</v>
      </c>
      <c r="H150" s="117">
        <f t="shared" ca="1" si="8"/>
        <v>90508121.395433277</v>
      </c>
      <c r="I150" s="118"/>
      <c r="J150" s="119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>
      <c r="A151" s="3">
        <v>42125</v>
      </c>
      <c r="B151" s="111"/>
      <c r="C151" s="98">
        <f>(+C139/SUM(C$135:C$146))*Trends!B$24</f>
        <v>119.24379552048516</v>
      </c>
      <c r="D151" s="98">
        <f ca="1">(+D139/SUM(D$135:D$146))*Trends!C$24</f>
        <v>3.6085283090503597</v>
      </c>
      <c r="E151" s="103">
        <f>+'Purchased Power Model '!E151</f>
        <v>7.5499999999999998E-2</v>
      </c>
      <c r="F151" s="10">
        <f>+'Purchased Power Model '!F151</f>
        <v>31</v>
      </c>
      <c r="G151" s="10">
        <f>+'Purchased Power Model '!G151</f>
        <v>1</v>
      </c>
      <c r="H151" s="117">
        <f t="shared" ca="1" si="8"/>
        <v>85482959.261590213</v>
      </c>
      <c r="I151" s="118"/>
      <c r="J151" s="119"/>
      <c r="T151" s="111"/>
    </row>
    <row r="152" spans="1:28">
      <c r="A152" s="3">
        <v>42156</v>
      </c>
      <c r="B152" s="111"/>
      <c r="C152" s="98">
        <f>(+C140/SUM(C$135:C$146))*Trends!B$24</f>
        <v>38.347517449991116</v>
      </c>
      <c r="D152" s="98">
        <f ca="1">(+D140/SUM(D$135:D$146))*Trends!C$24</f>
        <v>38.731537183807198</v>
      </c>
      <c r="E152" s="103">
        <f>+'Purchased Power Model '!E152</f>
        <v>7.5499999999999998E-2</v>
      </c>
      <c r="F152" s="10">
        <f>+'Purchased Power Model '!F152</f>
        <v>30</v>
      </c>
      <c r="G152" s="10">
        <f>+'Purchased Power Model '!G152</f>
        <v>0</v>
      </c>
      <c r="H152" s="117">
        <f t="shared" ca="1" si="8"/>
        <v>91561674.667625204</v>
      </c>
      <c r="I152" s="118"/>
      <c r="J152" s="119"/>
      <c r="T152" s="111"/>
    </row>
    <row r="153" spans="1:28">
      <c r="A153" s="3">
        <v>42186</v>
      </c>
      <c r="B153" s="111"/>
      <c r="C153" s="98">
        <f>(+C141/SUM(C$135:C$146))*Trends!B$24</f>
        <v>3.9330787128196012</v>
      </c>
      <c r="D153" s="98">
        <f ca="1">(+D141/SUM(D$135:D$146))*Trends!C$24</f>
        <v>132.31270466517984</v>
      </c>
      <c r="E153" s="103">
        <f>+'Purchased Power Model '!E153</f>
        <v>7.5499999999999998E-2</v>
      </c>
      <c r="F153" s="10">
        <f>+'Purchased Power Model '!F153</f>
        <v>31</v>
      </c>
      <c r="G153" s="10">
        <f>+'Purchased Power Model '!G153</f>
        <v>0</v>
      </c>
      <c r="H153" s="117">
        <f t="shared" ca="1" si="8"/>
        <v>106156836.09994954</v>
      </c>
      <c r="I153" s="118"/>
      <c r="J153" s="119"/>
      <c r="T153" s="111"/>
    </row>
    <row r="154" spans="1:28">
      <c r="A154" s="3">
        <v>42217</v>
      </c>
      <c r="B154" s="111"/>
      <c r="C154" s="98">
        <f>(+C142/SUM(C$135:C$146))*Trends!B$24</f>
        <v>9.8326967820490019</v>
      </c>
      <c r="D154" s="98">
        <f ca="1">(+D142/SUM(D$135:D$146))*Trends!C$24</f>
        <v>69.644596364671926</v>
      </c>
      <c r="E154" s="103">
        <f>+'Purchased Power Model '!E154</f>
        <v>7.5499999999999998E-2</v>
      </c>
      <c r="F154" s="10">
        <f>+'Purchased Power Model '!F154</f>
        <v>31</v>
      </c>
      <c r="G154" s="10">
        <f>+'Purchased Power Model '!G154</f>
        <v>0</v>
      </c>
      <c r="H154" s="117">
        <f t="shared" ca="1" si="8"/>
        <v>97592655.049331784</v>
      </c>
      <c r="I154" s="118"/>
      <c r="J154" s="119"/>
      <c r="T154" s="111"/>
    </row>
    <row r="155" spans="1:28">
      <c r="A155" s="3">
        <v>42248</v>
      </c>
      <c r="B155" s="111"/>
      <c r="C155" s="98">
        <f>(+C143/SUM(C$135:C$146))*Trends!B$24</f>
        <v>86.348955376903064</v>
      </c>
      <c r="D155" s="98">
        <f ca="1">(+D143/SUM(D$135:D$146))*Trends!C$24</f>
        <v>18.884631484030216</v>
      </c>
      <c r="E155" s="103">
        <f>+'Purchased Power Model '!E155</f>
        <v>7.5499999999999998E-2</v>
      </c>
      <c r="F155" s="10">
        <f>+'Purchased Power Model '!F155</f>
        <v>30</v>
      </c>
      <c r="G155" s="10">
        <f>+'Purchased Power Model '!G155</f>
        <v>1</v>
      </c>
      <c r="H155" s="117">
        <f t="shared" ca="1" si="8"/>
        <v>83472961.295390859</v>
      </c>
      <c r="I155" s="118"/>
      <c r="J155" s="119"/>
      <c r="T155" s="111"/>
    </row>
    <row r="156" spans="1:28">
      <c r="A156" s="3">
        <v>42278</v>
      </c>
      <c r="B156" s="111"/>
      <c r="C156" s="98">
        <f>(+C144/SUM(C$135:C$146))*Trends!B$24</f>
        <v>197.54781716662086</v>
      </c>
      <c r="D156" s="98">
        <f ca="1">(+D144/SUM(D$135:D$146))*Trends!C$24</f>
        <v>3.6085283090503597</v>
      </c>
      <c r="E156" s="103">
        <f>+'Purchased Power Model '!E156</f>
        <v>7.5499999999999998E-2</v>
      </c>
      <c r="F156" s="10">
        <f>+'Purchased Power Model '!F156</f>
        <v>31</v>
      </c>
      <c r="G156" s="10">
        <f>+'Purchased Power Model '!G156</f>
        <v>1</v>
      </c>
      <c r="H156" s="117">
        <f t="shared" ca="1" si="8"/>
        <v>88627116.323205397</v>
      </c>
      <c r="I156" s="118"/>
      <c r="J156" s="119"/>
      <c r="T156" s="111"/>
    </row>
    <row r="157" spans="1:28">
      <c r="A157" s="3">
        <v>42309</v>
      </c>
      <c r="B157" s="111"/>
      <c r="C157" s="98">
        <f>(+C145/SUM(C$135:C$146))*Trends!B$24</f>
        <v>409.93406765887937</v>
      </c>
      <c r="D157" s="98">
        <f ca="1">(+D145/SUM(D$135:D$146))*Trends!C$24</f>
        <v>0</v>
      </c>
      <c r="E157" s="103">
        <f>+'Purchased Power Model '!E157</f>
        <v>7.5499999999999998E-2</v>
      </c>
      <c r="F157" s="10">
        <f>+'Purchased Power Model '!F157</f>
        <v>30</v>
      </c>
      <c r="G157" s="10">
        <f>+'Purchased Power Model '!G157</f>
        <v>1</v>
      </c>
      <c r="H157" s="117">
        <f t="shared" ca="1" si="8"/>
        <v>93813793.374597192</v>
      </c>
      <c r="I157" s="118"/>
      <c r="J157" s="119"/>
      <c r="T157" s="111"/>
    </row>
    <row r="158" spans="1:28">
      <c r="A158" s="3">
        <v>42339</v>
      </c>
      <c r="B158" s="111"/>
      <c r="C158" s="98">
        <f>(+C146/SUM(C$135:C$146))*Trends!B$24</f>
        <v>422.6271853229789</v>
      </c>
      <c r="D158" s="98">
        <f ca="1">(+D146/SUM(D$135:D$146))*Trends!C$24</f>
        <v>0</v>
      </c>
      <c r="E158" s="103">
        <f>+'Purchased Power Model '!E158</f>
        <v>7.5499999999999998E-2</v>
      </c>
      <c r="F158" s="10">
        <f>+'Purchased Power Model '!F158</f>
        <v>31</v>
      </c>
      <c r="G158" s="10">
        <f>+'Purchased Power Model '!G158</f>
        <v>0</v>
      </c>
      <c r="H158" s="117">
        <f t="shared" ca="1" si="8"/>
        <v>104386831.63116138</v>
      </c>
      <c r="I158" s="118"/>
      <c r="J158" s="119"/>
      <c r="T158" s="111"/>
    </row>
    <row r="159" spans="1:28">
      <c r="A159" s="3">
        <v>42370</v>
      </c>
      <c r="B159" s="111"/>
      <c r="C159" s="98">
        <f>(+C147/SUM(C$147:C$158))*Trends!B$24</f>
        <v>550.09469087935975</v>
      </c>
      <c r="D159" s="98">
        <f ca="1">(+D147/SUM(D$147:D$158))*Trends!C$24</f>
        <v>0</v>
      </c>
      <c r="E159" s="103">
        <f>+'Purchased Power Model '!E159</f>
        <v>7.5499999999999998E-2</v>
      </c>
      <c r="F159" s="10">
        <f>+'Purchased Power Model '!F159</f>
        <v>31</v>
      </c>
      <c r="G159" s="10">
        <f>+'Purchased Power Model '!G159</f>
        <v>0</v>
      </c>
      <c r="H159" s="117">
        <f t="shared" ca="1" si="8"/>
        <v>109505059.907261</v>
      </c>
      <c r="I159" s="118"/>
      <c r="J159" s="119"/>
      <c r="T159" s="111"/>
    </row>
    <row r="160" spans="1:28">
      <c r="A160" s="3">
        <v>42401</v>
      </c>
      <c r="B160" s="111"/>
      <c r="C160" s="98">
        <f>(+C148/SUM(C$147:C$158))*Trends!B$24</f>
        <v>546.60855292936048</v>
      </c>
      <c r="D160" s="98">
        <f ca="1">(+D148/SUM(D$147:D$158))*Trends!C$24</f>
        <v>0</v>
      </c>
      <c r="E160" s="103">
        <f>+'Purchased Power Model '!E160</f>
        <v>7.5499999999999998E-2</v>
      </c>
      <c r="F160" s="10">
        <f>+'Purchased Power Model '!F160</f>
        <v>29</v>
      </c>
      <c r="G160" s="10">
        <f>+'Purchased Power Model '!G160</f>
        <v>0</v>
      </c>
      <c r="H160" s="117">
        <f t="shared" ca="1" si="8"/>
        <v>103696018.00034931</v>
      </c>
      <c r="I160" s="118"/>
      <c r="J160" s="119"/>
      <c r="T160" s="111"/>
    </row>
    <row r="161" spans="1:20">
      <c r="A161" s="3">
        <v>42430</v>
      </c>
      <c r="B161" s="111"/>
      <c r="C161" s="98">
        <f>(+C149/SUM(C$147:C$158))*Trends!B$24</f>
        <v>487.16543147424602</v>
      </c>
      <c r="D161" s="98">
        <f ca="1">(+D149/SUM(D$147:D$158))*Trends!C$24</f>
        <v>0</v>
      </c>
      <c r="E161" s="103">
        <f>+'Purchased Power Model '!E161</f>
        <v>7.5499999999999998E-2</v>
      </c>
      <c r="F161" s="10">
        <f>+'Purchased Power Model '!F161</f>
        <v>31</v>
      </c>
      <c r="G161" s="10">
        <f>+'Purchased Power Model '!G161</f>
        <v>1</v>
      </c>
      <c r="H161" s="117">
        <f t="shared" ca="1" si="8"/>
        <v>99749410.947384104</v>
      </c>
      <c r="I161" s="118"/>
      <c r="J161" s="119"/>
      <c r="T161" s="111"/>
    </row>
    <row r="162" spans="1:20">
      <c r="A162" s="3">
        <v>42461</v>
      </c>
      <c r="B162" s="111"/>
      <c r="C162" s="98">
        <f>(+C150/SUM(C$147:C$158))*Trends!B$24</f>
        <v>327.6075791473599</v>
      </c>
      <c r="D162" s="98">
        <f ca="1">(+D150/SUM(D$147:D$158))*Trends!C$24</f>
        <v>0</v>
      </c>
      <c r="E162" s="103">
        <f>+'Purchased Power Model '!E162</f>
        <v>7.5499999999999998E-2</v>
      </c>
      <c r="F162" s="10">
        <f>+'Purchased Power Model '!F162</f>
        <v>30</v>
      </c>
      <c r="G162" s="10">
        <f>+'Purchased Power Model '!G162</f>
        <v>1</v>
      </c>
      <c r="H162" s="117">
        <f t="shared" ca="1" si="8"/>
        <v>90508121.395433277</v>
      </c>
      <c r="I162" s="118"/>
      <c r="J162" s="119"/>
      <c r="T162" s="111"/>
    </row>
    <row r="163" spans="1:20">
      <c r="A163" s="3">
        <v>42491</v>
      </c>
      <c r="B163" s="111"/>
      <c r="C163" s="98">
        <f>(+C151/SUM(C$147:C$158))*Trends!B$24</f>
        <v>119.24379552048516</v>
      </c>
      <c r="D163" s="98">
        <f ca="1">(+D151/SUM(D$147:D$158))*Trends!C$24</f>
        <v>3.6085283090503597</v>
      </c>
      <c r="E163" s="103">
        <f>+'Purchased Power Model '!E163</f>
        <v>7.5499999999999998E-2</v>
      </c>
      <c r="F163" s="10">
        <f>+'Purchased Power Model '!F163</f>
        <v>31</v>
      </c>
      <c r="G163" s="10">
        <f>+'Purchased Power Model '!G163</f>
        <v>1</v>
      </c>
      <c r="H163" s="117">
        <f t="shared" ca="1" si="8"/>
        <v>85482959.261590213</v>
      </c>
      <c r="I163" s="118"/>
      <c r="J163" s="119"/>
      <c r="T163" s="111"/>
    </row>
    <row r="164" spans="1:20">
      <c r="A164" s="3">
        <v>42522</v>
      </c>
      <c r="B164" s="111"/>
      <c r="C164" s="98">
        <f>(+C152/SUM(C$147:C$158))*Trends!B$24</f>
        <v>38.347517449991116</v>
      </c>
      <c r="D164" s="98">
        <f ca="1">(+D152/SUM(D$147:D$158))*Trends!C$24</f>
        <v>38.731537183807198</v>
      </c>
      <c r="E164" s="103">
        <f>+'Purchased Power Model '!E164</f>
        <v>7.5499999999999998E-2</v>
      </c>
      <c r="F164" s="10">
        <f>+'Purchased Power Model '!F164</f>
        <v>30</v>
      </c>
      <c r="G164" s="10">
        <f>+'Purchased Power Model '!G164</f>
        <v>0</v>
      </c>
      <c r="H164" s="117">
        <f t="shared" ca="1" si="8"/>
        <v>91561674.667625204</v>
      </c>
      <c r="I164" s="118"/>
      <c r="J164" s="119"/>
      <c r="T164" s="111"/>
    </row>
    <row r="165" spans="1:20">
      <c r="A165" s="3">
        <v>42552</v>
      </c>
      <c r="B165" s="111"/>
      <c r="C165" s="98">
        <f>(+C153/SUM(C$147:C$158))*Trends!B$24</f>
        <v>3.9330787128196012</v>
      </c>
      <c r="D165" s="98">
        <f ca="1">(+D153/SUM(D$147:D$158))*Trends!C$24</f>
        <v>132.31270466517984</v>
      </c>
      <c r="E165" s="103">
        <f>+'Purchased Power Model '!E165</f>
        <v>7.5499999999999998E-2</v>
      </c>
      <c r="F165" s="10">
        <f>+'Purchased Power Model '!F165</f>
        <v>31</v>
      </c>
      <c r="G165" s="10">
        <f>+'Purchased Power Model '!G165</f>
        <v>0</v>
      </c>
      <c r="H165" s="117">
        <f t="shared" ca="1" si="8"/>
        <v>106156836.09994954</v>
      </c>
      <c r="I165" s="118"/>
      <c r="J165" s="119"/>
      <c r="T165" s="111"/>
    </row>
    <row r="166" spans="1:20">
      <c r="A166" s="3">
        <v>42583</v>
      </c>
      <c r="B166" s="111"/>
      <c r="C166" s="98">
        <f>(+C154/SUM(C$147:C$158))*Trends!B$24</f>
        <v>9.8326967820490019</v>
      </c>
      <c r="D166" s="98">
        <f ca="1">(+D154/SUM(D$147:D$158))*Trends!C$24</f>
        <v>69.644596364671926</v>
      </c>
      <c r="E166" s="103">
        <f>+'Purchased Power Model '!E166</f>
        <v>7.5499999999999998E-2</v>
      </c>
      <c r="F166" s="10">
        <f>+'Purchased Power Model '!F166</f>
        <v>31</v>
      </c>
      <c r="G166" s="10">
        <f>+'Purchased Power Model '!G166</f>
        <v>0</v>
      </c>
      <c r="H166" s="117">
        <f t="shared" ca="1" si="8"/>
        <v>97592655.049331784</v>
      </c>
      <c r="I166" s="118"/>
      <c r="J166" s="119"/>
      <c r="T166" s="111"/>
    </row>
    <row r="167" spans="1:20">
      <c r="A167" s="3">
        <v>42614</v>
      </c>
      <c r="B167" s="111"/>
      <c r="C167" s="98">
        <f>(+C155/SUM(C$147:C$158))*Trends!B$24</f>
        <v>86.348955376903064</v>
      </c>
      <c r="D167" s="98">
        <f ca="1">(+D155/SUM(D$147:D$158))*Trends!C$24</f>
        <v>18.884631484030216</v>
      </c>
      <c r="E167" s="103">
        <f>+'Purchased Power Model '!E167</f>
        <v>7.5499999999999998E-2</v>
      </c>
      <c r="F167" s="10">
        <f>+'Purchased Power Model '!F167</f>
        <v>30</v>
      </c>
      <c r="G167" s="10">
        <f>+'Purchased Power Model '!G167</f>
        <v>1</v>
      </c>
      <c r="H167" s="117">
        <f t="shared" ca="1" si="8"/>
        <v>83472961.295390859</v>
      </c>
      <c r="I167" s="118"/>
      <c r="J167" s="119"/>
      <c r="T167" s="111"/>
    </row>
    <row r="168" spans="1:20">
      <c r="A168" s="3">
        <v>42644</v>
      </c>
      <c r="B168" s="111"/>
      <c r="C168" s="98">
        <f>(+C156/SUM(C$147:C$158))*Trends!B$24</f>
        <v>197.54781716662086</v>
      </c>
      <c r="D168" s="98">
        <f ca="1">(+D156/SUM(D$147:D$158))*Trends!C$24</f>
        <v>3.6085283090503597</v>
      </c>
      <c r="E168" s="103">
        <f>+'Purchased Power Model '!E168</f>
        <v>7.5499999999999998E-2</v>
      </c>
      <c r="F168" s="10">
        <f>+'Purchased Power Model '!F168</f>
        <v>31</v>
      </c>
      <c r="G168" s="10">
        <f>+'Purchased Power Model '!G168</f>
        <v>1</v>
      </c>
      <c r="H168" s="117">
        <f t="shared" ca="1" si="8"/>
        <v>88627116.323205397</v>
      </c>
      <c r="I168" s="118"/>
      <c r="J168" s="119"/>
      <c r="T168" s="111"/>
    </row>
    <row r="169" spans="1:20">
      <c r="A169" s="3">
        <v>42675</v>
      </c>
      <c r="B169" s="111"/>
      <c r="C169" s="98">
        <f>(+C157/SUM(C$147:C$158))*Trends!B$24</f>
        <v>409.93406765887937</v>
      </c>
      <c r="D169" s="98">
        <f ca="1">(+D157/SUM(D$147:D$158))*Trends!C$24</f>
        <v>0</v>
      </c>
      <c r="E169" s="103">
        <f>+'Purchased Power Model '!E169</f>
        <v>7.5499999999999998E-2</v>
      </c>
      <c r="F169" s="10">
        <f>+'Purchased Power Model '!F169</f>
        <v>30</v>
      </c>
      <c r="G169" s="10">
        <f>+'Purchased Power Model '!G169</f>
        <v>1</v>
      </c>
      <c r="H169" s="117">
        <f t="shared" ca="1" si="8"/>
        <v>93813793.374597192</v>
      </c>
      <c r="I169" s="118"/>
      <c r="J169" s="119"/>
      <c r="T169" s="111"/>
    </row>
    <row r="170" spans="1:20">
      <c r="A170" s="3">
        <v>42705</v>
      </c>
      <c r="B170" s="111"/>
      <c r="C170" s="98">
        <f>(+C158/SUM(C$147:C$158))*Trends!B$24</f>
        <v>422.6271853229789</v>
      </c>
      <c r="D170" s="98">
        <f ca="1">(+D158/SUM(D$147:D$158))*Trends!C$24</f>
        <v>0</v>
      </c>
      <c r="E170" s="103">
        <f>+'Purchased Power Model '!E170</f>
        <v>7.5499999999999998E-2</v>
      </c>
      <c r="F170" s="10">
        <f>+'Purchased Power Model '!F170</f>
        <v>31</v>
      </c>
      <c r="G170" s="10">
        <f>+'Purchased Power Model '!G170</f>
        <v>0</v>
      </c>
      <c r="H170" s="117">
        <f t="shared" ca="1" si="8"/>
        <v>104386831.63116138</v>
      </c>
      <c r="I170" s="118"/>
      <c r="J170" s="119"/>
      <c r="T170" s="111"/>
    </row>
    <row r="171" spans="1:20">
      <c r="A171" s="3">
        <v>42736</v>
      </c>
      <c r="B171" s="111"/>
      <c r="C171" s="98">
        <f>(+C159/SUM(C$159:C$170))*Trends!B$24</f>
        <v>550.09469087935975</v>
      </c>
      <c r="D171" s="98">
        <f ca="1">(+D159/SUM(D$159:D$170))*Trends!C$24</f>
        <v>0</v>
      </c>
      <c r="E171" s="103">
        <f>+'Purchased Power Model '!E171</f>
        <v>7.5499999999999998E-2</v>
      </c>
      <c r="F171" s="10">
        <f>+'Purchased Power Model '!F171</f>
        <v>31</v>
      </c>
      <c r="G171" s="10">
        <f>+'Purchased Power Model '!G171</f>
        <v>0</v>
      </c>
      <c r="H171" s="117">
        <f t="shared" ca="1" si="8"/>
        <v>109505059.907261</v>
      </c>
      <c r="I171" s="118"/>
      <c r="J171" s="119"/>
      <c r="T171" s="111"/>
    </row>
    <row r="172" spans="1:20">
      <c r="A172" s="3">
        <v>42767</v>
      </c>
      <c r="B172" s="111"/>
      <c r="C172" s="98">
        <f>(+C160/SUM(C$159:C$170))*Trends!B$24</f>
        <v>546.60855292936048</v>
      </c>
      <c r="D172" s="98">
        <f ca="1">(+D160/SUM(D$159:D$170))*Trends!C$24</f>
        <v>0</v>
      </c>
      <c r="E172" s="103">
        <f>+'Purchased Power Model '!E172</f>
        <v>7.5499999999999998E-2</v>
      </c>
      <c r="F172" s="10">
        <f>+'Purchased Power Model '!F172</f>
        <v>28</v>
      </c>
      <c r="G172" s="10">
        <f>+'Purchased Power Model '!G172</f>
        <v>0</v>
      </c>
      <c r="H172" s="117">
        <f t="shared" ca="1" si="8"/>
        <v>100861486.84449792</v>
      </c>
      <c r="I172" s="118"/>
      <c r="J172" s="119"/>
      <c r="T172" s="111"/>
    </row>
    <row r="173" spans="1:20">
      <c r="A173" s="3">
        <v>42795</v>
      </c>
      <c r="B173" s="111"/>
      <c r="C173" s="98">
        <f>(+C161/SUM(C$159:C$170))*Trends!B$24</f>
        <v>487.16543147424602</v>
      </c>
      <c r="D173" s="98">
        <f ca="1">(+D161/SUM(D$159:D$170))*Trends!C$24</f>
        <v>0</v>
      </c>
      <c r="E173" s="103">
        <f>+'Purchased Power Model '!E173</f>
        <v>7.5499999999999998E-2</v>
      </c>
      <c r="F173" s="10">
        <f>+'Purchased Power Model '!F173</f>
        <v>31</v>
      </c>
      <c r="G173" s="10">
        <f>+'Purchased Power Model '!G173</f>
        <v>1</v>
      </c>
      <c r="H173" s="117">
        <f t="shared" ca="1" si="8"/>
        <v>99749410.947384104</v>
      </c>
      <c r="I173" s="118"/>
      <c r="J173" s="119"/>
      <c r="T173" s="111"/>
    </row>
    <row r="174" spans="1:20">
      <c r="A174" s="3">
        <v>42826</v>
      </c>
      <c r="B174" s="111"/>
      <c r="C174" s="98">
        <f>(+C162/SUM(C$159:C$170))*Trends!B$24</f>
        <v>327.6075791473599</v>
      </c>
      <c r="D174" s="98">
        <f ca="1">(+D162/SUM(D$159:D$170))*Trends!C$24</f>
        <v>0</v>
      </c>
      <c r="E174" s="103">
        <f>+'Purchased Power Model '!E174</f>
        <v>7.5499999999999998E-2</v>
      </c>
      <c r="F174" s="10">
        <f>+'Purchased Power Model '!F174</f>
        <v>30</v>
      </c>
      <c r="G174" s="10">
        <f>+'Purchased Power Model '!G174</f>
        <v>1</v>
      </c>
      <c r="H174" s="117">
        <f t="shared" ca="1" si="8"/>
        <v>90508121.395433277</v>
      </c>
      <c r="I174" s="118"/>
      <c r="J174" s="119"/>
      <c r="T174" s="111"/>
    </row>
    <row r="175" spans="1:20">
      <c r="A175" s="3">
        <v>42856</v>
      </c>
      <c r="B175" s="111"/>
      <c r="C175" s="98">
        <f>(+C163/SUM(C$159:C$170))*Trends!B$24</f>
        <v>119.24379552048516</v>
      </c>
      <c r="D175" s="98">
        <f ca="1">(+D163/SUM(D$159:D$170))*Trends!C$24</f>
        <v>3.6085283090503597</v>
      </c>
      <c r="E175" s="103">
        <f>+'Purchased Power Model '!E175</f>
        <v>7.5499999999999998E-2</v>
      </c>
      <c r="F175" s="10">
        <f>+'Purchased Power Model '!F175</f>
        <v>31</v>
      </c>
      <c r="G175" s="10">
        <f>+'Purchased Power Model '!G175</f>
        <v>1</v>
      </c>
      <c r="H175" s="117">
        <f t="shared" ca="1" si="8"/>
        <v>85482959.261590213</v>
      </c>
      <c r="I175" s="118"/>
      <c r="J175" s="119"/>
      <c r="T175" s="111"/>
    </row>
    <row r="176" spans="1:20">
      <c r="A176" s="3">
        <v>42887</v>
      </c>
      <c r="B176" s="111"/>
      <c r="C176" s="98">
        <f>(+C164/SUM(C$159:C$170))*Trends!B$24</f>
        <v>38.347517449991116</v>
      </c>
      <c r="D176" s="98">
        <f ca="1">(+D164/SUM(D$159:D$170))*Trends!C$24</f>
        <v>38.731537183807198</v>
      </c>
      <c r="E176" s="103">
        <f>+'Purchased Power Model '!E176</f>
        <v>7.5499999999999998E-2</v>
      </c>
      <c r="F176" s="10">
        <f>+'Purchased Power Model '!F176</f>
        <v>30</v>
      </c>
      <c r="G176" s="10">
        <f>+'Purchased Power Model '!G176</f>
        <v>0</v>
      </c>
      <c r="H176" s="117">
        <f t="shared" ca="1" si="8"/>
        <v>91561674.667625204</v>
      </c>
      <c r="I176" s="118"/>
      <c r="J176" s="119"/>
      <c r="T176" s="111"/>
    </row>
    <row r="177" spans="1:20">
      <c r="A177" s="3">
        <v>42917</v>
      </c>
      <c r="B177" s="111"/>
      <c r="C177" s="98">
        <f>(+C165/SUM(C$159:C$170))*Trends!B$24</f>
        <v>3.9330787128196012</v>
      </c>
      <c r="D177" s="98">
        <f ca="1">(+D165/SUM(D$159:D$170))*Trends!C$24</f>
        <v>132.31270466517984</v>
      </c>
      <c r="E177" s="103">
        <f>+'Purchased Power Model '!E177</f>
        <v>7.5499999999999998E-2</v>
      </c>
      <c r="F177" s="10">
        <f>+'Purchased Power Model '!F177</f>
        <v>31</v>
      </c>
      <c r="G177" s="10">
        <f>+'Purchased Power Model '!G177</f>
        <v>0</v>
      </c>
      <c r="H177" s="117">
        <f t="shared" ca="1" si="8"/>
        <v>106156836.09994954</v>
      </c>
      <c r="I177" s="118"/>
      <c r="J177" s="119"/>
      <c r="T177" s="111"/>
    </row>
    <row r="178" spans="1:20">
      <c r="A178" s="3">
        <v>42948</v>
      </c>
      <c r="B178" s="111"/>
      <c r="C178" s="98">
        <f>(+C166/SUM(C$159:C$170))*Trends!B$24</f>
        <v>9.8326967820490019</v>
      </c>
      <c r="D178" s="98">
        <f ca="1">(+D166/SUM(D$159:D$170))*Trends!C$24</f>
        <v>69.644596364671926</v>
      </c>
      <c r="E178" s="103">
        <f>+'Purchased Power Model '!E178</f>
        <v>7.5499999999999998E-2</v>
      </c>
      <c r="F178" s="10">
        <f>+'Purchased Power Model '!F178</f>
        <v>31</v>
      </c>
      <c r="G178" s="10">
        <f>+'Purchased Power Model '!G178</f>
        <v>0</v>
      </c>
      <c r="H178" s="117">
        <f t="shared" ca="1" si="8"/>
        <v>97592655.049331784</v>
      </c>
      <c r="I178" s="118"/>
      <c r="J178" s="119"/>
      <c r="T178" s="111"/>
    </row>
    <row r="179" spans="1:20">
      <c r="A179" s="3">
        <v>42979</v>
      </c>
      <c r="B179" s="111"/>
      <c r="C179" s="98">
        <f>(+C167/SUM(C$159:C$170))*Trends!B$24</f>
        <v>86.348955376903064</v>
      </c>
      <c r="D179" s="98">
        <f ca="1">(+D167/SUM(D$159:D$170))*Trends!C$24</f>
        <v>18.884631484030216</v>
      </c>
      <c r="E179" s="103">
        <f>+'Purchased Power Model '!E179</f>
        <v>7.5499999999999998E-2</v>
      </c>
      <c r="F179" s="10">
        <f>+'Purchased Power Model '!F179</f>
        <v>30</v>
      </c>
      <c r="G179" s="10">
        <f>+'Purchased Power Model '!G179</f>
        <v>1</v>
      </c>
      <c r="H179" s="117">
        <f t="shared" ca="1" si="8"/>
        <v>83472961.295390859</v>
      </c>
      <c r="I179" s="118"/>
      <c r="J179" s="119"/>
      <c r="T179" s="111"/>
    </row>
    <row r="180" spans="1:20">
      <c r="A180" s="3">
        <v>43009</v>
      </c>
      <c r="B180" s="111"/>
      <c r="C180" s="98">
        <f>(+C168/SUM(C$159:C$170))*Trends!B$24</f>
        <v>197.54781716662086</v>
      </c>
      <c r="D180" s="98">
        <f ca="1">(+D168/SUM(D$159:D$170))*Trends!C$24</f>
        <v>3.6085283090503597</v>
      </c>
      <c r="E180" s="103">
        <f>+'Purchased Power Model '!E180</f>
        <v>7.5499999999999998E-2</v>
      </c>
      <c r="F180" s="10">
        <f>+'Purchased Power Model '!F180</f>
        <v>31</v>
      </c>
      <c r="G180" s="10">
        <f>+'Purchased Power Model '!G180</f>
        <v>1</v>
      </c>
      <c r="H180" s="117">
        <f t="shared" ca="1" si="8"/>
        <v>88627116.323205397</v>
      </c>
      <c r="I180" s="118"/>
      <c r="J180" s="119"/>
      <c r="T180" s="111"/>
    </row>
    <row r="181" spans="1:20">
      <c r="A181" s="3">
        <v>43040</v>
      </c>
      <c r="B181" s="111"/>
      <c r="C181" s="98">
        <f>(+C169/SUM(C$159:C$170))*Trends!B$24</f>
        <v>409.93406765887937</v>
      </c>
      <c r="D181" s="98">
        <f ca="1">(+D169/SUM(D$159:D$170))*Trends!C$24</f>
        <v>0</v>
      </c>
      <c r="E181" s="103">
        <f>+'Purchased Power Model '!E181</f>
        <v>7.5499999999999998E-2</v>
      </c>
      <c r="F181" s="10">
        <f>+'Purchased Power Model '!F181</f>
        <v>30</v>
      </c>
      <c r="G181" s="10">
        <f>+'Purchased Power Model '!G181</f>
        <v>1</v>
      </c>
      <c r="H181" s="117">
        <f t="shared" ca="1" si="8"/>
        <v>93813793.374597192</v>
      </c>
      <c r="I181" s="118"/>
      <c r="J181" s="119"/>
      <c r="T181" s="111"/>
    </row>
    <row r="182" spans="1:20">
      <c r="A182" s="3">
        <v>43070</v>
      </c>
      <c r="B182" s="111"/>
      <c r="C182" s="98">
        <f>(+C170/SUM(C$159:C$170))*Trends!B$24</f>
        <v>422.6271853229789</v>
      </c>
      <c r="D182" s="98">
        <f ca="1">(+D170/SUM(D$159:D$170))*Trends!C$24</f>
        <v>0</v>
      </c>
      <c r="E182" s="103">
        <f>+'Purchased Power Model '!E182</f>
        <v>7.5499999999999998E-2</v>
      </c>
      <c r="F182" s="10">
        <f>+'Purchased Power Model '!F182</f>
        <v>31</v>
      </c>
      <c r="G182" s="10">
        <f>+'Purchased Power Model '!G182</f>
        <v>0</v>
      </c>
      <c r="H182" s="117">
        <f t="shared" ca="1" si="8"/>
        <v>104386831.63116138</v>
      </c>
      <c r="I182" s="118"/>
      <c r="J182" s="119"/>
      <c r="T182" s="111"/>
    </row>
    <row r="183" spans="1:20">
      <c r="A183" s="3">
        <v>43101</v>
      </c>
      <c r="B183" s="111"/>
      <c r="C183" s="98">
        <f>(+C171/SUM(C$171:C$182))*Trends!B$24</f>
        <v>550.09469087935975</v>
      </c>
      <c r="D183" s="98">
        <f ca="1">(+D171/SUM(D$171:D$182))*Trends!C$24</f>
        <v>0</v>
      </c>
      <c r="E183" s="103">
        <f>+'Purchased Power Model '!E183</f>
        <v>7.5499999999999998E-2</v>
      </c>
      <c r="F183" s="10">
        <f>+'Purchased Power Model '!F183</f>
        <v>31</v>
      </c>
      <c r="G183" s="10">
        <f>+'Purchased Power Model '!G183</f>
        <v>0</v>
      </c>
      <c r="H183" s="117">
        <f t="shared" ca="1" si="8"/>
        <v>109505059.907261</v>
      </c>
      <c r="I183" s="118"/>
      <c r="J183" s="119"/>
      <c r="T183" s="111"/>
    </row>
    <row r="184" spans="1:20">
      <c r="A184" s="3">
        <v>43132</v>
      </c>
      <c r="B184" s="111"/>
      <c r="C184" s="98">
        <f>(+C172/SUM(C$171:C$182))*Trends!B$24</f>
        <v>546.60855292936048</v>
      </c>
      <c r="D184" s="98">
        <f ca="1">(+D172/SUM(D$171:D$182))*Trends!C$24</f>
        <v>0</v>
      </c>
      <c r="E184" s="103">
        <f>+'Purchased Power Model '!E184</f>
        <v>7.5499999999999998E-2</v>
      </c>
      <c r="F184" s="10">
        <f>+'Purchased Power Model '!F184</f>
        <v>28</v>
      </c>
      <c r="G184" s="10">
        <f>+'Purchased Power Model '!G184</f>
        <v>0</v>
      </c>
      <c r="H184" s="117">
        <f t="shared" ca="1" si="8"/>
        <v>100861486.84449792</v>
      </c>
      <c r="I184" s="118"/>
      <c r="J184" s="119"/>
      <c r="T184" s="111"/>
    </row>
    <row r="185" spans="1:20">
      <c r="A185" s="3">
        <v>43160</v>
      </c>
      <c r="B185" s="111"/>
      <c r="C185" s="98">
        <f>(+C173/SUM(C$171:C$182))*Trends!B$24</f>
        <v>487.16543147424602</v>
      </c>
      <c r="D185" s="98">
        <f ca="1">(+D173/SUM(D$171:D$182))*Trends!C$24</f>
        <v>0</v>
      </c>
      <c r="E185" s="103">
        <f>+'Purchased Power Model '!E185</f>
        <v>7.5499999999999998E-2</v>
      </c>
      <c r="F185" s="10">
        <f>+'Purchased Power Model '!F185</f>
        <v>31</v>
      </c>
      <c r="G185" s="10">
        <f>+'Purchased Power Model '!G185</f>
        <v>1</v>
      </c>
      <c r="H185" s="117">
        <f t="shared" ca="1" si="8"/>
        <v>99749410.947384104</v>
      </c>
      <c r="I185" s="118"/>
      <c r="J185" s="119"/>
      <c r="T185" s="111"/>
    </row>
    <row r="186" spans="1:20">
      <c r="A186" s="3">
        <v>43191</v>
      </c>
      <c r="B186" s="111"/>
      <c r="C186" s="98">
        <f>(+C174/SUM(C$171:C$182))*Trends!B$24</f>
        <v>327.6075791473599</v>
      </c>
      <c r="D186" s="98">
        <f ca="1">(+D174/SUM(D$171:D$182))*Trends!C$24</f>
        <v>0</v>
      </c>
      <c r="E186" s="103">
        <f>+'Purchased Power Model '!E186</f>
        <v>7.5499999999999998E-2</v>
      </c>
      <c r="F186" s="10">
        <f>+'Purchased Power Model '!F186</f>
        <v>30</v>
      </c>
      <c r="G186" s="10">
        <f>+'Purchased Power Model '!G186</f>
        <v>1</v>
      </c>
      <c r="H186" s="117">
        <f t="shared" ca="1" si="8"/>
        <v>90508121.395433277</v>
      </c>
      <c r="I186" s="118"/>
      <c r="J186" s="119"/>
      <c r="T186" s="111"/>
    </row>
    <row r="187" spans="1:20">
      <c r="A187" s="3">
        <v>43221</v>
      </c>
      <c r="B187" s="111"/>
      <c r="C187" s="98">
        <f>(+C175/SUM(C$171:C$182))*Trends!B$24</f>
        <v>119.24379552048516</v>
      </c>
      <c r="D187" s="98">
        <f ca="1">(+D175/SUM(D$171:D$182))*Trends!C$24</f>
        <v>3.6085283090503597</v>
      </c>
      <c r="E187" s="103">
        <f>+'Purchased Power Model '!E187</f>
        <v>7.5499999999999998E-2</v>
      </c>
      <c r="F187" s="10">
        <f>+'Purchased Power Model '!F187</f>
        <v>31</v>
      </c>
      <c r="G187" s="10">
        <f>+'Purchased Power Model '!G187</f>
        <v>1</v>
      </c>
      <c r="H187" s="117">
        <f t="shared" ca="1" si="8"/>
        <v>85482959.261590213</v>
      </c>
      <c r="I187" s="118"/>
      <c r="J187" s="119"/>
      <c r="T187" s="111"/>
    </row>
    <row r="188" spans="1:20">
      <c r="A188" s="3">
        <v>43252</v>
      </c>
      <c r="B188" s="111"/>
      <c r="C188" s="98">
        <f>(+C176/SUM(C$171:C$182))*Trends!B$24</f>
        <v>38.347517449991116</v>
      </c>
      <c r="D188" s="98">
        <f ca="1">(+D176/SUM(D$171:D$182))*Trends!C$24</f>
        <v>38.731537183807198</v>
      </c>
      <c r="E188" s="103">
        <f>+'Purchased Power Model '!E188</f>
        <v>7.5499999999999998E-2</v>
      </c>
      <c r="F188" s="10">
        <f>+'Purchased Power Model '!F188</f>
        <v>30</v>
      </c>
      <c r="G188" s="10">
        <f>+'Purchased Power Model '!G188</f>
        <v>0</v>
      </c>
      <c r="H188" s="117">
        <f t="shared" ca="1" si="8"/>
        <v>91561674.667625204</v>
      </c>
      <c r="I188" s="118"/>
      <c r="J188" s="119"/>
      <c r="T188" s="111"/>
    </row>
    <row r="189" spans="1:20">
      <c r="A189" s="3">
        <v>43282</v>
      </c>
      <c r="B189" s="111"/>
      <c r="C189" s="98">
        <f>(+C177/SUM(C$171:C$182))*Trends!B$24</f>
        <v>3.9330787128196012</v>
      </c>
      <c r="D189" s="98">
        <f ca="1">(+D177/SUM(D$171:D$182))*Trends!C$24</f>
        <v>132.31270466517984</v>
      </c>
      <c r="E189" s="103">
        <f>+'Purchased Power Model '!E189</f>
        <v>7.5499999999999998E-2</v>
      </c>
      <c r="F189" s="10">
        <f>+'Purchased Power Model '!F189</f>
        <v>31</v>
      </c>
      <c r="G189" s="10">
        <f>+'Purchased Power Model '!G189</f>
        <v>0</v>
      </c>
      <c r="H189" s="117">
        <f t="shared" ca="1" si="8"/>
        <v>106156836.09994954</v>
      </c>
      <c r="I189" s="118"/>
      <c r="J189" s="119"/>
      <c r="T189" s="111"/>
    </row>
    <row r="190" spans="1:20">
      <c r="A190" s="3">
        <v>43313</v>
      </c>
      <c r="B190" s="111"/>
      <c r="C190" s="98">
        <f>(+C178/SUM(C$171:C$182))*Trends!B$24</f>
        <v>9.8326967820490019</v>
      </c>
      <c r="D190" s="98">
        <f ca="1">(+D178/SUM(D$171:D$182))*Trends!C$24</f>
        <v>69.644596364671926</v>
      </c>
      <c r="E190" s="103">
        <f>+'Purchased Power Model '!E190</f>
        <v>7.5499999999999998E-2</v>
      </c>
      <c r="F190" s="10">
        <f>+'Purchased Power Model '!F190</f>
        <v>31</v>
      </c>
      <c r="G190" s="10">
        <f>+'Purchased Power Model '!G190</f>
        <v>0</v>
      </c>
      <c r="H190" s="117">
        <f t="shared" ca="1" si="8"/>
        <v>97592655.049331784</v>
      </c>
      <c r="I190" s="118"/>
      <c r="J190" s="119"/>
      <c r="T190" s="111"/>
    </row>
    <row r="191" spans="1:20">
      <c r="A191" s="3">
        <v>43344</v>
      </c>
      <c r="B191" s="111"/>
      <c r="C191" s="98">
        <f>(+C179/SUM(C$171:C$182))*Trends!B$24</f>
        <v>86.348955376903064</v>
      </c>
      <c r="D191" s="98">
        <f ca="1">(+D179/SUM(D$171:D$182))*Trends!C$24</f>
        <v>18.884631484030216</v>
      </c>
      <c r="E191" s="103">
        <f>+'Purchased Power Model '!E191</f>
        <v>7.5499999999999998E-2</v>
      </c>
      <c r="F191" s="10">
        <f>+'Purchased Power Model '!F191</f>
        <v>30</v>
      </c>
      <c r="G191" s="10">
        <f>+'Purchased Power Model '!G191</f>
        <v>1</v>
      </c>
      <c r="H191" s="117">
        <f t="shared" ca="1" si="8"/>
        <v>83472961.295390859</v>
      </c>
      <c r="I191" s="118"/>
      <c r="J191" s="119"/>
      <c r="T191" s="111"/>
    </row>
    <row r="192" spans="1:20">
      <c r="A192" s="3">
        <v>43374</v>
      </c>
      <c r="B192" s="111"/>
      <c r="C192" s="98">
        <f>(+C180/SUM(C$171:C$182))*Trends!B$24</f>
        <v>197.54781716662086</v>
      </c>
      <c r="D192" s="98">
        <f ca="1">(+D180/SUM(D$171:D$182))*Trends!C$24</f>
        <v>3.6085283090503597</v>
      </c>
      <c r="E192" s="103">
        <f>+'Purchased Power Model '!E192</f>
        <v>7.5499999999999998E-2</v>
      </c>
      <c r="F192" s="10">
        <f>+'Purchased Power Model '!F192</f>
        <v>31</v>
      </c>
      <c r="G192" s="10">
        <f>+'Purchased Power Model '!G192</f>
        <v>1</v>
      </c>
      <c r="H192" s="117">
        <f t="shared" ca="1" si="8"/>
        <v>88627116.323205397</v>
      </c>
      <c r="I192" s="118"/>
      <c r="J192" s="119"/>
      <c r="T192" s="111"/>
    </row>
    <row r="193" spans="1:20">
      <c r="A193" s="3">
        <v>43405</v>
      </c>
      <c r="B193" s="111"/>
      <c r="C193" s="98">
        <f>(+C181/SUM(C$171:C$182))*Trends!B$24</f>
        <v>409.93406765887937</v>
      </c>
      <c r="D193" s="98">
        <f ca="1">(+D181/SUM(D$171:D$182))*Trends!C$24</f>
        <v>0</v>
      </c>
      <c r="E193" s="103">
        <f>+'Purchased Power Model '!E193</f>
        <v>7.5499999999999998E-2</v>
      </c>
      <c r="F193" s="10">
        <f>+'Purchased Power Model '!F193</f>
        <v>30</v>
      </c>
      <c r="G193" s="10">
        <f>+'Purchased Power Model '!G193</f>
        <v>1</v>
      </c>
      <c r="H193" s="117">
        <f t="shared" ca="1" si="8"/>
        <v>93813793.374597192</v>
      </c>
      <c r="I193" s="118"/>
      <c r="J193" s="119"/>
      <c r="T193" s="111"/>
    </row>
    <row r="194" spans="1:20">
      <c r="A194" s="3">
        <v>43435</v>
      </c>
      <c r="B194" s="111"/>
      <c r="C194" s="98">
        <f>(+C182/SUM(C$171:C$182))*Trends!B$24</f>
        <v>422.6271853229789</v>
      </c>
      <c r="D194" s="98">
        <f ca="1">(+D182/SUM(D$171:D$182))*Trends!C$24</f>
        <v>0</v>
      </c>
      <c r="E194" s="103">
        <f>+'Purchased Power Model '!E194</f>
        <v>7.5499999999999998E-2</v>
      </c>
      <c r="F194" s="10">
        <f>+'Purchased Power Model '!F194</f>
        <v>31</v>
      </c>
      <c r="G194" s="10">
        <f>+'Purchased Power Model '!G194</f>
        <v>0</v>
      </c>
      <c r="H194" s="117">
        <f t="shared" ca="1" si="8"/>
        <v>104386831.63116138</v>
      </c>
      <c r="I194" s="118"/>
      <c r="J194" s="119"/>
      <c r="T194" s="111"/>
    </row>
    <row r="195" spans="1:20">
      <c r="A195" s="3">
        <v>43466</v>
      </c>
      <c r="B195" s="111"/>
      <c r="C195" s="98">
        <f>(+C183/SUM(C$183:C$194))*Trends!B$24</f>
        <v>550.09469087935975</v>
      </c>
      <c r="D195" s="98">
        <f ca="1">(+D183/SUM(D$183:D$194))*Trends!C$24</f>
        <v>0</v>
      </c>
      <c r="E195" s="103">
        <f>+'Purchased Power Model '!E195</f>
        <v>7.5499999999999998E-2</v>
      </c>
      <c r="F195" s="10">
        <f>+'Purchased Power Model '!F195</f>
        <v>31</v>
      </c>
      <c r="G195" s="10">
        <f>+'Purchased Power Model '!G195</f>
        <v>0</v>
      </c>
      <c r="H195" s="117">
        <f t="shared" ca="1" si="8"/>
        <v>109505059.907261</v>
      </c>
      <c r="I195" s="118"/>
      <c r="J195" s="119"/>
      <c r="T195" s="111"/>
    </row>
    <row r="196" spans="1:20">
      <c r="A196" s="3">
        <v>43497</v>
      </c>
      <c r="B196" s="111"/>
      <c r="C196" s="98">
        <f>(+C184/SUM(C$183:C$194))*Trends!B$24</f>
        <v>546.60855292936048</v>
      </c>
      <c r="D196" s="98">
        <f ca="1">(+D184/SUM(D$183:D$194))*Trends!C$24</f>
        <v>0</v>
      </c>
      <c r="E196" s="103">
        <f>+'Purchased Power Model '!E196</f>
        <v>7.5499999999999998E-2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ca="1" si="11">$M$18+C196*$M$19+D196*$M$20+E196*$M$21+F196*$M$22+G196*$M$23</f>
        <v>100861486.84449792</v>
      </c>
      <c r="I196" s="118"/>
      <c r="J196" s="119"/>
      <c r="T196" s="111"/>
    </row>
    <row r="197" spans="1:20">
      <c r="A197" s="3">
        <v>43525</v>
      </c>
      <c r="B197" s="111"/>
      <c r="C197" s="98">
        <f>(+C185/SUM(C$183:C$194))*Trends!B$24</f>
        <v>487.16543147424602</v>
      </c>
      <c r="D197" s="98">
        <f ca="1">(+D185/SUM(D$183:D$194))*Trends!C$24</f>
        <v>0</v>
      </c>
      <c r="E197" s="103">
        <f>+'Purchased Power Model '!E197</f>
        <v>7.5499999999999998E-2</v>
      </c>
      <c r="F197" s="10">
        <f>+'Purchased Power Model '!F197</f>
        <v>31</v>
      </c>
      <c r="G197" s="10">
        <f>+'Purchased Power Model '!G197</f>
        <v>1</v>
      </c>
      <c r="H197" s="117">
        <f t="shared" ca="1" si="11"/>
        <v>99749410.947384104</v>
      </c>
      <c r="I197" s="118"/>
      <c r="J197" s="119"/>
      <c r="T197" s="111"/>
    </row>
    <row r="198" spans="1:20">
      <c r="A198" s="3">
        <v>43556</v>
      </c>
      <c r="B198" s="111"/>
      <c r="C198" s="98">
        <f>(+C186/SUM(C$183:C$194))*Trends!B$24</f>
        <v>327.6075791473599</v>
      </c>
      <c r="D198" s="98">
        <f ca="1">(+D186/SUM(D$183:D$194))*Trends!C$24</f>
        <v>0</v>
      </c>
      <c r="E198" s="103">
        <f>+'Purchased Power Model '!E198</f>
        <v>7.5499999999999998E-2</v>
      </c>
      <c r="F198" s="10">
        <f>+'Purchased Power Model '!F198</f>
        <v>30</v>
      </c>
      <c r="G198" s="10">
        <f>+'Purchased Power Model '!G198</f>
        <v>1</v>
      </c>
      <c r="H198" s="117">
        <f t="shared" ca="1" si="11"/>
        <v>90508121.395433277</v>
      </c>
      <c r="I198" s="118"/>
      <c r="J198" s="119"/>
      <c r="T198" s="111"/>
    </row>
    <row r="199" spans="1:20">
      <c r="A199" s="3">
        <v>43586</v>
      </c>
      <c r="B199" s="111"/>
      <c r="C199" s="98">
        <f>(+C187/SUM(C$183:C$194))*Trends!B$24</f>
        <v>119.24379552048516</v>
      </c>
      <c r="D199" s="98">
        <f ca="1">(+D187/SUM(D$183:D$194))*Trends!C$24</f>
        <v>3.6085283090503597</v>
      </c>
      <c r="E199" s="103">
        <f>+'Purchased Power Model '!E199</f>
        <v>7.5499999999999998E-2</v>
      </c>
      <c r="F199" s="10">
        <f>+'Purchased Power Model '!F199</f>
        <v>31</v>
      </c>
      <c r="G199" s="10">
        <f>+'Purchased Power Model '!G199</f>
        <v>1</v>
      </c>
      <c r="H199" s="117">
        <f t="shared" ca="1" si="11"/>
        <v>85482959.261590213</v>
      </c>
      <c r="I199" s="118"/>
      <c r="J199" s="119"/>
      <c r="T199" s="111"/>
    </row>
    <row r="200" spans="1:20">
      <c r="A200" s="3">
        <v>43617</v>
      </c>
      <c r="B200" s="111"/>
      <c r="C200" s="98">
        <f>(+C188/SUM(C$183:C$194))*Trends!B$24</f>
        <v>38.347517449991116</v>
      </c>
      <c r="D200" s="98">
        <f ca="1">(+D188/SUM(D$183:D$194))*Trends!C$24</f>
        <v>38.731537183807198</v>
      </c>
      <c r="E200" s="103">
        <f>+'Purchased Power Model '!E200</f>
        <v>7.5499999999999998E-2</v>
      </c>
      <c r="F200" s="10">
        <f>+'Purchased Power Model '!F200</f>
        <v>30</v>
      </c>
      <c r="G200" s="10">
        <f>+'Purchased Power Model '!G200</f>
        <v>0</v>
      </c>
      <c r="H200" s="117">
        <f t="shared" ca="1" si="11"/>
        <v>91561674.667625204</v>
      </c>
      <c r="I200" s="118"/>
      <c r="J200" s="119"/>
      <c r="T200" s="111"/>
    </row>
    <row r="201" spans="1:20">
      <c r="A201" s="3">
        <v>43647</v>
      </c>
      <c r="B201" s="111"/>
      <c r="C201" s="98">
        <f>(+C189/SUM(C$183:C$194))*Trends!B$24</f>
        <v>3.9330787128196012</v>
      </c>
      <c r="D201" s="98">
        <f ca="1">(+D189/SUM(D$183:D$194))*Trends!C$24</f>
        <v>132.31270466517984</v>
      </c>
      <c r="E201" s="103">
        <f>+'Purchased Power Model '!E201</f>
        <v>7.5499999999999998E-2</v>
      </c>
      <c r="F201" s="10">
        <f>+'Purchased Power Model '!F201</f>
        <v>31</v>
      </c>
      <c r="G201" s="10">
        <f>+'Purchased Power Model '!G201</f>
        <v>0</v>
      </c>
      <c r="H201" s="117">
        <f t="shared" ca="1" si="11"/>
        <v>106156836.09994954</v>
      </c>
      <c r="I201" s="118"/>
      <c r="J201" s="119"/>
      <c r="T201" s="111"/>
    </row>
    <row r="202" spans="1:20">
      <c r="A202" s="3">
        <v>43678</v>
      </c>
      <c r="B202" s="111"/>
      <c r="C202" s="98">
        <f>(+C190/SUM(C$183:C$194))*Trends!B$24</f>
        <v>9.8326967820490019</v>
      </c>
      <c r="D202" s="98">
        <f ca="1">(+D190/SUM(D$183:D$194))*Trends!C$24</f>
        <v>69.644596364671926</v>
      </c>
      <c r="E202" s="103">
        <f>+'Purchased Power Model '!E202</f>
        <v>7.5499999999999998E-2</v>
      </c>
      <c r="F202" s="10">
        <f>+'Purchased Power Model '!F202</f>
        <v>31</v>
      </c>
      <c r="G202" s="10">
        <f>+'Purchased Power Model '!G202</f>
        <v>0</v>
      </c>
      <c r="H202" s="117">
        <f t="shared" ca="1" si="11"/>
        <v>97592655.049331784</v>
      </c>
      <c r="I202" s="118"/>
      <c r="J202" s="119"/>
      <c r="T202" s="111"/>
    </row>
    <row r="203" spans="1:20">
      <c r="A203" s="3">
        <v>43709</v>
      </c>
      <c r="B203" s="111"/>
      <c r="C203" s="98">
        <f>(+C191/SUM(C$183:C$194))*Trends!B$24</f>
        <v>86.348955376903064</v>
      </c>
      <c r="D203" s="98">
        <f ca="1">(+D191/SUM(D$183:D$194))*Trends!C$24</f>
        <v>18.884631484030216</v>
      </c>
      <c r="E203" s="103">
        <f>+'Purchased Power Model '!E203</f>
        <v>7.5499999999999998E-2</v>
      </c>
      <c r="F203" s="10">
        <f>+'Purchased Power Model '!F203</f>
        <v>30</v>
      </c>
      <c r="G203" s="10">
        <f>+'Purchased Power Model '!G203</f>
        <v>1</v>
      </c>
      <c r="H203" s="117">
        <f t="shared" ca="1" si="11"/>
        <v>83472961.295390859</v>
      </c>
      <c r="I203" s="118"/>
      <c r="J203" s="119"/>
      <c r="T203" s="111"/>
    </row>
    <row r="204" spans="1:20">
      <c r="A204" s="3">
        <v>43739</v>
      </c>
      <c r="B204" s="111"/>
      <c r="C204" s="98">
        <f>(+C192/SUM(C$183:C$194))*Trends!B$24</f>
        <v>197.54781716662086</v>
      </c>
      <c r="D204" s="98">
        <f ca="1">(+D192/SUM(D$183:D$194))*Trends!C$24</f>
        <v>3.6085283090503597</v>
      </c>
      <c r="E204" s="103">
        <f>+'Purchased Power Model '!E204</f>
        <v>7.5499999999999998E-2</v>
      </c>
      <c r="F204" s="10">
        <f>+'Purchased Power Model '!F204</f>
        <v>31</v>
      </c>
      <c r="G204" s="10">
        <f>+'Purchased Power Model '!G204</f>
        <v>1</v>
      </c>
      <c r="H204" s="117">
        <f t="shared" ca="1" si="11"/>
        <v>88627116.323205397</v>
      </c>
      <c r="I204" s="118"/>
      <c r="J204" s="119"/>
      <c r="T204" s="111"/>
    </row>
    <row r="205" spans="1:20">
      <c r="A205" s="3">
        <v>43770</v>
      </c>
      <c r="B205" s="111"/>
      <c r="C205" s="98">
        <f>(+C193/SUM(C$183:C$194))*Trends!B$24</f>
        <v>409.93406765887937</v>
      </c>
      <c r="D205" s="98">
        <f ca="1">(+D193/SUM(D$183:D$194))*Trends!C$24</f>
        <v>0</v>
      </c>
      <c r="E205" s="103">
        <f>+'Purchased Power Model '!E205</f>
        <v>7.5499999999999998E-2</v>
      </c>
      <c r="F205" s="10">
        <f>+'Purchased Power Model '!F205</f>
        <v>30</v>
      </c>
      <c r="G205" s="10">
        <f>+'Purchased Power Model '!G205</f>
        <v>1</v>
      </c>
      <c r="H205" s="117">
        <f t="shared" ca="1" si="11"/>
        <v>93813793.374597192</v>
      </c>
      <c r="I205" s="118"/>
      <c r="J205" s="119"/>
      <c r="T205" s="111"/>
    </row>
    <row r="206" spans="1:20">
      <c r="A206" s="3">
        <v>43800</v>
      </c>
      <c r="B206" s="111"/>
      <c r="C206" s="98">
        <f>(+C194/SUM(C$183:C$194))*Trends!B$24</f>
        <v>422.6271853229789</v>
      </c>
      <c r="D206" s="98">
        <f ca="1">(+D194/SUM(D$183:D$194))*Trends!C$24</f>
        <v>0</v>
      </c>
      <c r="E206" s="103">
        <f>+'Purchased Power Model '!E206</f>
        <v>7.5499999999999998E-2</v>
      </c>
      <c r="F206" s="10">
        <f>+'Purchased Power Model '!F206</f>
        <v>31</v>
      </c>
      <c r="G206" s="10">
        <f>+'Purchased Power Model '!G206</f>
        <v>0</v>
      </c>
      <c r="H206" s="117">
        <f t="shared" ca="1" si="11"/>
        <v>104386831.63116138</v>
      </c>
      <c r="I206" s="118"/>
      <c r="J206" s="119"/>
      <c r="T206" s="111"/>
    </row>
    <row r="207" spans="1:20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T207" s="120"/>
    </row>
    <row r="208" spans="1:20">
      <c r="A208" s="3"/>
      <c r="B208" s="6"/>
      <c r="C208" s="18"/>
      <c r="D208" s="180" t="s">
        <v>60</v>
      </c>
      <c r="E208" s="34"/>
      <c r="F208" s="180"/>
      <c r="G208" s="180"/>
      <c r="H208" s="47">
        <f ca="1">SUM(H3:H206)</f>
        <v>19692342135.998814</v>
      </c>
      <c r="I208" s="36"/>
      <c r="J208" s="5"/>
      <c r="L208"/>
      <c r="M208"/>
      <c r="N208"/>
      <c r="O208"/>
      <c r="T208" s="111"/>
    </row>
    <row r="209" spans="1:20" ht="26.4">
      <c r="A209" s="3"/>
      <c r="B209" s="6"/>
      <c r="C209" s="23"/>
      <c r="D209" s="23"/>
      <c r="E209" s="34"/>
      <c r="F209"/>
      <c r="G209"/>
      <c r="H209" s="180"/>
      <c r="I209" s="36"/>
      <c r="J209" s="5" t="s">
        <v>196</v>
      </c>
      <c r="L209" s="408" t="s">
        <v>296</v>
      </c>
      <c r="M209" s="405" t="s">
        <v>294</v>
      </c>
      <c r="N209" s="408" t="s">
        <v>299</v>
      </c>
      <c r="O209" s="406" t="s">
        <v>295</v>
      </c>
      <c r="P209" s="408" t="s">
        <v>298</v>
      </c>
      <c r="Q209" s="406" t="s">
        <v>297</v>
      </c>
      <c r="T209" s="111"/>
    </row>
    <row r="210" spans="1:20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1214096286.5571823</v>
      </c>
      <c r="I210" s="36">
        <f t="shared" ref="I210:I224" si="12">H210-B210</f>
        <v>-18627883.442817688</v>
      </c>
      <c r="J210" s="5">
        <f t="shared" ref="J210:J226" si="13">I210/B210</f>
        <v>-1.5111152921433908E-2</v>
      </c>
      <c r="L210" s="183"/>
      <c r="M210" s="407">
        <f>+H210-L210</f>
        <v>1214096286.5571823</v>
      </c>
      <c r="N210" s="183"/>
      <c r="O210" s="407">
        <f>+M210-N210</f>
        <v>1214096286.5571823</v>
      </c>
      <c r="P210" s="183"/>
      <c r="Q210" s="407">
        <f>+O210+P210</f>
        <v>1214096286.5571823</v>
      </c>
      <c r="T210" s="111"/>
    </row>
    <row r="211" spans="1:20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1198833047.1489887</v>
      </c>
      <c r="I211" s="36">
        <f t="shared" si="12"/>
        <v>20391857.148988724</v>
      </c>
      <c r="J211" s="5">
        <f t="shared" si="13"/>
        <v>1.7304094020159567E-2</v>
      </c>
      <c r="L211" s="183"/>
      <c r="M211" s="407">
        <f t="shared" ref="M211:M226" si="14">+H211-L211</f>
        <v>1198833047.1489887</v>
      </c>
      <c r="N211" s="183"/>
      <c r="O211" s="407">
        <f t="shared" ref="O211:O226" si="15">+M211-N211</f>
        <v>1198833047.1489887</v>
      </c>
      <c r="P211" s="183"/>
      <c r="Q211" s="407">
        <f t="shared" ref="Q211:Q226" si="16">+O211+P211</f>
        <v>1198833047.1489887</v>
      </c>
      <c r="T211" s="111"/>
    </row>
    <row r="212" spans="1:20">
      <c r="A212" s="16">
        <v>2005</v>
      </c>
      <c r="B212" s="6">
        <f>SUM(B27:B38)</f>
        <v>1174501350</v>
      </c>
      <c r="C212" s="107">
        <f t="shared" ref="C212:C226" si="17">+B212-B211</f>
        <v>-3939840</v>
      </c>
      <c r="D212" s="109">
        <f t="shared" ref="D212:D226" si="18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1207050039.1496041</v>
      </c>
      <c r="I212" s="36">
        <f t="shared" si="12"/>
        <v>32548689.149604082</v>
      </c>
      <c r="J212" s="5">
        <f t="shared" si="13"/>
        <v>2.7712772871316054E-2</v>
      </c>
      <c r="L212" s="183"/>
      <c r="M212" s="407">
        <f t="shared" si="14"/>
        <v>1207050039.1496041</v>
      </c>
      <c r="N212" s="183"/>
      <c r="O212" s="407">
        <f t="shared" si="15"/>
        <v>1207050039.1496041</v>
      </c>
      <c r="P212" s="183"/>
      <c r="Q212" s="407">
        <f t="shared" si="16"/>
        <v>1207050039.1496041</v>
      </c>
      <c r="T212" s="120"/>
    </row>
    <row r="213" spans="1:20">
      <c r="A213">
        <v>2006</v>
      </c>
      <c r="B213" s="6">
        <f>SUM(B39:B50)</f>
        <v>1151360440</v>
      </c>
      <c r="C213" s="107">
        <f t="shared" si="17"/>
        <v>-23140910</v>
      </c>
      <c r="D213" s="109">
        <f t="shared" si="18"/>
        <v>-1.9702753002369899E-2</v>
      </c>
      <c r="E213" s="109">
        <f>RATE(3,0,-B$210,B213)</f>
        <v>-2.2503680894619967E-2</v>
      </c>
      <c r="F213"/>
      <c r="G213"/>
      <c r="H213" s="6">
        <f>SUM(H39:H50)</f>
        <v>1170881307.9356413</v>
      </c>
      <c r="I213" s="36">
        <f t="shared" si="12"/>
        <v>19520867.935641289</v>
      </c>
      <c r="J213" s="5">
        <f t="shared" si="13"/>
        <v>1.6954610613198841E-2</v>
      </c>
      <c r="L213" s="183"/>
      <c r="M213" s="407">
        <f t="shared" si="14"/>
        <v>1170881307.9356413</v>
      </c>
      <c r="N213" s="183"/>
      <c r="O213" s="407">
        <f t="shared" si="15"/>
        <v>1170881307.9356413</v>
      </c>
      <c r="P213" s="183"/>
      <c r="Q213" s="407">
        <f t="shared" si="16"/>
        <v>1170881307.9356413</v>
      </c>
      <c r="T213" s="111"/>
    </row>
    <row r="214" spans="1:20">
      <c r="A214" s="16">
        <v>2007</v>
      </c>
      <c r="B214" s="6">
        <f>SUM(B51:B62)</f>
        <v>1191153590</v>
      </c>
      <c r="C214" s="107">
        <f t="shared" si="17"/>
        <v>39793150</v>
      </c>
      <c r="D214" s="109">
        <f t="shared" si="18"/>
        <v>3.4561852759158546E-2</v>
      </c>
      <c r="E214" s="109">
        <f>RATE(4,0,-B$210,B214)</f>
        <v>-8.5393934317338754E-3</v>
      </c>
      <c r="F214"/>
      <c r="G214"/>
      <c r="H214" s="6">
        <f>SUM(H51:H62)</f>
        <v>1147471680.5230298</v>
      </c>
      <c r="I214" s="36">
        <f t="shared" si="12"/>
        <v>-43681909.476970196</v>
      </c>
      <c r="J214" s="5">
        <f t="shared" si="13"/>
        <v>-3.667193705638766E-2</v>
      </c>
      <c r="L214" s="183"/>
      <c r="M214" s="407">
        <f t="shared" si="14"/>
        <v>1147471680.5230298</v>
      </c>
      <c r="N214" s="183"/>
      <c r="O214" s="407">
        <f t="shared" si="15"/>
        <v>1147471680.5230298</v>
      </c>
      <c r="P214" s="183"/>
      <c r="Q214" s="407">
        <f t="shared" si="16"/>
        <v>1147471680.5230298</v>
      </c>
      <c r="T214" s="111"/>
    </row>
    <row r="215" spans="1:20">
      <c r="A215">
        <v>2008</v>
      </c>
      <c r="B215" s="6">
        <f>SUM(B63:B74)</f>
        <v>1158881926</v>
      </c>
      <c r="C215" s="107">
        <f t="shared" si="17"/>
        <v>-32271664</v>
      </c>
      <c r="D215" s="109">
        <f t="shared" si="18"/>
        <v>-2.70927815446537E-2</v>
      </c>
      <c r="E215" s="109">
        <f>RATE(5,0,-B$210,B215)</f>
        <v>-1.2278162500929547E-2</v>
      </c>
      <c r="F215"/>
      <c r="G215"/>
      <c r="H215" s="6">
        <f>SUM(H63:H74)</f>
        <v>1110172412.3567979</v>
      </c>
      <c r="I215" s="36">
        <f t="shared" si="12"/>
        <v>-48709513.643202066</v>
      </c>
      <c r="J215" s="5">
        <f t="shared" si="13"/>
        <v>-4.2031472361751261E-2</v>
      </c>
      <c r="L215" s="183"/>
      <c r="M215" s="407">
        <f t="shared" si="14"/>
        <v>1110172412.3567979</v>
      </c>
      <c r="N215" s="183"/>
      <c r="O215" s="407">
        <f t="shared" si="15"/>
        <v>1110172412.3567979</v>
      </c>
      <c r="P215" s="183"/>
      <c r="Q215" s="407">
        <f t="shared" si="16"/>
        <v>1110172412.3567979</v>
      </c>
      <c r="T215" s="111"/>
    </row>
    <row r="216" spans="1:20">
      <c r="A216" s="16">
        <v>2009</v>
      </c>
      <c r="B216" s="6">
        <f>SUM(B75:B86)</f>
        <v>1128390784.5107694</v>
      </c>
      <c r="C216" s="107">
        <f t="shared" si="17"/>
        <v>-30491141.489230633</v>
      </c>
      <c r="D216" s="109">
        <f t="shared" si="18"/>
        <v>-2.6310826672803447E-2</v>
      </c>
      <c r="E216" s="109">
        <f>RATE(6,0,-B$210,B216)</f>
        <v>-1.4630905973235077E-2</v>
      </c>
      <c r="F216"/>
      <c r="G216"/>
      <c r="H216" s="6">
        <f>SUM(H75:H86)</f>
        <v>1126724653.6746798</v>
      </c>
      <c r="I216" s="36">
        <f t="shared" si="12"/>
        <v>-1666130.8360896111</v>
      </c>
      <c r="J216" s="5">
        <f t="shared" si="13"/>
        <v>-1.4765548061543119E-3</v>
      </c>
      <c r="L216" s="183"/>
      <c r="M216" s="407">
        <f t="shared" si="14"/>
        <v>1126724653.6746798</v>
      </c>
      <c r="N216" s="183"/>
      <c r="O216" s="407">
        <f t="shared" si="15"/>
        <v>1126724653.6746798</v>
      </c>
      <c r="P216" s="183"/>
      <c r="Q216" s="407">
        <f t="shared" si="16"/>
        <v>1126724653.6746798</v>
      </c>
      <c r="T216" s="111"/>
    </row>
    <row r="217" spans="1:20">
      <c r="A217">
        <v>2010</v>
      </c>
      <c r="B217" s="6">
        <f>SUM(B87:B98)</f>
        <v>1148489331.8146157</v>
      </c>
      <c r="C217" s="107">
        <f t="shared" si="17"/>
        <v>20098547.303846359</v>
      </c>
      <c r="D217" s="109">
        <f t="shared" si="18"/>
        <v>1.781169039993568E-2</v>
      </c>
      <c r="E217" s="109">
        <f>RATE(7,0,-B$210,B217)</f>
        <v>-1.0060343960087228E-2</v>
      </c>
      <c r="F217"/>
      <c r="G217"/>
      <c r="H217" s="6">
        <f>SUM(H87:H98)</f>
        <v>1129720236.440757</v>
      </c>
      <c r="I217" s="36">
        <f t="shared" si="12"/>
        <v>-18769095.37385869</v>
      </c>
      <c r="J217" s="5">
        <f t="shared" si="13"/>
        <v>-1.6342420302854252E-2</v>
      </c>
      <c r="L217" s="183"/>
      <c r="M217" s="407">
        <f t="shared" si="14"/>
        <v>1129720236.440757</v>
      </c>
      <c r="N217" s="183"/>
      <c r="O217" s="407">
        <f t="shared" si="15"/>
        <v>1129720236.440757</v>
      </c>
      <c r="P217" s="183"/>
      <c r="Q217" s="407">
        <f t="shared" si="16"/>
        <v>1129720236.440757</v>
      </c>
      <c r="T217" s="111"/>
    </row>
    <row r="218" spans="1:20">
      <c r="A218">
        <v>2011</v>
      </c>
      <c r="B218" s="6">
        <f>SUM(B99:B110)</f>
        <v>1148632387.3953846</v>
      </c>
      <c r="C218" s="107">
        <f t="shared" si="17"/>
        <v>143055.58076882362</v>
      </c>
      <c r="D218" s="109">
        <f t="shared" si="18"/>
        <v>1.2455978197272019E-4</v>
      </c>
      <c r="E218" s="109">
        <f>RATE(8,0,-B$210,B218)</f>
        <v>-8.7929249231188996E-3</v>
      </c>
      <c r="F218"/>
      <c r="G218"/>
      <c r="H218" s="6">
        <f>SUM(H99:H110)</f>
        <v>1164987379.8152349</v>
      </c>
      <c r="I218" s="36">
        <f t="shared" si="12"/>
        <v>16354992.419850349</v>
      </c>
      <c r="J218" s="5">
        <f t="shared" si="13"/>
        <v>1.4238665563781113E-2</v>
      </c>
      <c r="L218" s="183"/>
      <c r="M218" s="407">
        <f t="shared" si="14"/>
        <v>1164987379.8152349</v>
      </c>
      <c r="N218" s="183"/>
      <c r="O218" s="407">
        <f t="shared" si="15"/>
        <v>1164987379.8152349</v>
      </c>
      <c r="P218" s="183"/>
      <c r="Q218" s="407">
        <f t="shared" si="16"/>
        <v>1164987379.8152349</v>
      </c>
      <c r="T218" s="111"/>
    </row>
    <row r="219" spans="1:20">
      <c r="A219">
        <v>2012</v>
      </c>
      <c r="B219" s="6">
        <f>SUM(B111:B122)</f>
        <v>1136211952.670979</v>
      </c>
      <c r="C219" s="107">
        <f t="shared" si="17"/>
        <v>-12420434.724405527</v>
      </c>
      <c r="D219" s="109">
        <f t="shared" si="18"/>
        <v>-1.0813237429748827E-2</v>
      </c>
      <c r="E219" s="109">
        <f>RATE(9,0,-B$210,B219)</f>
        <v>-9.0176077035169049E-3</v>
      </c>
      <c r="F219"/>
      <c r="G219"/>
      <c r="H219" s="6">
        <f>SUM(H111:H122)</f>
        <v>1150628519.5562067</v>
      </c>
      <c r="I219" s="36">
        <f t="shared" si="12"/>
        <v>14416566.88522768</v>
      </c>
      <c r="J219" s="5">
        <f t="shared" si="13"/>
        <v>1.268827251054486E-2</v>
      </c>
      <c r="L219" s="183"/>
      <c r="M219" s="407">
        <f t="shared" si="14"/>
        <v>1150628519.5562067</v>
      </c>
      <c r="N219" s="183"/>
      <c r="O219" s="407">
        <f t="shared" si="15"/>
        <v>1150628519.5562067</v>
      </c>
      <c r="P219" s="183"/>
      <c r="Q219" s="407">
        <f t="shared" si="16"/>
        <v>1150628519.5562067</v>
      </c>
      <c r="T219" s="111"/>
    </row>
    <row r="220" spans="1:20">
      <c r="A220">
        <v>2013</v>
      </c>
      <c r="B220" s="6">
        <f>SUM(B123:B134)</f>
        <v>1130407041.6666667</v>
      </c>
      <c r="C220" s="107">
        <f t="shared" si="17"/>
        <v>-5804911.0043122768</v>
      </c>
      <c r="D220" s="109">
        <f t="shared" si="18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1158628600.9002914</v>
      </c>
      <c r="I220" s="36">
        <f t="shared" ca="1" si="12"/>
        <v>28221559.233624697</v>
      </c>
      <c r="J220" s="5">
        <f t="shared" ca="1" si="13"/>
        <v>2.4965838139167078E-2</v>
      </c>
      <c r="L220" s="183"/>
      <c r="M220" s="407">
        <f t="shared" ca="1" si="14"/>
        <v>1158628600.9002914</v>
      </c>
      <c r="N220" s="183"/>
      <c r="O220" s="407">
        <f t="shared" ca="1" si="15"/>
        <v>1158628600.9002914</v>
      </c>
      <c r="P220" s="183"/>
      <c r="Q220" s="407">
        <f t="shared" ca="1" si="16"/>
        <v>1158628600.9002914</v>
      </c>
      <c r="T220" s="111"/>
    </row>
    <row r="221" spans="1:20">
      <c r="A221">
        <v>2014</v>
      </c>
      <c r="B221" s="6">
        <f ca="1">+H221</f>
        <v>1151718906.7974279</v>
      </c>
      <c r="C221" s="107">
        <f t="shared" ca="1" si="17"/>
        <v>21311865.130761147</v>
      </c>
      <c r="D221" s="109">
        <f t="shared" ca="1" si="18"/>
        <v>1.8853266429886207E-2</v>
      </c>
      <c r="E221" s="109">
        <f ca="1">RATE(11,0,-B$210,B221)</f>
        <v>-6.1601267526791188E-3</v>
      </c>
      <c r="F221"/>
      <c r="G221"/>
      <c r="H221" s="6">
        <f ca="1">SUM(H135:H146)</f>
        <v>1151718906.7974279</v>
      </c>
      <c r="I221" s="36">
        <f t="shared" ca="1" si="12"/>
        <v>0</v>
      </c>
      <c r="J221" s="5">
        <f t="shared" ca="1" si="13"/>
        <v>0</v>
      </c>
      <c r="L221" s="6">
        <f>+' CDM Summary'!J19</f>
        <v>37287880.640079185</v>
      </c>
      <c r="M221" s="407">
        <f t="shared" ca="1" si="14"/>
        <v>1114431026.1573486</v>
      </c>
      <c r="N221" s="6">
        <f>+' CDM Summary'!J18</f>
        <v>0</v>
      </c>
      <c r="O221" s="407">
        <f t="shared" ca="1" si="15"/>
        <v>1114431026.1573486</v>
      </c>
      <c r="P221" s="6">
        <f ca="1">+'City Expansion'!C104*'Rate Class Energy Model'!$F$25</f>
        <v>0</v>
      </c>
      <c r="Q221" s="407">
        <f t="shared" ca="1" si="16"/>
        <v>1114431026.1573486</v>
      </c>
      <c r="T221" s="111"/>
    </row>
    <row r="222" spans="1:20">
      <c r="A222">
        <v>2015</v>
      </c>
      <c r="B222" s="6">
        <f t="shared" ref="B222:B224" ca="1" si="19">+H222</f>
        <v>1151718906.7974279</v>
      </c>
      <c r="C222" s="107">
        <f t="shared" ca="1" si="17"/>
        <v>0</v>
      </c>
      <c r="D222" s="109">
        <f t="shared" ca="1" si="18"/>
        <v>0</v>
      </c>
      <c r="E222" s="109">
        <f ca="1">RATE(12,0,-B$210,B222)</f>
        <v>-5.6482354618732303E-3</v>
      </c>
      <c r="F222"/>
      <c r="G222"/>
      <c r="H222" s="6">
        <f ca="1">SUM(H147:H158)</f>
        <v>1151718906.7974279</v>
      </c>
      <c r="I222" s="36">
        <f t="shared" ca="1" si="12"/>
        <v>0</v>
      </c>
      <c r="J222" s="5">
        <f t="shared" ca="1" si="13"/>
        <v>0</v>
      </c>
      <c r="L222" s="6">
        <f ca="1">+' CDM Summary'!K$19</f>
        <v>41690292.043910623</v>
      </c>
      <c r="M222" s="407">
        <f t="shared" ca="1" si="14"/>
        <v>1110028614.7535172</v>
      </c>
      <c r="N222" s="6">
        <f ca="1">+' CDM Summary'!K$18</f>
        <v>2420722.3546389453</v>
      </c>
      <c r="O222" s="407">
        <f t="shared" ca="1" si="15"/>
        <v>1107607892.3988781</v>
      </c>
      <c r="P222" s="6">
        <f ca="1">+'City Expansion'!C105*'Rate Class Energy Model'!$F$25</f>
        <v>26157262.690238539</v>
      </c>
      <c r="Q222" s="407">
        <f t="shared" ca="1" si="16"/>
        <v>1133765155.0891166</v>
      </c>
      <c r="T222" s="111"/>
    </row>
    <row r="223" spans="1:20">
      <c r="A223">
        <v>2016</v>
      </c>
      <c r="B223" s="6">
        <f t="shared" ca="1" si="19"/>
        <v>1154553437.9532793</v>
      </c>
      <c r="C223" s="107">
        <f t="shared" ca="1" si="17"/>
        <v>2834531.1558513641</v>
      </c>
      <c r="D223" s="109">
        <f t="shared" ca="1" si="18"/>
        <v>2.4611310443216684E-3</v>
      </c>
      <c r="E223" s="109">
        <f ca="1">RATE(13,0,-B$210,B223)</f>
        <v>-5.0267738374534746E-3</v>
      </c>
      <c r="F223"/>
      <c r="G223"/>
      <c r="H223" s="6">
        <f ca="1">SUM(H159:H170)</f>
        <v>1154553437.9532793</v>
      </c>
      <c r="I223" s="36">
        <f t="shared" ca="1" si="12"/>
        <v>0</v>
      </c>
      <c r="J223" s="5">
        <f t="shared" ca="1" si="13"/>
        <v>0</v>
      </c>
      <c r="L223" s="6">
        <f ca="1">+' CDM Summary'!L$19</f>
        <v>48359546.040443286</v>
      </c>
      <c r="M223" s="407">
        <f t="shared" ca="1" si="14"/>
        <v>1106193891.9128361</v>
      </c>
      <c r="N223" s="6">
        <f ca="1">+' CDM Summary'!L$18</f>
        <v>4881743.9510676563</v>
      </c>
      <c r="O223" s="407">
        <f t="shared" ca="1" si="15"/>
        <v>1101312147.9617684</v>
      </c>
      <c r="P223" s="6">
        <f ca="1">+'City Expansion'!C106*'Rate Class Energy Model'!$F$25</f>
        <v>53649599.577929974</v>
      </c>
      <c r="Q223" s="407">
        <f t="shared" ca="1" si="16"/>
        <v>1154961747.5396984</v>
      </c>
      <c r="T223" s="111"/>
    </row>
    <row r="224" spans="1:20">
      <c r="A224">
        <v>2017</v>
      </c>
      <c r="B224" s="6">
        <f t="shared" ca="1" si="19"/>
        <v>1151718906.7974279</v>
      </c>
      <c r="C224" s="107">
        <f t="shared" ca="1" si="17"/>
        <v>-2834531.1558513641</v>
      </c>
      <c r="D224" s="109">
        <f t="shared" ca="1" si="18"/>
        <v>-2.455088749184486E-3</v>
      </c>
      <c r="E224" s="109">
        <f ca="1">RATE(14,0,-B$210,B224)</f>
        <v>-4.8433021153183181E-3</v>
      </c>
      <c r="F224"/>
      <c r="G224"/>
      <c r="H224" s="6">
        <f ca="1">SUM(H171:H182)</f>
        <v>1151718906.7974279</v>
      </c>
      <c r="I224" s="36">
        <f t="shared" ca="1" si="12"/>
        <v>0</v>
      </c>
      <c r="J224" s="5">
        <f t="shared" ca="1" si="13"/>
        <v>0</v>
      </c>
      <c r="L224" s="6">
        <f ca="1">+' CDM Summary'!M$19</f>
        <v>56377572.837834381</v>
      </c>
      <c r="M224" s="407">
        <f t="shared" ca="1" si="14"/>
        <v>1095341333.9595935</v>
      </c>
      <c r="N224" s="6">
        <f ca="1">+' CDM Summary'!M$18</f>
        <v>4922378.6358886575</v>
      </c>
      <c r="O224" s="407">
        <f t="shared" ca="1" si="15"/>
        <v>1090418955.323705</v>
      </c>
      <c r="P224" s="6">
        <f ca="1">+'City Expansion'!C107*'Rate Class Energy Model'!$F$25</f>
        <v>80773260.960848227</v>
      </c>
      <c r="Q224" s="407">
        <f t="shared" ca="1" si="16"/>
        <v>1171192216.2845533</v>
      </c>
      <c r="T224" s="111"/>
    </row>
    <row r="225" spans="1:20">
      <c r="A225">
        <v>2018</v>
      </c>
      <c r="B225" s="6">
        <f ca="1">+H225</f>
        <v>1151718906.7974279</v>
      </c>
      <c r="C225" s="107">
        <f t="shared" ca="1" si="17"/>
        <v>0</v>
      </c>
      <c r="D225" s="109">
        <f t="shared" ca="1" si="18"/>
        <v>0</v>
      </c>
      <c r="E225" s="109">
        <f ca="1">RATE(15,0,-B$210,B225)</f>
        <v>-4.5211463587651862E-3</v>
      </c>
      <c r="F225"/>
      <c r="G225"/>
      <c r="H225" s="6">
        <f ca="1">SUM(H183:H194)</f>
        <v>1151718906.7974279</v>
      </c>
      <c r="I225" s="36">
        <f ca="1">H225-B225</f>
        <v>0</v>
      </c>
      <c r="J225" s="5">
        <f t="shared" ca="1" si="13"/>
        <v>0</v>
      </c>
      <c r="L225" s="6">
        <f ca="1">+' CDM Summary'!N$19</f>
        <v>65235277.852556206</v>
      </c>
      <c r="M225" s="407">
        <f t="shared" ca="1" si="14"/>
        <v>1086483628.9448717</v>
      </c>
      <c r="N225" s="6">
        <f ca="1">+' CDM Summary'!N$18</f>
        <v>4963351.5559032811</v>
      </c>
      <c r="O225" s="407">
        <f t="shared" ca="1" si="15"/>
        <v>1081520277.3889685</v>
      </c>
      <c r="P225" s="6">
        <f ca="1">+'City Expansion'!C108*'Rate Class Energy Model'!$F$25</f>
        <v>109183825.80827054</v>
      </c>
      <c r="Q225" s="407">
        <f t="shared" ca="1" si="16"/>
        <v>1190704103.1972389</v>
      </c>
      <c r="T225" s="111"/>
    </row>
    <row r="226" spans="1:20">
      <c r="A226">
        <v>2019</v>
      </c>
      <c r="B226" s="6">
        <f ca="1">+H226</f>
        <v>1151718906.7974279</v>
      </c>
      <c r="C226" s="107">
        <f t="shared" ca="1" si="17"/>
        <v>0</v>
      </c>
      <c r="D226" s="109">
        <f t="shared" ca="1" si="18"/>
        <v>0</v>
      </c>
      <c r="E226" s="109">
        <f ca="1">RATE(16,0,-B$210,B226)</f>
        <v>-4.2391745230063961E-3</v>
      </c>
      <c r="F226"/>
      <c r="G226"/>
      <c r="H226" s="6">
        <f ca="1">SUM(H195:H206)</f>
        <v>1151718906.7974279</v>
      </c>
      <c r="I226" s="36">
        <f ca="1">H226-B226</f>
        <v>0</v>
      </c>
      <c r="J226" s="5">
        <f t="shared" ca="1" si="13"/>
        <v>0</v>
      </c>
      <c r="L226" s="6">
        <f ca="1">+' CDM Summary'!O$19</f>
        <v>76419170.075954989</v>
      </c>
      <c r="M226" s="407">
        <f t="shared" ca="1" si="14"/>
        <v>1075299736.721473</v>
      </c>
      <c r="N226" s="6">
        <f ca="1">+' CDM Summary'!O$18</f>
        <v>5004665.5265153311</v>
      </c>
      <c r="O226" s="407">
        <f t="shared" ca="1" si="15"/>
        <v>1070295071.1949576</v>
      </c>
      <c r="P226" s="6">
        <f ca="1">+'City Expansion'!C109*'Rate Class Energy Model'!$F$25</f>
        <v>138107544.65207192</v>
      </c>
      <c r="Q226" s="407">
        <f t="shared" ca="1" si="16"/>
        <v>1208402615.8470294</v>
      </c>
      <c r="T226" s="111"/>
    </row>
    <row r="227" spans="1:20">
      <c r="A227"/>
      <c r="B227" s="6"/>
      <c r="C227" s="101"/>
      <c r="D227" s="180"/>
      <c r="E227" s="34"/>
      <c r="F227"/>
      <c r="G227"/>
      <c r="H227" s="6"/>
      <c r="I227" s="180"/>
      <c r="J227" s="180"/>
      <c r="L227"/>
      <c r="M227"/>
      <c r="N227"/>
      <c r="O227"/>
      <c r="T227" s="111"/>
    </row>
    <row r="228" spans="1:20">
      <c r="A228" t="s">
        <v>9</v>
      </c>
      <c r="B228" s="6">
        <f ca="1">SUM(B210:B226)</f>
        <v>19692342135.998833</v>
      </c>
      <c r="C228" s="101"/>
      <c r="D228" s="180"/>
      <c r="E228" s="34"/>
      <c r="F228" s="180"/>
      <c r="G228" s="180"/>
      <c r="H228" s="6">
        <f ca="1">SUM(H210:H226)</f>
        <v>19692342135.998833</v>
      </c>
      <c r="I228" s="184">
        <f ca="1">H228-B228</f>
        <v>0</v>
      </c>
      <c r="J228" s="180"/>
      <c r="L228"/>
      <c r="M228"/>
      <c r="N228"/>
      <c r="O228"/>
      <c r="T228" s="111"/>
    </row>
    <row r="229" spans="1:20">
      <c r="A229"/>
      <c r="B229" s="6"/>
      <c r="C229" s="180"/>
      <c r="D229" s="180"/>
      <c r="E229" s="34"/>
      <c r="F229" s="180"/>
      <c r="G229" s="180"/>
      <c r="H229" s="180"/>
      <c r="I229" s="62"/>
      <c r="J229" s="180"/>
      <c r="L229"/>
      <c r="M229"/>
      <c r="N229"/>
      <c r="O229"/>
      <c r="T229" s="111"/>
    </row>
    <row r="230" spans="1:20">
      <c r="A230"/>
      <c r="B230" s="6"/>
      <c r="C230" s="180"/>
      <c r="D230" s="180"/>
      <c r="E230" s="34"/>
      <c r="F230" s="180"/>
      <c r="G230" s="180"/>
      <c r="H230" s="6">
        <f ca="1">SUM(H210:H226)</f>
        <v>19692342135.998833</v>
      </c>
      <c r="I230" s="184">
        <f ca="1">H208-H230</f>
        <v>0</v>
      </c>
      <c r="J230" s="180"/>
      <c r="L230"/>
      <c r="M230"/>
      <c r="N230"/>
      <c r="O230"/>
      <c r="T230" s="111"/>
    </row>
    <row r="231" spans="1:20">
      <c r="A231"/>
      <c r="B231" s="6"/>
      <c r="C231" s="180"/>
      <c r="D231" s="180"/>
      <c r="E231" s="34"/>
      <c r="F231" s="180"/>
      <c r="G231" s="180"/>
      <c r="H231" s="23"/>
      <c r="I231" s="185" t="s">
        <v>69</v>
      </c>
      <c r="J231" s="18"/>
      <c r="T231" s="111"/>
    </row>
    <row r="232" spans="1:20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45"/>
  <sheetViews>
    <sheetView workbookViewId="0">
      <pane ySplit="2" topLeftCell="A3" activePane="bottomLeft" state="frozen"/>
      <selection pane="bottomLeft"/>
    </sheetView>
  </sheetViews>
  <sheetFormatPr defaultRowHeight="13.2"/>
  <cols>
    <col min="1" max="1" width="11.88671875" customWidth="1"/>
    <col min="2" max="2" width="18" style="6" customWidth="1"/>
    <col min="3" max="3" width="12.33203125" style="1" bestFit="1" customWidth="1"/>
    <col min="4" max="4" width="13.44140625" style="1" customWidth="1"/>
    <col min="5" max="5" width="14.44140625" style="34" customWidth="1"/>
    <col min="6" max="6" width="10.109375" style="1" customWidth="1"/>
    <col min="7" max="8" width="12.44140625" style="1" customWidth="1"/>
    <col min="9" max="9" width="14" style="6" bestFit="1" customWidth="1"/>
    <col min="10" max="10" width="21.33203125" style="6" customWidth="1"/>
    <col min="11" max="11" width="11.5546875" style="6" customWidth="1"/>
    <col min="12" max="12" width="3.33203125" style="6" customWidth="1"/>
    <col min="13" max="13" width="27.33203125" style="6" bestFit="1" customWidth="1"/>
    <col min="14" max="14" width="14.5546875" style="6" bestFit="1" customWidth="1"/>
    <col min="15" max="15" width="24.44140625" style="6" bestFit="1" customWidth="1"/>
    <col min="16" max="16" width="22.88671875" style="6" bestFit="1" customWidth="1"/>
    <col min="17" max="17" width="9.6640625" style="6" bestFit="1" customWidth="1"/>
    <col min="18" max="18" width="15.5546875" bestFit="1" customWidth="1"/>
    <col min="19" max="19" width="14.33203125" bestFit="1" customWidth="1"/>
    <col min="20" max="20" width="15.5546875" bestFit="1" customWidth="1"/>
    <col min="21" max="21" width="14.33203125" bestFit="1" customWidth="1"/>
  </cols>
  <sheetData>
    <row r="2" spans="1:18" ht="42" customHeight="1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80"/>
      <c r="M2" t="s">
        <v>18</v>
      </c>
      <c r="N2"/>
      <c r="O2"/>
      <c r="P2"/>
      <c r="Q2"/>
    </row>
    <row r="3" spans="1:18" ht="13.8" thickBot="1">
      <c r="A3" s="3">
        <v>37622</v>
      </c>
      <c r="B3" s="59">
        <v>40677788.588893443</v>
      </c>
      <c r="C3" s="186">
        <f>+'Purchased Power Model '!C3</f>
        <v>786</v>
      </c>
      <c r="D3" s="186">
        <f>+'Purchased Power Model '!D3</f>
        <v>0</v>
      </c>
      <c r="E3" s="103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43019.916666666664</v>
      </c>
      <c r="I3" s="193">
        <f>$N$18+C3*$N$19+D3*$N$20+E3*$N$21+F3*$N$22+G3*$N$23+H3*$N$24</f>
        <v>43348413.780977115</v>
      </c>
      <c r="J3" s="36">
        <f>I3-B3</f>
        <v>2670625.1920836717</v>
      </c>
      <c r="K3" s="5">
        <f>J3/B3</f>
        <v>6.5653155806332408E-2</v>
      </c>
      <c r="M3"/>
      <c r="N3"/>
      <c r="O3"/>
      <c r="P3"/>
      <c r="Q3"/>
    </row>
    <row r="4" spans="1:18">
      <c r="A4" s="3">
        <v>37653</v>
      </c>
      <c r="B4" s="59">
        <v>41686150.137058273</v>
      </c>
      <c r="C4" s="186">
        <f>+'Purchased Power Model '!C4</f>
        <v>686.5</v>
      </c>
      <c r="D4" s="186">
        <f>+'Purchased Power Model '!D4</f>
        <v>0</v>
      </c>
      <c r="E4" s="103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43079.833333333328</v>
      </c>
      <c r="I4" s="193">
        <f t="shared" ref="I4:I67" si="0">$N$18+C4*$N$19+D4*$N$20+E4*$N$21+F4*$N$22+G4*$N$23+H4*$N$24</f>
        <v>44509059.704501294</v>
      </c>
      <c r="J4" s="36">
        <f t="shared" ref="J4:J67" si="1">I4-B4</f>
        <v>2822909.5674430206</v>
      </c>
      <c r="K4" s="5">
        <f t="shared" ref="K4:K67" si="2">J4/B4</f>
        <v>6.771816438221534E-2</v>
      </c>
      <c r="M4" s="53" t="s">
        <v>19</v>
      </c>
      <c r="N4" s="53"/>
      <c r="O4"/>
      <c r="P4"/>
      <c r="Q4"/>
    </row>
    <row r="5" spans="1:18">
      <c r="A5" s="3">
        <v>37681</v>
      </c>
      <c r="B5" s="59">
        <v>45965845.274048276</v>
      </c>
      <c r="C5" s="186">
        <f>+'Purchased Power Model '!C5</f>
        <v>572.5</v>
      </c>
      <c r="D5" s="186">
        <f>+'Purchased Power Model '!D5</f>
        <v>0</v>
      </c>
      <c r="E5" s="103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43139.749999999993</v>
      </c>
      <c r="I5" s="193">
        <f t="shared" si="0"/>
        <v>41217886.133894667</v>
      </c>
      <c r="J5" s="36">
        <f t="shared" si="1"/>
        <v>-4747959.1401536092</v>
      </c>
      <c r="K5" s="5">
        <f t="shared" si="2"/>
        <v>-0.10329319763068179</v>
      </c>
      <c r="M5" s="35" t="s">
        <v>20</v>
      </c>
      <c r="N5" s="95">
        <v>0.39755029740517933</v>
      </c>
      <c r="O5"/>
      <c r="P5"/>
      <c r="Q5"/>
    </row>
    <row r="6" spans="1:18">
      <c r="A6" s="3">
        <v>37712</v>
      </c>
      <c r="B6" s="59">
        <v>33502187</v>
      </c>
      <c r="C6" s="186">
        <f>+'Purchased Power Model '!C6</f>
        <v>403.9</v>
      </c>
      <c r="D6" s="186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43199.666666666657</v>
      </c>
      <c r="I6" s="193">
        <f t="shared" si="0"/>
        <v>39718366.238373816</v>
      </c>
      <c r="J6" s="36">
        <f t="shared" si="1"/>
        <v>6216179.238373816</v>
      </c>
      <c r="K6" s="5">
        <f t="shared" si="2"/>
        <v>0.18554547613186614</v>
      </c>
      <c r="M6" s="35" t="s">
        <v>21</v>
      </c>
      <c r="N6" s="95">
        <v>0.15804623896694653</v>
      </c>
      <c r="O6"/>
      <c r="P6"/>
      <c r="Q6"/>
    </row>
    <row r="7" spans="1:18">
      <c r="A7" s="3">
        <v>37742</v>
      </c>
      <c r="B7" s="59">
        <v>49108723</v>
      </c>
      <c r="C7" s="186">
        <f>+'Purchased Power Model '!C7</f>
        <v>192</v>
      </c>
      <c r="D7" s="186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43259.583333333321</v>
      </c>
      <c r="I7" s="193">
        <f t="shared" si="0"/>
        <v>36177273.388054341</v>
      </c>
      <c r="J7" s="36">
        <f t="shared" si="1"/>
        <v>-12931449.611945659</v>
      </c>
      <c r="K7" s="5">
        <f t="shared" si="2"/>
        <v>-0.26332286449284498</v>
      </c>
      <c r="M7" s="35" t="s">
        <v>22</v>
      </c>
      <c r="N7" s="95">
        <v>0.11763245843735996</v>
      </c>
      <c r="O7"/>
      <c r="P7"/>
      <c r="Q7"/>
    </row>
    <row r="8" spans="1:18">
      <c r="A8" s="3">
        <v>37773</v>
      </c>
      <c r="B8" s="59">
        <v>30718233</v>
      </c>
      <c r="C8" s="186">
        <f>+'Purchased Power Model '!C8</f>
        <v>55.1</v>
      </c>
      <c r="D8" s="186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43319.499999999985</v>
      </c>
      <c r="I8" s="193">
        <f t="shared" si="0"/>
        <v>36144840.586390264</v>
      </c>
      <c r="J8" s="36">
        <f t="shared" si="1"/>
        <v>5426607.5863902643</v>
      </c>
      <c r="K8" s="5">
        <f t="shared" si="2"/>
        <v>0.17665754362857605</v>
      </c>
      <c r="M8" s="35" t="s">
        <v>23</v>
      </c>
      <c r="N8" s="67">
        <v>5786022.780817165</v>
      </c>
      <c r="O8"/>
      <c r="P8"/>
      <c r="Q8"/>
    </row>
    <row r="9" spans="1:18" ht="13.8" thickBot="1">
      <c r="A9" s="3">
        <v>37803</v>
      </c>
      <c r="B9" s="59">
        <v>38600544</v>
      </c>
      <c r="C9" s="186">
        <f>+'Purchased Power Model '!C9</f>
        <v>5.7</v>
      </c>
      <c r="D9" s="186">
        <f>+'Purchased Power Model '!D9</f>
        <v>59.1</v>
      </c>
      <c r="E9" s="103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43379.41666666665</v>
      </c>
      <c r="I9" s="193">
        <f t="shared" si="0"/>
        <v>36148716.994458765</v>
      </c>
      <c r="J9" s="36">
        <f t="shared" si="1"/>
        <v>-2451827.0055412352</v>
      </c>
      <c r="K9" s="5">
        <f t="shared" si="2"/>
        <v>-6.3517939165345316E-2</v>
      </c>
      <c r="M9" s="51" t="s">
        <v>24</v>
      </c>
      <c r="N9" s="68">
        <v>132</v>
      </c>
      <c r="O9"/>
      <c r="P9"/>
      <c r="Q9"/>
    </row>
    <row r="10" spans="1:18">
      <c r="A10" s="3">
        <v>37834</v>
      </c>
      <c r="B10" s="59">
        <v>32614074</v>
      </c>
      <c r="C10" s="186">
        <f>+'Purchased Power Model '!C10</f>
        <v>10.4</v>
      </c>
      <c r="D10" s="186">
        <f>+'Purchased Power Model '!D10</f>
        <v>106.5</v>
      </c>
      <c r="E10" s="103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43439.333333333314</v>
      </c>
      <c r="I10" s="193">
        <f t="shared" si="0"/>
        <v>38546493.169015661</v>
      </c>
      <c r="J10" s="36">
        <f t="shared" si="1"/>
        <v>5932419.1690156609</v>
      </c>
      <c r="K10" s="5">
        <f t="shared" si="2"/>
        <v>0.18189751973383211</v>
      </c>
      <c r="M10"/>
      <c r="N10"/>
      <c r="O10"/>
      <c r="P10"/>
      <c r="Q10"/>
    </row>
    <row r="11" spans="1:18" ht="13.8" thickBot="1">
      <c r="A11" s="3">
        <v>37865</v>
      </c>
      <c r="B11" s="59">
        <v>37763990</v>
      </c>
      <c r="C11" s="186">
        <f>+'Purchased Power Model '!C11</f>
        <v>55.2</v>
      </c>
      <c r="D11" s="186">
        <f>+'Purchased Power Model '!D11</f>
        <v>12.1</v>
      </c>
      <c r="E11" s="103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43499.249999999978</v>
      </c>
      <c r="I11" s="193">
        <f t="shared" si="0"/>
        <v>35938612.972213581</v>
      </c>
      <c r="J11" s="36">
        <f t="shared" si="1"/>
        <v>-1825377.0277864188</v>
      </c>
      <c r="K11" s="5">
        <f t="shared" si="2"/>
        <v>-4.8336445057485154E-2</v>
      </c>
      <c r="M11" t="s">
        <v>25</v>
      </c>
      <c r="N11"/>
      <c r="O11"/>
      <c r="P11"/>
      <c r="Q11"/>
    </row>
    <row r="12" spans="1:18">
      <c r="A12" s="3">
        <v>37895</v>
      </c>
      <c r="B12" s="59">
        <v>40526308</v>
      </c>
      <c r="C12" s="186">
        <f>+'Purchased Power Model '!C12</f>
        <v>289.7</v>
      </c>
      <c r="D12" s="186">
        <f>+'Purchased Power Model '!D12</f>
        <v>0</v>
      </c>
      <c r="E12" s="103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43559.166666666642</v>
      </c>
      <c r="I12" s="193">
        <f t="shared" si="0"/>
        <v>37671280.377387151</v>
      </c>
      <c r="J12" s="36">
        <f t="shared" si="1"/>
        <v>-2855027.6226128489</v>
      </c>
      <c r="K12" s="5">
        <f t="shared" si="2"/>
        <v>-7.044874708579052E-2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>
      <c r="A13" s="3">
        <v>37926</v>
      </c>
      <c r="B13" s="59">
        <v>27741371</v>
      </c>
      <c r="C13" s="186">
        <f>+'Purchased Power Model '!C13</f>
        <v>387.6</v>
      </c>
      <c r="D13" s="186">
        <f>+'Purchased Power Model '!D13</f>
        <v>0</v>
      </c>
      <c r="E13" s="103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43619.083333333307</v>
      </c>
      <c r="I13" s="193">
        <f t="shared" si="0"/>
        <v>39768661.158067003</v>
      </c>
      <c r="J13" s="36">
        <f t="shared" si="1"/>
        <v>12027290.158067003</v>
      </c>
      <c r="K13" s="5">
        <f t="shared" si="2"/>
        <v>0.43355067628297833</v>
      </c>
      <c r="M13" s="35" t="s">
        <v>26</v>
      </c>
      <c r="N13" s="67">
        <v>6</v>
      </c>
      <c r="O13" s="67">
        <v>785536221784549.5</v>
      </c>
      <c r="P13" s="67">
        <v>130922703630758.25</v>
      </c>
      <c r="Q13" s="67">
        <v>3.9107016689824969</v>
      </c>
      <c r="R13" s="67">
        <v>1.2938210569443432E-3</v>
      </c>
    </row>
    <row r="14" spans="1:18">
      <c r="A14" s="3">
        <v>37956</v>
      </c>
      <c r="B14" s="59">
        <v>38757231</v>
      </c>
      <c r="C14" s="186">
        <f>+'Purchased Power Model '!C14</f>
        <v>548.20000000000005</v>
      </c>
      <c r="D14" s="186">
        <f>+'Purchased Power Model '!D14</f>
        <v>0</v>
      </c>
      <c r="E14" s="103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43679</v>
      </c>
      <c r="I14" s="193">
        <f t="shared" si="0"/>
        <v>40453484.668444179</v>
      </c>
      <c r="J14" s="36">
        <f t="shared" si="1"/>
        <v>1696253.668444179</v>
      </c>
      <c r="K14" s="5">
        <f t="shared" si="2"/>
        <v>4.3766121177340536E-2</v>
      </c>
      <c r="M14" s="35" t="s">
        <v>27</v>
      </c>
      <c r="N14" s="67">
        <v>125</v>
      </c>
      <c r="O14" s="67">
        <v>4184757452516899.5</v>
      </c>
      <c r="P14" s="67">
        <v>33478059620135.195</v>
      </c>
      <c r="Q14" s="67"/>
      <c r="R14" s="67"/>
    </row>
    <row r="15" spans="1:18" ht="13.8" thickBot="1">
      <c r="A15" s="3">
        <v>37987</v>
      </c>
      <c r="B15" s="59">
        <v>37554420</v>
      </c>
      <c r="C15" s="186">
        <f>+'Purchased Power Model '!C15</f>
        <v>828.8</v>
      </c>
      <c r="D15" s="186">
        <f>+'Purchased Power Model '!D15</f>
        <v>0</v>
      </c>
      <c r="E15" s="103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43701</v>
      </c>
      <c r="I15" s="193">
        <f t="shared" si="0"/>
        <v>44050025.447210036</v>
      </c>
      <c r="J15" s="36">
        <f t="shared" si="1"/>
        <v>6495605.4472100362</v>
      </c>
      <c r="K15" s="5">
        <f t="shared" si="2"/>
        <v>0.17296513825030546</v>
      </c>
      <c r="M15" s="51" t="s">
        <v>9</v>
      </c>
      <c r="N15" s="68">
        <v>131</v>
      </c>
      <c r="O15" s="68">
        <v>4970293674301449</v>
      </c>
      <c r="P15" s="68"/>
      <c r="Q15" s="68"/>
      <c r="R15" s="68"/>
    </row>
    <row r="16" spans="1:18" ht="13.8" thickBot="1">
      <c r="A16" s="3">
        <v>38018</v>
      </c>
      <c r="B16" s="59">
        <v>41985280</v>
      </c>
      <c r="C16" s="186">
        <f>+'Purchased Power Model '!C16</f>
        <v>615.6</v>
      </c>
      <c r="D16" s="186">
        <f>+'Purchased Power Model '!D16</f>
        <v>0</v>
      </c>
      <c r="E16" s="103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43651</v>
      </c>
      <c r="I16" s="193">
        <f t="shared" si="0"/>
        <v>42894212.805984512</v>
      </c>
      <c r="J16" s="36">
        <f t="shared" si="1"/>
        <v>908932.80598451197</v>
      </c>
      <c r="K16" s="5">
        <f t="shared" si="2"/>
        <v>2.1648844689960672E-2</v>
      </c>
      <c r="M16"/>
      <c r="N16"/>
      <c r="O16"/>
      <c r="P16"/>
      <c r="Q16"/>
    </row>
    <row r="17" spans="1:21">
      <c r="A17" s="3">
        <v>38047</v>
      </c>
      <c r="B17" s="59">
        <v>55939840</v>
      </c>
      <c r="C17" s="186">
        <f>+'Purchased Power Model '!C17</f>
        <v>487.1</v>
      </c>
      <c r="D17" s="186">
        <f>+'Purchased Power Model '!D17</f>
        <v>0</v>
      </c>
      <c r="E17" s="103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43792</v>
      </c>
      <c r="I17" s="193">
        <f t="shared" si="0"/>
        <v>40249328.536307946</v>
      </c>
      <c r="J17" s="36">
        <f t="shared" si="1"/>
        <v>-15690511.463692054</v>
      </c>
      <c r="K17" s="5">
        <f t="shared" si="2"/>
        <v>-0.28048903006680131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>
      <c r="A18" s="3">
        <v>38078</v>
      </c>
      <c r="B18" s="59">
        <v>43979734</v>
      </c>
      <c r="C18" s="186">
        <f>+'Purchased Power Model '!C18</f>
        <v>345</v>
      </c>
      <c r="D18" s="186">
        <f>+'Purchased Power Model '!D18</f>
        <v>0</v>
      </c>
      <c r="E18" s="103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43854</v>
      </c>
      <c r="I18" s="193">
        <f t="shared" si="0"/>
        <v>39172866.061274566</v>
      </c>
      <c r="J18" s="36">
        <f t="shared" si="1"/>
        <v>-4806867.9387254342</v>
      </c>
      <c r="K18" s="5">
        <f t="shared" si="2"/>
        <v>-0.10929733996857358</v>
      </c>
      <c r="M18" s="35" t="s">
        <v>28</v>
      </c>
      <c r="N18" s="67">
        <v>46785284.47474733</v>
      </c>
      <c r="O18" s="67">
        <v>24784539.846915666</v>
      </c>
      <c r="P18" s="67">
        <v>1.8876801733549056</v>
      </c>
      <c r="Q18" s="67">
        <v>6.1387390259071015E-2</v>
      </c>
      <c r="R18" s="67">
        <v>-2266395.8772583008</v>
      </c>
      <c r="S18" s="67">
        <v>95836964.826752961</v>
      </c>
      <c r="T18" s="67">
        <v>-2266395.8772583008</v>
      </c>
      <c r="U18" s="67">
        <v>95836964.826752961</v>
      </c>
    </row>
    <row r="19" spans="1:21">
      <c r="A19" s="3">
        <v>38108</v>
      </c>
      <c r="B19" s="59">
        <v>34023750</v>
      </c>
      <c r="C19" s="186">
        <f>+'Purchased Power Model '!C19</f>
        <v>177.5</v>
      </c>
      <c r="D19" s="186">
        <f>+'Purchased Power Model '!D19</f>
        <v>0</v>
      </c>
      <c r="E19" s="103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43892</v>
      </c>
      <c r="I19" s="193">
        <f t="shared" si="0"/>
        <v>36201116.669088081</v>
      </c>
      <c r="J19" s="36">
        <f t="shared" si="1"/>
        <v>2177366.6690880805</v>
      </c>
      <c r="K19" s="5">
        <f t="shared" si="2"/>
        <v>6.3995493415278465E-2</v>
      </c>
      <c r="M19" s="35" t="s">
        <v>3</v>
      </c>
      <c r="N19" s="67">
        <v>12963.739132797749</v>
      </c>
      <c r="O19" s="67">
        <v>3153.1106821583317</v>
      </c>
      <c r="P19" s="67">
        <v>4.1114126459791631</v>
      </c>
      <c r="Q19" s="67">
        <v>7.070988462163223E-5</v>
      </c>
      <c r="R19" s="67">
        <v>6723.3417620564733</v>
      </c>
      <c r="S19" s="67">
        <v>19204.136503539026</v>
      </c>
      <c r="T19" s="67">
        <v>6723.3417620564733</v>
      </c>
      <c r="U19" s="67">
        <v>19204.136503539026</v>
      </c>
    </row>
    <row r="20" spans="1:21">
      <c r="A20" s="3">
        <v>38139</v>
      </c>
      <c r="B20" s="59">
        <v>36677978</v>
      </c>
      <c r="C20" s="186">
        <f>+'Purchased Power Model '!C20</f>
        <v>73.2</v>
      </c>
      <c r="D20" s="186">
        <f>+'Purchased Power Model '!D20</f>
        <v>15.6</v>
      </c>
      <c r="E20" s="103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43974</v>
      </c>
      <c r="I20" s="193">
        <f t="shared" si="0"/>
        <v>35843915.437206581</v>
      </c>
      <c r="J20" s="36">
        <f t="shared" si="1"/>
        <v>-834062.56279341877</v>
      </c>
      <c r="K20" s="5">
        <f t="shared" si="2"/>
        <v>-2.2740145675244659E-2</v>
      </c>
      <c r="M20" s="35" t="s">
        <v>4</v>
      </c>
      <c r="N20" s="67">
        <v>48940.284913145268</v>
      </c>
      <c r="O20" s="67">
        <v>23323.472530118677</v>
      </c>
      <c r="P20" s="67">
        <v>2.0983275474930423</v>
      </c>
      <c r="Q20" s="67">
        <v>3.7889326121062973E-2</v>
      </c>
      <c r="R20" s="67">
        <v>2780.2381133036979</v>
      </c>
      <c r="S20" s="67">
        <v>95100.331712986837</v>
      </c>
      <c r="T20" s="67">
        <v>2780.2381133036979</v>
      </c>
      <c r="U20" s="67">
        <v>95100.331712986837</v>
      </c>
    </row>
    <row r="21" spans="1:21">
      <c r="A21" s="3">
        <v>38169</v>
      </c>
      <c r="B21" s="59">
        <v>38845733</v>
      </c>
      <c r="C21" s="186">
        <f>+'Purchased Power Model '!C21</f>
        <v>2</v>
      </c>
      <c r="D21" s="186">
        <f>+'Purchased Power Model '!D21</f>
        <v>69.3</v>
      </c>
      <c r="E21" s="103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44060</v>
      </c>
      <c r="I21" s="193">
        <f t="shared" si="0"/>
        <v>36746563.190072954</v>
      </c>
      <c r="J21" s="36">
        <f t="shared" si="1"/>
        <v>-2099169.8099270463</v>
      </c>
      <c r="K21" s="5">
        <f t="shared" si="2"/>
        <v>-5.4038620147212731E-2</v>
      </c>
      <c r="M21" s="35" t="s">
        <v>218</v>
      </c>
      <c r="N21" s="67">
        <v>-15784910.812235264</v>
      </c>
      <c r="O21" s="67">
        <v>50749862.539558023</v>
      </c>
      <c r="P21" s="67">
        <v>-0.31103356782358554</v>
      </c>
      <c r="Q21" s="67">
        <v>0.75629318926850964</v>
      </c>
      <c r="R21" s="67">
        <v>-116225187.31421827</v>
      </c>
      <c r="S21" s="67">
        <v>84655365.689747736</v>
      </c>
      <c r="T21" s="67">
        <v>-116225187.31421827</v>
      </c>
      <c r="U21" s="67">
        <v>84655365.689747736</v>
      </c>
    </row>
    <row r="22" spans="1:21">
      <c r="A22" s="3">
        <v>38200</v>
      </c>
      <c r="B22" s="59">
        <v>46901464</v>
      </c>
      <c r="C22" s="186">
        <f>+'Purchased Power Model '!C22</f>
        <v>19.600000000000001</v>
      </c>
      <c r="D22" s="186">
        <f>+'Purchased Power Model '!D22</f>
        <v>53.6</v>
      </c>
      <c r="E22" s="103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44140</v>
      </c>
      <c r="I22" s="193">
        <f t="shared" si="0"/>
        <v>36229163.654908426</v>
      </c>
      <c r="J22" s="36">
        <f t="shared" si="1"/>
        <v>-10672300.345091574</v>
      </c>
      <c r="K22" s="5">
        <f t="shared" si="2"/>
        <v>-0.2275472753919062</v>
      </c>
      <c r="M22" s="35" t="s">
        <v>5</v>
      </c>
      <c r="N22" s="67">
        <v>-811153.62382929446</v>
      </c>
      <c r="O22" s="67">
        <v>650218.43153938348</v>
      </c>
      <c r="P22" s="67">
        <v>-1.2475094283453316</v>
      </c>
      <c r="Q22" s="67">
        <v>0.21454287107373365</v>
      </c>
      <c r="R22" s="67">
        <v>-2098016.5980806164</v>
      </c>
      <c r="S22" s="67">
        <v>475709.35042202752</v>
      </c>
      <c r="T22" s="67">
        <v>-2098016.5980806164</v>
      </c>
      <c r="U22" s="67">
        <v>475709.35042202752</v>
      </c>
    </row>
    <row r="23" spans="1:21">
      <c r="A23" s="3">
        <v>38231</v>
      </c>
      <c r="B23" s="59">
        <v>33994099</v>
      </c>
      <c r="C23" s="186">
        <f>+'Purchased Power Model '!C23</f>
        <v>41.7</v>
      </c>
      <c r="D23" s="186">
        <f>+'Purchased Power Model '!D23</f>
        <v>26.7</v>
      </c>
      <c r="E23" s="103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44155</v>
      </c>
      <c r="I23" s="193">
        <f t="shared" si="0"/>
        <v>36617673.927410953</v>
      </c>
      <c r="J23" s="36">
        <f t="shared" si="1"/>
        <v>2623574.9274109527</v>
      </c>
      <c r="K23" s="5">
        <f t="shared" si="2"/>
        <v>7.7177363265634805E-2</v>
      </c>
      <c r="M23" s="35" t="s">
        <v>17</v>
      </c>
      <c r="N23" s="67">
        <v>603076.46627053374</v>
      </c>
      <c r="O23" s="67">
        <v>1307556.3735830223</v>
      </c>
      <c r="P23" s="67">
        <v>0.46122406532879162</v>
      </c>
      <c r="Q23" s="67">
        <v>0.64543940412535683</v>
      </c>
      <c r="R23" s="67">
        <v>-1984739.8771183775</v>
      </c>
      <c r="S23" s="67">
        <v>3190892.8096594452</v>
      </c>
      <c r="T23" s="67">
        <v>-1984739.8771183775</v>
      </c>
      <c r="U23" s="67">
        <v>3190892.8096594452</v>
      </c>
    </row>
    <row r="24" spans="1:21" ht="13.8" thickBot="1">
      <c r="A24" s="3">
        <v>38261</v>
      </c>
      <c r="B24" s="59">
        <v>6476689</v>
      </c>
      <c r="C24" s="186">
        <f>+'Purchased Power Model '!C24</f>
        <v>235</v>
      </c>
      <c r="D24" s="186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44155</v>
      </c>
      <c r="I24" s="193">
        <f t="shared" si="0"/>
        <v>36958350.738333791</v>
      </c>
      <c r="J24" s="36">
        <f t="shared" si="1"/>
        <v>30481661.738333791</v>
      </c>
      <c r="K24" s="5">
        <f t="shared" si="2"/>
        <v>4.7063648939039364</v>
      </c>
      <c r="M24" s="51" t="s">
        <v>59</v>
      </c>
      <c r="N24" s="68">
        <v>285.01411543259485</v>
      </c>
      <c r="O24" s="68">
        <v>391.30985872596978</v>
      </c>
      <c r="P24" s="68">
        <v>0.72835914832441595</v>
      </c>
      <c r="Q24" s="68">
        <v>0.46775605836827805</v>
      </c>
      <c r="R24" s="68">
        <v>-489.43666022719276</v>
      </c>
      <c r="S24" s="68">
        <v>1059.4648910923825</v>
      </c>
      <c r="T24" s="68">
        <v>-489.43666022719276</v>
      </c>
      <c r="U24" s="68">
        <v>1059.4648910923825</v>
      </c>
    </row>
    <row r="25" spans="1:21">
      <c r="A25" s="3">
        <v>38292</v>
      </c>
      <c r="B25" s="59">
        <v>37578865</v>
      </c>
      <c r="C25" s="186">
        <f>+'Purchased Power Model '!C25</f>
        <v>385.7</v>
      </c>
      <c r="D25" s="186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44247</v>
      </c>
      <c r="I25" s="193">
        <f t="shared" si="0"/>
        <v>39749361.148095503</v>
      </c>
      <c r="J25" s="36">
        <f t="shared" si="1"/>
        <v>2170496.1480955034</v>
      </c>
      <c r="K25" s="5">
        <f t="shared" si="2"/>
        <v>5.7758427459038572E-2</v>
      </c>
      <c r="M25"/>
      <c r="N25"/>
      <c r="O25"/>
      <c r="P25"/>
      <c r="Q25"/>
    </row>
    <row r="26" spans="1:21">
      <c r="A26" s="3">
        <v>38322</v>
      </c>
      <c r="B26" s="59">
        <v>34208828</v>
      </c>
      <c r="C26" s="186">
        <f>+'Purchased Power Model '!C26</f>
        <v>627.5</v>
      </c>
      <c r="D26" s="186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44280</v>
      </c>
      <c r="I26" s="193">
        <f t="shared" si="0"/>
        <v>41479168.646115452</v>
      </c>
      <c r="J26" s="36">
        <f t="shared" si="1"/>
        <v>7270340.6461154521</v>
      </c>
      <c r="K26" s="5">
        <f t="shared" si="2"/>
        <v>0.21252820020947377</v>
      </c>
      <c r="M26"/>
      <c r="N26"/>
      <c r="O26"/>
      <c r="P26"/>
      <c r="Q26"/>
    </row>
    <row r="27" spans="1:21">
      <c r="A27" s="3">
        <v>38353</v>
      </c>
      <c r="B27" s="59">
        <v>44668867</v>
      </c>
      <c r="C27" s="186">
        <f>+'Purchased Power Model '!C27</f>
        <v>745.5</v>
      </c>
      <c r="D27" s="186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44293</v>
      </c>
      <c r="I27" s="193">
        <f t="shared" si="0"/>
        <v>42791606.295914918</v>
      </c>
      <c r="J27" s="36">
        <f t="shared" si="1"/>
        <v>-1877260.7040850818</v>
      </c>
      <c r="K27" s="5">
        <f t="shared" si="2"/>
        <v>-4.2026154459773556E-2</v>
      </c>
      <c r="M27"/>
      <c r="N27"/>
      <c r="O27"/>
      <c r="P27"/>
      <c r="Q27"/>
    </row>
    <row r="28" spans="1:21">
      <c r="A28" s="3">
        <v>38384</v>
      </c>
      <c r="B28" s="59">
        <v>44845667</v>
      </c>
      <c r="C28" s="186">
        <f>+'Purchased Power Model '!C28</f>
        <v>589.5</v>
      </c>
      <c r="D28" s="186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44305</v>
      </c>
      <c r="I28" s="193">
        <f t="shared" si="0"/>
        <v>43206144.032071531</v>
      </c>
      <c r="J28" s="36">
        <f t="shared" si="1"/>
        <v>-1639522.9679284692</v>
      </c>
      <c r="K28" s="5">
        <f t="shared" si="2"/>
        <v>-3.6559228072769422E-2</v>
      </c>
    </row>
    <row r="29" spans="1:21">
      <c r="A29" s="3">
        <v>38412</v>
      </c>
      <c r="B29" s="59">
        <v>46098988</v>
      </c>
      <c r="C29" s="186">
        <f>+'Purchased Power Model '!C29</f>
        <v>578.29999999999995</v>
      </c>
      <c r="D29" s="186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44318</v>
      </c>
      <c r="I29" s="193">
        <f t="shared" si="0"/>
        <v>41234270.932067469</v>
      </c>
      <c r="J29" s="36">
        <f t="shared" si="1"/>
        <v>-4864717.0679325312</v>
      </c>
      <c r="K29" s="5">
        <f t="shared" si="2"/>
        <v>-0.10552763257910415</v>
      </c>
    </row>
    <row r="30" spans="1:21">
      <c r="A30" s="3">
        <v>38443</v>
      </c>
      <c r="B30" s="59">
        <v>43439251</v>
      </c>
      <c r="C30" s="186">
        <f>+'Purchased Power Model '!C30</f>
        <v>325.3</v>
      </c>
      <c r="D30" s="186">
        <f>+'Purchased Power Model '!D30</f>
        <v>0</v>
      </c>
      <c r="E30" s="103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44330</v>
      </c>
      <c r="I30" s="193">
        <f t="shared" si="0"/>
        <v>38895298.011182003</v>
      </c>
      <c r="J30" s="36">
        <f t="shared" si="1"/>
        <v>-4543952.9888179973</v>
      </c>
      <c r="K30" s="5">
        <f t="shared" si="2"/>
        <v>-0.104604772969451</v>
      </c>
    </row>
    <row r="31" spans="1:21">
      <c r="A31" s="3">
        <v>38473</v>
      </c>
      <c r="B31" s="59">
        <v>39709742</v>
      </c>
      <c r="C31" s="186">
        <f>+'Purchased Power Model '!C31</f>
        <v>216.1</v>
      </c>
      <c r="D31" s="186">
        <f>+'Purchased Power Model '!D31</f>
        <v>0.3</v>
      </c>
      <c r="E31" s="103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44362</v>
      </c>
      <c r="I31" s="193">
        <f t="shared" si="0"/>
        <v>36692306.611218989</v>
      </c>
      <c r="J31" s="36">
        <f t="shared" si="1"/>
        <v>-3017435.3887810111</v>
      </c>
      <c r="K31" s="5">
        <f t="shared" si="2"/>
        <v>-7.5987282636613737E-2</v>
      </c>
    </row>
    <row r="32" spans="1:21">
      <c r="A32" s="3">
        <v>38504</v>
      </c>
      <c r="B32" s="59">
        <v>33899267</v>
      </c>
      <c r="C32" s="186">
        <f>+'Purchased Power Model '!C32</f>
        <v>13.7</v>
      </c>
      <c r="D32" s="186">
        <f>+'Purchased Power Model '!D32</f>
        <v>89.9</v>
      </c>
      <c r="E32" s="103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44418</v>
      </c>
      <c r="I32" s="193">
        <f t="shared" si="0"/>
        <v>38677533.286981523</v>
      </c>
      <c r="J32" s="36">
        <f t="shared" si="1"/>
        <v>4778266.286981523</v>
      </c>
      <c r="K32" s="5">
        <f t="shared" si="2"/>
        <v>0.14095485566049329</v>
      </c>
    </row>
    <row r="33" spans="1:11">
      <c r="A33" s="3">
        <v>38534</v>
      </c>
      <c r="B33" s="59">
        <v>33586076</v>
      </c>
      <c r="C33" s="186">
        <f>+'Purchased Power Model '!C33</f>
        <v>2.2000000000000002</v>
      </c>
      <c r="D33" s="186">
        <f>+'Purchased Power Model '!D33</f>
        <v>153</v>
      </c>
      <c r="E33" s="103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44588</v>
      </c>
      <c r="I33" s="193">
        <f t="shared" si="0"/>
        <v>40948590.505641475</v>
      </c>
      <c r="J33" s="36">
        <f t="shared" si="1"/>
        <v>7362514.5056414753</v>
      </c>
      <c r="K33" s="5">
        <f t="shared" si="2"/>
        <v>0.21921329855983995</v>
      </c>
    </row>
    <row r="34" spans="1:11">
      <c r="A34" s="3">
        <v>38565</v>
      </c>
      <c r="B34" s="59">
        <v>53042348</v>
      </c>
      <c r="C34" s="186">
        <f>+'Purchased Power Model '!C34</f>
        <v>0</v>
      </c>
      <c r="D34" s="186">
        <f>+'Purchased Power Model '!D34</f>
        <v>108</v>
      </c>
      <c r="E34" s="103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44656</v>
      </c>
      <c r="I34" s="193">
        <f t="shared" si="0"/>
        <v>38737138.418307208</v>
      </c>
      <c r="J34" s="36">
        <f t="shared" si="1"/>
        <v>-14305209.581692792</v>
      </c>
      <c r="K34" s="5">
        <f t="shared" si="2"/>
        <v>-0.26969412405523208</v>
      </c>
    </row>
    <row r="35" spans="1:11">
      <c r="A35" s="3">
        <v>38596</v>
      </c>
      <c r="B35" s="59">
        <v>36544285</v>
      </c>
      <c r="C35" s="186">
        <f>+'Purchased Power Model '!C35</f>
        <v>36.700000000000003</v>
      </c>
      <c r="D35" s="186">
        <f>+'Purchased Power Model '!D35</f>
        <v>32.799999999999997</v>
      </c>
      <c r="E35" s="103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44711</v>
      </c>
      <c r="I35" s="193">
        <f t="shared" si="0"/>
        <v>36962504.085460976</v>
      </c>
      <c r="J35" s="36">
        <f t="shared" si="1"/>
        <v>418219.08546097577</v>
      </c>
      <c r="K35" s="5">
        <f t="shared" si="2"/>
        <v>1.1444172063045583E-2</v>
      </c>
    </row>
    <row r="36" spans="1:11">
      <c r="A36" s="3">
        <v>38626</v>
      </c>
      <c r="B36" s="59">
        <v>38295938</v>
      </c>
      <c r="C36" s="186">
        <f>+'Purchased Power Model '!C36</f>
        <v>223.8</v>
      </c>
      <c r="D36" s="186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44814</v>
      </c>
      <c r="I36" s="193">
        <f t="shared" si="0"/>
        <v>36883387.107262984</v>
      </c>
      <c r="J36" s="36">
        <f t="shared" si="1"/>
        <v>-1412550.8927370161</v>
      </c>
      <c r="K36" s="5">
        <f t="shared" si="2"/>
        <v>-3.6885136296622795E-2</v>
      </c>
    </row>
    <row r="37" spans="1:11">
      <c r="A37" s="3">
        <v>38657</v>
      </c>
      <c r="B37" s="59">
        <v>33107637</v>
      </c>
      <c r="C37" s="186">
        <f>+'Purchased Power Model '!C37</f>
        <v>398.5</v>
      </c>
      <c r="D37" s="186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44877</v>
      </c>
      <c r="I37" s="193">
        <f t="shared" si="0"/>
        <v>39952791.704407722</v>
      </c>
      <c r="J37" s="36">
        <f t="shared" si="1"/>
        <v>6845154.7044077218</v>
      </c>
      <c r="K37" s="5">
        <f t="shared" si="2"/>
        <v>0.20675455347078142</v>
      </c>
    </row>
    <row r="38" spans="1:11">
      <c r="A38" s="3">
        <v>38687</v>
      </c>
      <c r="B38" s="59">
        <v>38766635</v>
      </c>
      <c r="C38" s="186">
        <f>+'Purchased Power Model '!C38</f>
        <v>641.1</v>
      </c>
      <c r="D38" s="186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44917</v>
      </c>
      <c r="I38" s="193">
        <f t="shared" si="0"/>
        <v>41694965.292541936</v>
      </c>
      <c r="J38" s="36">
        <f t="shared" si="1"/>
        <v>2928330.292541936</v>
      </c>
      <c r="K38" s="5">
        <f t="shared" si="2"/>
        <v>7.5537386532050971E-2</v>
      </c>
    </row>
    <row r="39" spans="1:11">
      <c r="A39" s="3">
        <v>38718</v>
      </c>
      <c r="B39" s="60">
        <v>46143445</v>
      </c>
      <c r="C39" s="186">
        <f>+'Purchased Power Model '!C39</f>
        <v>558.20000000000005</v>
      </c>
      <c r="D39" s="186">
        <f>+'Purchased Power Model '!D39</f>
        <v>0</v>
      </c>
      <c r="E39" s="103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44963</v>
      </c>
      <c r="I39" s="193">
        <f t="shared" si="0"/>
        <v>40649166.878555149</v>
      </c>
      <c r="J39" s="36">
        <f t="shared" si="1"/>
        <v>-5494278.1214448512</v>
      </c>
      <c r="K39" s="5">
        <f t="shared" si="2"/>
        <v>-0.11906952594122201</v>
      </c>
    </row>
    <row r="40" spans="1:11">
      <c r="A40" s="3">
        <v>38749</v>
      </c>
      <c r="B40" s="60">
        <v>44745054</v>
      </c>
      <c r="C40" s="186">
        <f>+'Purchased Power Model '!C40</f>
        <v>608.79999999999995</v>
      </c>
      <c r="D40" s="186">
        <f>+'Purchased Power Model '!D40</f>
        <v>0</v>
      </c>
      <c r="E40" s="103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45036</v>
      </c>
      <c r="I40" s="193">
        <f t="shared" si="0"/>
        <v>43759398.980589166</v>
      </c>
      <c r="J40" s="36">
        <f t="shared" si="1"/>
        <v>-985655.01941083372</v>
      </c>
      <c r="K40" s="5">
        <f t="shared" si="2"/>
        <v>-2.2028245164500946E-2</v>
      </c>
    </row>
    <row r="41" spans="1:11">
      <c r="A41" s="3">
        <v>38777</v>
      </c>
      <c r="B41" s="60">
        <v>43110864</v>
      </c>
      <c r="C41" s="186">
        <f>+'Purchased Power Model '!C41</f>
        <v>534</v>
      </c>
      <c r="D41" s="186">
        <f>+'Purchased Power Model '!D41</f>
        <v>0</v>
      </c>
      <c r="E41" s="103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45104</v>
      </c>
      <c r="I41" s="193">
        <f t="shared" si="0"/>
        <v>40978707.848087966</v>
      </c>
      <c r="J41" s="36">
        <f t="shared" si="1"/>
        <v>-2132156.1519120336</v>
      </c>
      <c r="K41" s="5">
        <f t="shared" si="2"/>
        <v>-4.9457513816286158E-2</v>
      </c>
    </row>
    <row r="42" spans="1:11">
      <c r="A42" s="3">
        <v>38808</v>
      </c>
      <c r="B42" s="60">
        <v>39740331</v>
      </c>
      <c r="C42" s="186">
        <f>+'Purchased Power Model '!C42</f>
        <v>323.60000000000002</v>
      </c>
      <c r="D42" s="186">
        <f>+'Purchased Power Model '!D42</f>
        <v>0</v>
      </c>
      <c r="E42" s="103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45206</v>
      </c>
      <c r="I42" s="193">
        <f t="shared" si="0"/>
        <v>39107147.108962968</v>
      </c>
      <c r="J42" s="36">
        <f t="shared" si="1"/>
        <v>-633183.89103703201</v>
      </c>
      <c r="K42" s="5">
        <f t="shared" si="2"/>
        <v>-1.5933030125919987E-2</v>
      </c>
    </row>
    <row r="43" spans="1:11">
      <c r="A43" s="3">
        <v>38838</v>
      </c>
      <c r="B43" s="60">
        <v>36190353</v>
      </c>
      <c r="C43" s="186">
        <f>+'Purchased Power Model '!C43</f>
        <v>172.6</v>
      </c>
      <c r="D43" s="186">
        <f>+'Purchased Power Model '!D43</f>
        <v>12.8</v>
      </c>
      <c r="E43" s="103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45279</v>
      </c>
      <c r="I43" s="193">
        <f t="shared" si="0"/>
        <v>36985710.553396061</v>
      </c>
      <c r="J43" s="36">
        <f t="shared" si="1"/>
        <v>795357.55339606106</v>
      </c>
      <c r="K43" s="5">
        <f t="shared" si="2"/>
        <v>2.1977059836804053E-2</v>
      </c>
    </row>
    <row r="44" spans="1:11">
      <c r="A44" s="3">
        <v>38869</v>
      </c>
      <c r="B44" s="60">
        <v>32680208</v>
      </c>
      <c r="C44" s="186">
        <f>+'Purchased Power Model '!C44</f>
        <v>22.6</v>
      </c>
      <c r="D44" s="186">
        <f>+'Purchased Power Model '!D44</f>
        <v>36.200000000000003</v>
      </c>
      <c r="E44" s="103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45458</v>
      </c>
      <c r="I44" s="193">
        <f t="shared" si="0"/>
        <v>36445447.03466519</v>
      </c>
      <c r="J44" s="36">
        <f t="shared" si="1"/>
        <v>3765239.0346651897</v>
      </c>
      <c r="K44" s="5">
        <f t="shared" si="2"/>
        <v>0.1152146594252151</v>
      </c>
    </row>
    <row r="45" spans="1:11">
      <c r="A45" s="3">
        <v>38899</v>
      </c>
      <c r="B45" s="60">
        <v>39020463</v>
      </c>
      <c r="C45" s="186">
        <f>+'Purchased Power Model '!C45</f>
        <v>1.7</v>
      </c>
      <c r="D45" s="186">
        <f>+'Purchased Power Model '!D45</f>
        <v>107.6</v>
      </c>
      <c r="E45" s="103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45537</v>
      </c>
      <c r="I45" s="193">
        <f t="shared" si="0"/>
        <v>38848633.899253696</v>
      </c>
      <c r="J45" s="36">
        <f t="shared" si="1"/>
        <v>-171829.1007463038</v>
      </c>
      <c r="K45" s="5">
        <f t="shared" si="2"/>
        <v>-4.403563862025517E-3</v>
      </c>
    </row>
    <row r="46" spans="1:11">
      <c r="A46" s="3">
        <v>38930</v>
      </c>
      <c r="B46" s="60">
        <v>41507196</v>
      </c>
      <c r="C46" s="186">
        <f>+'Purchased Power Model '!C46</f>
        <v>4.4000000000000004</v>
      </c>
      <c r="D46" s="186">
        <f>+'Purchased Power Model '!D46</f>
        <v>82.1</v>
      </c>
      <c r="E46" s="103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45623</v>
      </c>
      <c r="I46" s="193">
        <f t="shared" si="0"/>
        <v>37660169.943554252</v>
      </c>
      <c r="J46" s="36">
        <f t="shared" si="1"/>
        <v>-3847026.0564457476</v>
      </c>
      <c r="K46" s="5">
        <f t="shared" si="2"/>
        <v>-9.2683351976986059E-2</v>
      </c>
    </row>
    <row r="47" spans="1:11">
      <c r="A47" s="3">
        <v>38961</v>
      </c>
      <c r="B47" s="60">
        <v>38710266</v>
      </c>
      <c r="C47" s="186">
        <f>+'Purchased Power Model '!C47</f>
        <v>70.7</v>
      </c>
      <c r="D47" s="186">
        <f>+'Purchased Power Model '!D47</f>
        <v>5.0999999999999996</v>
      </c>
      <c r="E47" s="103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45658</v>
      </c>
      <c r="I47" s="193">
        <f t="shared" si="0"/>
        <v>36175469.493886523</v>
      </c>
      <c r="J47" s="36">
        <f t="shared" si="1"/>
        <v>-2534796.5061134771</v>
      </c>
      <c r="K47" s="5">
        <f t="shared" si="2"/>
        <v>-6.5481247432230952E-2</v>
      </c>
    </row>
    <row r="48" spans="1:11">
      <c r="A48" s="3">
        <v>38991</v>
      </c>
      <c r="B48" s="60">
        <v>34268485</v>
      </c>
      <c r="C48" s="186">
        <f>+'Purchased Power Model '!C48</f>
        <v>274.60000000000002</v>
      </c>
      <c r="D48" s="186">
        <f>+'Purchased Power Model '!D48</f>
        <v>0</v>
      </c>
      <c r="E48" s="103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45740</v>
      </c>
      <c r="I48" s="193">
        <f t="shared" si="0"/>
        <v>37765613.072830886</v>
      </c>
      <c r="J48" s="36">
        <f t="shared" si="1"/>
        <v>3497128.0728308856</v>
      </c>
      <c r="K48" s="5">
        <f t="shared" si="2"/>
        <v>0.10205085146982382</v>
      </c>
    </row>
    <row r="49" spans="1:11">
      <c r="A49" s="3">
        <v>39022</v>
      </c>
      <c r="B49" s="60">
        <v>33823896</v>
      </c>
      <c r="C49" s="186">
        <f>+'Purchased Power Model '!C49</f>
        <v>367.5</v>
      </c>
      <c r="D49" s="186">
        <f>+'Purchased Power Model '!D49</f>
        <v>0</v>
      </c>
      <c r="E49" s="103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45885</v>
      </c>
      <c r="I49" s="193">
        <f t="shared" si="0"/>
        <v>39822425.108834818</v>
      </c>
      <c r="J49" s="36">
        <f t="shared" si="1"/>
        <v>5998529.108834818</v>
      </c>
      <c r="K49" s="5">
        <f t="shared" si="2"/>
        <v>0.17734589500969428</v>
      </c>
    </row>
    <row r="50" spans="1:11">
      <c r="A50" s="3">
        <v>39052</v>
      </c>
      <c r="B50" s="60">
        <v>36503400</v>
      </c>
      <c r="C50" s="186">
        <f>+'Purchased Power Model '!C50</f>
        <v>471.5</v>
      </c>
      <c r="D50" s="186">
        <f>+'Purchased Power Model '!D50</f>
        <v>0</v>
      </c>
      <c r="E50" s="103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45961</v>
      </c>
      <c r="I50" s="193">
        <f t="shared" si="0"/>
        <v>39778084.961318836</v>
      </c>
      <c r="J50" s="36">
        <f t="shared" si="1"/>
        <v>3274684.9613188356</v>
      </c>
      <c r="K50" s="5">
        <f t="shared" si="2"/>
        <v>8.9709039742019533E-2</v>
      </c>
    </row>
    <row r="51" spans="1:11">
      <c r="A51" s="3">
        <v>39083</v>
      </c>
      <c r="B51" s="60">
        <v>44041059</v>
      </c>
      <c r="C51" s="186">
        <f>+'Purchased Power Model '!C51</f>
        <v>573.1</v>
      </c>
      <c r="D51" s="186">
        <f>+'Purchased Power Model '!D51</f>
        <v>0</v>
      </c>
      <c r="E51" s="103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45997</v>
      </c>
      <c r="I51" s="193">
        <f t="shared" si="0"/>
        <v>41215955.741052307</v>
      </c>
      <c r="J51" s="36">
        <f t="shared" si="1"/>
        <v>-2825103.2589476928</v>
      </c>
      <c r="K51" s="5">
        <f t="shared" si="2"/>
        <v>-6.4147032861941233E-2</v>
      </c>
    </row>
    <row r="52" spans="1:11">
      <c r="A52" s="3">
        <v>39114</v>
      </c>
      <c r="B52" s="60">
        <v>46027730</v>
      </c>
      <c r="C52" s="186">
        <f>+'Purchased Power Model '!C52</f>
        <v>693.5</v>
      </c>
      <c r="D52" s="186">
        <f>+'Purchased Power Model '!D52</f>
        <v>0</v>
      </c>
      <c r="E52" s="103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46052</v>
      </c>
      <c r="I52" s="193">
        <f t="shared" si="0"/>
        <v>45225926.580477834</v>
      </c>
      <c r="J52" s="36">
        <f t="shared" si="1"/>
        <v>-801803.41952216625</v>
      </c>
      <c r="K52" s="5">
        <f t="shared" si="2"/>
        <v>-1.7420007884859111E-2</v>
      </c>
    </row>
    <row r="53" spans="1:11">
      <c r="A53" s="3">
        <v>39142</v>
      </c>
      <c r="B53" s="60">
        <v>44842876</v>
      </c>
      <c r="C53" s="186">
        <f>+'Purchased Power Model '!C53</f>
        <v>477.9</v>
      </c>
      <c r="D53" s="186">
        <f>+'Purchased Power Model '!D53</f>
        <v>0</v>
      </c>
      <c r="E53" s="103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46091</v>
      </c>
      <c r="I53" s="193">
        <f t="shared" si="0"/>
        <v>40611675.568731159</v>
      </c>
      <c r="J53" s="36">
        <f t="shared" si="1"/>
        <v>-4231200.431268841</v>
      </c>
      <c r="K53" s="5">
        <f t="shared" si="2"/>
        <v>-9.4356134322625546E-2</v>
      </c>
    </row>
    <row r="54" spans="1:11">
      <c r="A54" s="3">
        <v>39173</v>
      </c>
      <c r="B54" s="60">
        <v>43266878</v>
      </c>
      <c r="C54" s="186">
        <f>+'Purchased Power Model '!C54</f>
        <v>280.39999999999998</v>
      </c>
      <c r="D54" s="186">
        <f>+'Purchased Power Model '!D54</f>
        <v>0</v>
      </c>
      <c r="E54" s="103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46144</v>
      </c>
      <c r="I54" s="193">
        <f t="shared" si="0"/>
        <v>38893381.37276306</v>
      </c>
      <c r="J54" s="36">
        <f t="shared" si="1"/>
        <v>-4373496.62723694</v>
      </c>
      <c r="K54" s="5">
        <f t="shared" si="2"/>
        <v>-0.10108186283366551</v>
      </c>
    </row>
    <row r="55" spans="1:11">
      <c r="A55" s="3">
        <v>39203</v>
      </c>
      <c r="B55" s="60">
        <v>36870366</v>
      </c>
      <c r="C55" s="186">
        <f>+'Purchased Power Model '!C55</f>
        <v>72.8</v>
      </c>
      <c r="D55" s="186">
        <f>+'Purchased Power Model '!D55</f>
        <v>4.5</v>
      </c>
      <c r="E55" s="103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46228</v>
      </c>
      <c r="I55" s="193">
        <f t="shared" si="0"/>
        <v>35635127.972770445</v>
      </c>
      <c r="J55" s="36">
        <f t="shared" si="1"/>
        <v>-1235238.027229555</v>
      </c>
      <c r="K55" s="5">
        <f t="shared" si="2"/>
        <v>-3.350219054591308E-2</v>
      </c>
    </row>
    <row r="56" spans="1:11">
      <c r="A56" s="3">
        <v>39234</v>
      </c>
      <c r="B56" s="60">
        <v>34175270</v>
      </c>
      <c r="C56" s="186">
        <f>+'Purchased Power Model '!C56</f>
        <v>6.2</v>
      </c>
      <c r="D56" s="186">
        <f>+'Purchased Power Model '!D56</f>
        <v>32.799999999999997</v>
      </c>
      <c r="E56" s="103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46257</v>
      </c>
      <c r="I56" s="193">
        <f t="shared" si="0"/>
        <v>36373095.576474428</v>
      </c>
      <c r="J56" s="36">
        <f t="shared" si="1"/>
        <v>2197825.5764744282</v>
      </c>
      <c r="K56" s="5">
        <f t="shared" si="2"/>
        <v>6.4310408563690302E-2</v>
      </c>
    </row>
    <row r="57" spans="1:11">
      <c r="A57" s="3">
        <v>39264</v>
      </c>
      <c r="B57" s="60">
        <v>37079714</v>
      </c>
      <c r="C57" s="186">
        <f>+'Purchased Power Model '!C57</f>
        <v>8.6999999999999993</v>
      </c>
      <c r="D57" s="186">
        <f>+'Purchased Power Model '!D57</f>
        <v>41.6</v>
      </c>
      <c r="E57" s="103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46325</v>
      </c>
      <c r="I57" s="193">
        <f t="shared" si="0"/>
        <v>35965482.213501051</v>
      </c>
      <c r="J57" s="36">
        <f t="shared" si="1"/>
        <v>-1114231.7864989489</v>
      </c>
      <c r="K57" s="5">
        <f t="shared" si="2"/>
        <v>-3.0049632704797803E-2</v>
      </c>
    </row>
    <row r="58" spans="1:11">
      <c r="A58" s="3">
        <v>39295</v>
      </c>
      <c r="B58" s="60">
        <v>40753312</v>
      </c>
      <c r="C58" s="186">
        <f>+'Purchased Power Model '!C58</f>
        <v>4</v>
      </c>
      <c r="D58" s="186">
        <f>+'Purchased Power Model '!D58</f>
        <v>87.8</v>
      </c>
      <c r="E58" s="103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46387</v>
      </c>
      <c r="I58" s="193">
        <f t="shared" si="0"/>
        <v>38183264.677721031</v>
      </c>
      <c r="J58" s="36">
        <f t="shared" si="1"/>
        <v>-2570047.322278969</v>
      </c>
      <c r="K58" s="5">
        <f t="shared" si="2"/>
        <v>-6.3063520390170227E-2</v>
      </c>
    </row>
    <row r="59" spans="1:11">
      <c r="A59" s="3">
        <v>39326</v>
      </c>
      <c r="B59" s="60">
        <v>37935547</v>
      </c>
      <c r="C59" s="186">
        <f>+'Purchased Power Model '!C59</f>
        <v>20.100000000000001</v>
      </c>
      <c r="D59" s="186">
        <f>+'Purchased Power Model '!D59</f>
        <v>12.3</v>
      </c>
      <c r="E59" s="103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46477</v>
      </c>
      <c r="I59" s="193">
        <f t="shared" si="0"/>
        <v>36136870.727305368</v>
      </c>
      <c r="J59" s="36">
        <f t="shared" si="1"/>
        <v>-1798676.2726946324</v>
      </c>
      <c r="K59" s="5">
        <f t="shared" si="2"/>
        <v>-4.7414006517281337E-2</v>
      </c>
    </row>
    <row r="60" spans="1:11">
      <c r="A60" s="3">
        <v>39356</v>
      </c>
      <c r="B60" s="60">
        <v>37441028</v>
      </c>
      <c r="C60" s="186">
        <f>+'Purchased Power Model '!C60</f>
        <v>101.5</v>
      </c>
      <c r="D60" s="186">
        <f>+'Purchased Power Model '!D60</f>
        <v>0</v>
      </c>
      <c r="E60" s="103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46548</v>
      </c>
      <c r="I60" s="193">
        <f t="shared" si="0"/>
        <v>35830805.788274311</v>
      </c>
      <c r="J60" s="36">
        <f t="shared" si="1"/>
        <v>-1610222.2117256895</v>
      </c>
      <c r="K60" s="5">
        <f t="shared" si="2"/>
        <v>-4.3006891042780382E-2</v>
      </c>
    </row>
    <row r="61" spans="1:11">
      <c r="A61" s="3">
        <v>39387</v>
      </c>
      <c r="B61" s="60">
        <v>34986690</v>
      </c>
      <c r="C61" s="186">
        <f>+'Purchased Power Model '!C61</f>
        <v>314.10000000000002</v>
      </c>
      <c r="D61" s="186">
        <f>+'Purchased Power Model '!D61</f>
        <v>0</v>
      </c>
      <c r="E61" s="103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46661</v>
      </c>
      <c r="I61" s="193">
        <f t="shared" si="0"/>
        <v>39430256.946780279</v>
      </c>
      <c r="J61" s="36">
        <f t="shared" si="1"/>
        <v>4443566.9467802793</v>
      </c>
      <c r="K61" s="5">
        <f t="shared" si="2"/>
        <v>0.12700735470489719</v>
      </c>
    </row>
    <row r="62" spans="1:11">
      <c r="A62" s="3">
        <v>39417</v>
      </c>
      <c r="B62" s="60">
        <v>35644093</v>
      </c>
      <c r="C62" s="186">
        <f>+'Purchased Power Model '!C62</f>
        <v>337.8</v>
      </c>
      <c r="D62" s="186">
        <f>+'Purchased Power Model '!D62</f>
        <v>0</v>
      </c>
      <c r="E62" s="103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46679</v>
      </c>
      <c r="I62" s="193">
        <f t="shared" si="0"/>
        <v>38328397.728205547</v>
      </c>
      <c r="J62" s="36">
        <f t="shared" si="1"/>
        <v>2684304.7282055467</v>
      </c>
      <c r="K62" s="5">
        <f t="shared" si="2"/>
        <v>7.5308543499915864E-2</v>
      </c>
    </row>
    <row r="63" spans="1:11">
      <c r="A63" s="3">
        <v>39448</v>
      </c>
      <c r="B63" s="61">
        <v>45406896</v>
      </c>
      <c r="C63" s="187">
        <f>+'Purchased Power Model '!C63</f>
        <v>432.8</v>
      </c>
      <c r="D63" s="187">
        <f>+'Purchased Power Model '!D63</f>
        <v>0</v>
      </c>
      <c r="E63" s="103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46811</v>
      </c>
      <c r="I63" s="193">
        <f t="shared" si="0"/>
        <v>39581789.898246199</v>
      </c>
      <c r="J63" s="36">
        <f t="shared" si="1"/>
        <v>-5825106.1017538011</v>
      </c>
      <c r="K63" s="5">
        <f t="shared" si="2"/>
        <v>-0.12828681576811155</v>
      </c>
    </row>
    <row r="64" spans="1:11">
      <c r="A64" s="3">
        <v>39479</v>
      </c>
      <c r="B64" s="61">
        <v>50038729</v>
      </c>
      <c r="C64" s="187">
        <f>+'Purchased Power Model '!C64</f>
        <v>317.60000000000002</v>
      </c>
      <c r="D64" s="187">
        <f>+'Purchased Power Model '!D64</f>
        <v>0</v>
      </c>
      <c r="E64" s="103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46870</v>
      </c>
      <c r="I64" s="193">
        <f t="shared" si="0"/>
        <v>39727490.230617017</v>
      </c>
      <c r="J64" s="36">
        <f t="shared" si="1"/>
        <v>-10311238.769382983</v>
      </c>
      <c r="K64" s="5">
        <f t="shared" si="2"/>
        <v>-0.20606516143491541</v>
      </c>
    </row>
    <row r="65" spans="1:17">
      <c r="A65" s="3">
        <v>39508</v>
      </c>
      <c r="B65" s="61">
        <v>46174352</v>
      </c>
      <c r="C65" s="187">
        <f>+'Purchased Power Model '!C65</f>
        <v>430</v>
      </c>
      <c r="D65" s="187">
        <f>+'Purchased Power Model '!D65</f>
        <v>0</v>
      </c>
      <c r="E65" s="103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46925</v>
      </c>
      <c r="I65" s="193">
        <f t="shared" si="0"/>
        <v>40181059.504104219</v>
      </c>
      <c r="J65" s="36">
        <f t="shared" si="1"/>
        <v>-5993292.4958957806</v>
      </c>
      <c r="K65" s="5">
        <f t="shared" si="2"/>
        <v>-0.12979700280137729</v>
      </c>
    </row>
    <row r="66" spans="1:17">
      <c r="A66" s="3">
        <v>39539</v>
      </c>
      <c r="B66" s="61">
        <v>42871330</v>
      </c>
      <c r="C66" s="187">
        <f>+'Purchased Power Model '!C66</f>
        <v>144.6</v>
      </c>
      <c r="D66" s="187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46960</v>
      </c>
      <c r="I66" s="193">
        <f t="shared" si="0"/>
        <v>37144488.365350828</v>
      </c>
      <c r="J66" s="36">
        <f t="shared" si="1"/>
        <v>-5726841.6346491724</v>
      </c>
      <c r="K66" s="5">
        <f t="shared" si="2"/>
        <v>-0.13358208468571356</v>
      </c>
    </row>
    <row r="67" spans="1:17">
      <c r="A67" s="3">
        <v>39569</v>
      </c>
      <c r="B67" s="61">
        <v>34610197</v>
      </c>
      <c r="C67" s="187">
        <f>+'Purchased Power Model '!C67</f>
        <v>151</v>
      </c>
      <c r="D67" s="187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47013</v>
      </c>
      <c r="I67" s="193">
        <f t="shared" si="0"/>
        <v>36431408.420089364</v>
      </c>
      <c r="J67" s="36">
        <f t="shared" si="1"/>
        <v>1821211.4200893641</v>
      </c>
      <c r="K67" s="5">
        <f t="shared" si="2"/>
        <v>5.2620660324162967E-2</v>
      </c>
    </row>
    <row r="68" spans="1:17">
      <c r="A68" s="3">
        <v>39600</v>
      </c>
      <c r="B68" s="61">
        <v>32036344</v>
      </c>
      <c r="C68" s="187">
        <f>+'Purchased Power Model '!C68</f>
        <v>15.5</v>
      </c>
      <c r="D68" s="187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47130</v>
      </c>
      <c r="I68" s="193">
        <f t="shared" ref="I68:I131" si="3">$N$18+C68*$N$19+D68*$N$20+E68*$N$21+F68*$N$22+G68*$N$23+H68*$N$24</f>
        <v>36071236.300609872</v>
      </c>
      <c r="J68" s="36">
        <f t="shared" ref="J68:J131" si="4">I68-B68</f>
        <v>4034892.3006098717</v>
      </c>
      <c r="K68" s="5">
        <f t="shared" ref="K68:K131" si="5">J68/B68</f>
        <v>0.12594733970299082</v>
      </c>
    </row>
    <row r="69" spans="1:17">
      <c r="A69" s="3">
        <v>39630</v>
      </c>
      <c r="B69" s="61">
        <v>36409972</v>
      </c>
      <c r="C69" s="187">
        <f>+'Purchased Power Model '!C69</f>
        <v>1</v>
      </c>
      <c r="D69" s="187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47200</v>
      </c>
      <c r="I69" s="193">
        <f t="shared" si="3"/>
        <v>37036711.682025596</v>
      </c>
      <c r="J69" s="36">
        <f t="shared" si="4"/>
        <v>626739.6820255965</v>
      </c>
      <c r="K69" s="5">
        <f t="shared" si="5"/>
        <v>1.7213407415572757E-2</v>
      </c>
    </row>
    <row r="70" spans="1:17">
      <c r="A70" s="3">
        <v>39661</v>
      </c>
      <c r="B70" s="61">
        <v>38939362</v>
      </c>
      <c r="C70" s="187">
        <f>+'Purchased Power Model '!C70</f>
        <v>13.8</v>
      </c>
      <c r="D70" s="187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47242</v>
      </c>
      <c r="I70" s="193">
        <f t="shared" si="3"/>
        <v>35672999.161009505</v>
      </c>
      <c r="J70" s="36">
        <f t="shared" si="4"/>
        <v>-3266362.8389904946</v>
      </c>
      <c r="K70" s="5">
        <f t="shared" si="5"/>
        <v>-8.3883316809106795E-2</v>
      </c>
    </row>
    <row r="71" spans="1:17">
      <c r="A71" s="3">
        <v>39692</v>
      </c>
      <c r="B71" s="61">
        <v>38252149</v>
      </c>
      <c r="C71" s="187">
        <f>+'Purchased Power Model '!C71</f>
        <v>51.6</v>
      </c>
      <c r="D71" s="187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47313</v>
      </c>
      <c r="I71" s="193">
        <f t="shared" si="3"/>
        <v>36873178.375810243</v>
      </c>
      <c r="J71" s="36">
        <f t="shared" si="4"/>
        <v>-1378970.6241897568</v>
      </c>
      <c r="K71" s="5">
        <f t="shared" si="5"/>
        <v>-3.6049494217691061E-2</v>
      </c>
    </row>
    <row r="72" spans="1:17">
      <c r="A72" s="3">
        <v>39722</v>
      </c>
      <c r="B72" s="61">
        <v>34259628</v>
      </c>
      <c r="C72" s="187">
        <f>+'Purchased Power Model '!C72</f>
        <v>203.1</v>
      </c>
      <c r="D72" s="187">
        <f>+'Purchased Power Model '!D72</f>
        <v>0</v>
      </c>
      <c r="E72" s="103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47351</v>
      </c>
      <c r="I72" s="193">
        <f t="shared" si="3"/>
        <v>37124229.445863172</v>
      </c>
      <c r="J72" s="36">
        <f t="shared" si="4"/>
        <v>2864601.4458631724</v>
      </c>
      <c r="K72" s="5">
        <f t="shared" si="5"/>
        <v>8.361449359179185E-2</v>
      </c>
    </row>
    <row r="73" spans="1:17">
      <c r="A73" s="3">
        <v>39753</v>
      </c>
      <c r="B73" s="61">
        <v>34344368</v>
      </c>
      <c r="C73" s="187">
        <f>+'Purchased Power Model '!C73</f>
        <v>268.8</v>
      </c>
      <c r="D73" s="187">
        <f>+'Purchased Power Model '!D73</f>
        <v>0</v>
      </c>
      <c r="E73" s="103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47409</v>
      </c>
      <c r="I73" s="193">
        <f t="shared" si="3"/>
        <v>38803631.54941237</v>
      </c>
      <c r="J73" s="36">
        <f t="shared" si="4"/>
        <v>4459263.5494123697</v>
      </c>
      <c r="K73" s="5">
        <f t="shared" si="5"/>
        <v>0.12983973236637722</v>
      </c>
    </row>
    <row r="74" spans="1:17">
      <c r="A74" s="3">
        <v>39783</v>
      </c>
      <c r="B74" s="61">
        <v>37414757</v>
      </c>
      <c r="C74" s="187">
        <f>+'Purchased Power Model '!C74</f>
        <v>378.9</v>
      </c>
      <c r="D74" s="187">
        <f>+'Purchased Power Model '!D74</f>
        <v>0</v>
      </c>
      <c r="E74" s="103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47436</v>
      </c>
      <c r="I74" s="193">
        <f t="shared" si="3"/>
        <v>38824404.518950254</v>
      </c>
      <c r="J74" s="36">
        <f t="shared" si="4"/>
        <v>1409647.5189502537</v>
      </c>
      <c r="K74" s="5">
        <f t="shared" si="5"/>
        <v>3.7676244134106064E-2</v>
      </c>
    </row>
    <row r="75" spans="1:17" s="14" customFormat="1">
      <c r="A75" s="3">
        <v>39814</v>
      </c>
      <c r="B75" s="61">
        <v>48145614</v>
      </c>
      <c r="C75" s="187">
        <f>+'Purchased Power Model '!C75</f>
        <v>684.3</v>
      </c>
      <c r="D75" s="187">
        <f>+'Purchased Power Model '!D75</f>
        <v>0</v>
      </c>
      <c r="E75" s="103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47452</v>
      </c>
      <c r="I75" s="193">
        <f t="shared" si="3"/>
        <v>42693381.211080201</v>
      </c>
      <c r="J75" s="36">
        <f t="shared" si="4"/>
        <v>-5452232.788919799</v>
      </c>
      <c r="K75" s="5">
        <f t="shared" si="5"/>
        <v>-0.11324464132744883</v>
      </c>
      <c r="L75" s="11"/>
      <c r="M75" s="11"/>
      <c r="N75" s="11"/>
      <c r="O75" s="11"/>
      <c r="P75" s="11"/>
      <c r="Q75" s="11"/>
    </row>
    <row r="76" spans="1:17">
      <c r="A76" s="3">
        <v>39845</v>
      </c>
      <c r="B76" s="61">
        <v>50342878</v>
      </c>
      <c r="C76" s="187">
        <f>+'Purchased Power Model '!C76</f>
        <v>595.29999999999995</v>
      </c>
      <c r="D76" s="187">
        <f>+'Purchased Power Model '!D76</f>
        <v>0</v>
      </c>
      <c r="E76" s="103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47472</v>
      </c>
      <c r="I76" s="193">
        <f t="shared" si="3"/>
        <v>43978769.582057729</v>
      </c>
      <c r="J76" s="36">
        <f t="shared" si="4"/>
        <v>-6364108.4179422706</v>
      </c>
      <c r="K76" s="5">
        <f t="shared" si="5"/>
        <v>-0.12641526807311793</v>
      </c>
    </row>
    <row r="77" spans="1:17">
      <c r="A77" s="3">
        <v>39873</v>
      </c>
      <c r="B77" s="61">
        <v>42873962</v>
      </c>
      <c r="C77" s="187">
        <f>+'Purchased Power Model '!C77</f>
        <v>442.2</v>
      </c>
      <c r="D77" s="187">
        <f>+'Purchased Power Model '!D77</f>
        <v>0</v>
      </c>
      <c r="E77" s="103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47485</v>
      </c>
      <c r="I77" s="193">
        <f t="shared" si="3"/>
        <v>40167341.899109669</v>
      </c>
      <c r="J77" s="36">
        <f t="shared" si="4"/>
        <v>-2706620.100890331</v>
      </c>
      <c r="K77" s="5">
        <f t="shared" si="5"/>
        <v>-6.3129693982803145E-2</v>
      </c>
    </row>
    <row r="78" spans="1:17">
      <c r="A78" s="3">
        <v>39904</v>
      </c>
      <c r="B78" s="61">
        <v>39483063</v>
      </c>
      <c r="C78" s="187">
        <f>+'Purchased Power Model '!C78</f>
        <v>313.8</v>
      </c>
      <c r="D78" s="187">
        <f>+'Purchased Power Model '!D78</f>
        <v>0</v>
      </c>
      <c r="E78" s="103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47489</v>
      </c>
      <c r="I78" s="193">
        <f t="shared" si="3"/>
        <v>39283521.653124996</v>
      </c>
      <c r="J78" s="36">
        <f t="shared" si="4"/>
        <v>-199541.34687500447</v>
      </c>
      <c r="K78" s="5">
        <f t="shared" si="5"/>
        <v>-5.0538466804109011E-3</v>
      </c>
    </row>
    <row r="79" spans="1:17">
      <c r="A79" s="3">
        <v>39934</v>
      </c>
      <c r="B79" s="61">
        <v>37344261</v>
      </c>
      <c r="C79" s="187">
        <f>+'Purchased Power Model '!C79</f>
        <v>170.1</v>
      </c>
      <c r="D79" s="187">
        <f>+'Purchased Power Model '!D79</f>
        <v>0</v>
      </c>
      <c r="E79" s="103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47515</v>
      </c>
      <c r="I79" s="193">
        <f t="shared" si="3"/>
        <v>36616889.082913913</v>
      </c>
      <c r="J79" s="36">
        <f t="shared" si="4"/>
        <v>-727371.91708608717</v>
      </c>
      <c r="K79" s="5">
        <f t="shared" si="5"/>
        <v>-1.94774751891887E-2</v>
      </c>
    </row>
    <row r="80" spans="1:17">
      <c r="A80" s="3">
        <v>39965</v>
      </c>
      <c r="B80" s="61">
        <v>33870381</v>
      </c>
      <c r="C80" s="187">
        <f>+'Purchased Power Model '!C80</f>
        <v>57.9</v>
      </c>
      <c r="D80" s="187">
        <f>+'Purchased Power Model '!D80</f>
        <v>26.3</v>
      </c>
      <c r="E80" s="103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47525</v>
      </c>
      <c r="I80" s="193">
        <f t="shared" si="3"/>
        <v>36660414.34414281</v>
      </c>
      <c r="J80" s="36">
        <f t="shared" si="4"/>
        <v>2790033.3441428095</v>
      </c>
      <c r="K80" s="5">
        <f t="shared" si="5"/>
        <v>8.2373839967811682E-2</v>
      </c>
    </row>
    <row r="81" spans="1:17">
      <c r="A81" s="3">
        <v>39995</v>
      </c>
      <c r="B81" s="61">
        <v>34673490</v>
      </c>
      <c r="C81" s="187">
        <f>+'Purchased Power Model '!C81</f>
        <v>16.8</v>
      </c>
      <c r="D81" s="187">
        <f>+'Purchased Power Model '!D81</f>
        <v>25.6</v>
      </c>
      <c r="E81" s="103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47537</v>
      </c>
      <c r="I81" s="193">
        <f t="shared" si="3"/>
        <v>35206688.457840346</v>
      </c>
      <c r="J81" s="36">
        <f t="shared" si="4"/>
        <v>533198.4578403458</v>
      </c>
      <c r="K81" s="5">
        <f t="shared" si="5"/>
        <v>1.5377698000413163E-2</v>
      </c>
    </row>
    <row r="82" spans="1:17">
      <c r="A82" s="3">
        <v>40026</v>
      </c>
      <c r="B82" s="61">
        <v>34583075</v>
      </c>
      <c r="C82" s="187">
        <f>+'Purchased Power Model '!C82</f>
        <v>13.1</v>
      </c>
      <c r="D82" s="187">
        <f>+'Purchased Power Model '!D82</f>
        <v>77.7</v>
      </c>
      <c r="E82" s="103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47595</v>
      </c>
      <c r="I82" s="193">
        <f t="shared" si="3"/>
        <v>37725042.285718948</v>
      </c>
      <c r="J82" s="36">
        <f t="shared" si="4"/>
        <v>3141967.2857189476</v>
      </c>
      <c r="K82" s="5">
        <f t="shared" si="5"/>
        <v>9.0852744752135187E-2</v>
      </c>
    </row>
    <row r="83" spans="1:17">
      <c r="A83" s="3">
        <v>40057</v>
      </c>
      <c r="B83" s="61">
        <v>36959314</v>
      </c>
      <c r="C83" s="187">
        <f>+'Purchased Power Model '!C83</f>
        <v>64.8</v>
      </c>
      <c r="D83" s="187">
        <f>+'Purchased Power Model '!D83</f>
        <v>9</v>
      </c>
      <c r="E83" s="103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47640</v>
      </c>
      <c r="I83" s="193">
        <f t="shared" si="3"/>
        <v>36460125.750645801</v>
      </c>
      <c r="J83" s="36">
        <f t="shared" si="4"/>
        <v>-499188.24935419858</v>
      </c>
      <c r="K83" s="5">
        <f t="shared" si="5"/>
        <v>-1.3506426265222308E-2</v>
      </c>
    </row>
    <row r="84" spans="1:17">
      <c r="A84" s="3">
        <v>40087</v>
      </c>
      <c r="B84" s="61">
        <v>37604869</v>
      </c>
      <c r="C84" s="187">
        <f>+'Purchased Power Model '!C84</f>
        <v>287.89999999999998</v>
      </c>
      <c r="D84" s="187">
        <f>+'Purchased Power Model '!D84</f>
        <v>0</v>
      </c>
      <c r="E84" s="103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47669</v>
      </c>
      <c r="I84" s="193">
        <f t="shared" si="3"/>
        <v>37998490.796787284</v>
      </c>
      <c r="J84" s="36">
        <f t="shared" si="4"/>
        <v>393621.79678728431</v>
      </c>
      <c r="K84" s="5">
        <f t="shared" si="5"/>
        <v>1.0467309347289159E-2</v>
      </c>
    </row>
    <row r="85" spans="1:17">
      <c r="A85" s="3">
        <v>40118</v>
      </c>
      <c r="B85" s="61">
        <v>35777422</v>
      </c>
      <c r="C85" s="187">
        <f>+'Purchased Power Model '!C85</f>
        <v>347.4</v>
      </c>
      <c r="D85" s="187">
        <f>+'Purchased Power Model '!D85</f>
        <v>0</v>
      </c>
      <c r="E85" s="103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47715</v>
      </c>
      <c r="I85" s="193">
        <f t="shared" si="3"/>
        <v>39594097.548327938</v>
      </c>
      <c r="J85" s="36">
        <f t="shared" si="4"/>
        <v>3816675.5483279377</v>
      </c>
      <c r="K85" s="5">
        <f t="shared" si="5"/>
        <v>0.10667832769862338</v>
      </c>
    </row>
    <row r="86" spans="1:17" s="31" customFormat="1">
      <c r="A86" s="3">
        <v>40148</v>
      </c>
      <c r="B86" s="61">
        <v>36356282</v>
      </c>
      <c r="C86" s="187">
        <f>+'Purchased Power Model '!C86</f>
        <v>619.1</v>
      </c>
      <c r="D86" s="187">
        <f>+'Purchased Power Model '!D86</f>
        <v>0</v>
      </c>
      <c r="E86" s="103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47769</v>
      </c>
      <c r="I86" s="193">
        <f t="shared" si="3"/>
        <v>41717506.142842621</v>
      </c>
      <c r="J86" s="36">
        <f t="shared" si="4"/>
        <v>5361224.1428426206</v>
      </c>
      <c r="K86" s="5">
        <f t="shared" si="5"/>
        <v>0.14746348768123815</v>
      </c>
      <c r="L86" s="27"/>
      <c r="M86" s="27"/>
      <c r="N86" s="27"/>
      <c r="O86" s="27"/>
      <c r="P86" s="27"/>
      <c r="Q86" s="27"/>
    </row>
    <row r="87" spans="1:17">
      <c r="A87" s="3">
        <v>40179</v>
      </c>
      <c r="B87" s="59">
        <v>46964801</v>
      </c>
      <c r="C87" s="187">
        <f>+'Purchased Power Model '!C87</f>
        <v>699.9</v>
      </c>
      <c r="D87" s="187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47822</v>
      </c>
      <c r="I87" s="193">
        <f t="shared" si="3"/>
        <v>42716942.369641662</v>
      </c>
      <c r="J87" s="36">
        <f t="shared" si="4"/>
        <v>-4247858.6303583384</v>
      </c>
      <c r="K87" s="5">
        <f t="shared" si="5"/>
        <v>-9.0447708494673248E-2</v>
      </c>
    </row>
    <row r="88" spans="1:17">
      <c r="A88" s="3">
        <v>40210</v>
      </c>
      <c r="B88" s="59">
        <v>48467266</v>
      </c>
      <c r="C88" s="187">
        <f>+'Purchased Power Model '!C88</f>
        <v>583.79999999999995</v>
      </c>
      <c r="D88" s="187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47929</v>
      </c>
      <c r="I88" s="193">
        <f t="shared" si="3"/>
        <v>43675809.638163015</v>
      </c>
      <c r="J88" s="36">
        <f t="shared" si="4"/>
        <v>-4791456.3618369848</v>
      </c>
      <c r="K88" s="5">
        <f t="shared" si="5"/>
        <v>-9.8859637798364458E-2</v>
      </c>
    </row>
    <row r="89" spans="1:17">
      <c r="A89" s="3">
        <v>40238</v>
      </c>
      <c r="B89" s="59">
        <v>44474145</v>
      </c>
      <c r="C89" s="187">
        <f>+'Purchased Power Model '!C89</f>
        <v>411</v>
      </c>
      <c r="D89" s="187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47981</v>
      </c>
      <c r="I89" s="193">
        <f t="shared" si="3"/>
        <v>39620111.844800703</v>
      </c>
      <c r="J89" s="36">
        <f t="shared" si="4"/>
        <v>-4854033.1551992968</v>
      </c>
      <c r="K89" s="5">
        <f t="shared" si="5"/>
        <v>-0.10914280994495333</v>
      </c>
    </row>
    <row r="90" spans="1:17">
      <c r="A90" s="3">
        <v>40269</v>
      </c>
      <c r="B90" s="59">
        <v>38255952</v>
      </c>
      <c r="C90" s="187">
        <f>+'Purchased Power Model '!C90</f>
        <v>244</v>
      </c>
      <c r="D90" s="187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48073</v>
      </c>
      <c r="I90" s="193">
        <f t="shared" si="3"/>
        <v>38355681.975321516</v>
      </c>
      <c r="J90" s="36">
        <f t="shared" si="4"/>
        <v>99729.975321516395</v>
      </c>
      <c r="K90" s="5">
        <f t="shared" si="5"/>
        <v>2.6069139599902359E-3</v>
      </c>
    </row>
    <row r="91" spans="1:17">
      <c r="A91" s="3">
        <v>40299</v>
      </c>
      <c r="B91" s="59">
        <v>33452154</v>
      </c>
      <c r="C91" s="187">
        <f>+'Purchased Power Model '!C91</f>
        <v>121.7</v>
      </c>
      <c r="D91" s="187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48165</v>
      </c>
      <c r="I91" s="193">
        <f t="shared" si="3"/>
        <v>37120698.96415583</v>
      </c>
      <c r="J91" s="36">
        <f t="shared" si="4"/>
        <v>3668544.9641558304</v>
      </c>
      <c r="K91" s="5">
        <f t="shared" si="5"/>
        <v>0.10966543332772623</v>
      </c>
    </row>
    <row r="92" spans="1:17">
      <c r="A92" s="3">
        <v>40330</v>
      </c>
      <c r="B92" s="59">
        <v>31846018</v>
      </c>
      <c r="C92" s="187">
        <f>+'Purchased Power Model '!C92</f>
        <v>19.399999999999999</v>
      </c>
      <c r="D92" s="187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48234</v>
      </c>
      <c r="I92" s="193">
        <f t="shared" si="3"/>
        <v>37167454.249361835</v>
      </c>
      <c r="J92" s="36">
        <f t="shared" si="4"/>
        <v>5321436.2493618354</v>
      </c>
      <c r="K92" s="5">
        <f t="shared" si="5"/>
        <v>0.16709895250834297</v>
      </c>
    </row>
    <row r="93" spans="1:17">
      <c r="A93" s="3">
        <v>40360</v>
      </c>
      <c r="B93" s="59">
        <v>36254179</v>
      </c>
      <c r="C93" s="187">
        <f>+'Purchased Power Model '!C93</f>
        <v>3.5</v>
      </c>
      <c r="D93" s="187">
        <f>+'Purchased Power Model '!D93</f>
        <v>124</v>
      </c>
      <c r="E93" s="103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48264</v>
      </c>
      <c r="I93" s="193">
        <f t="shared" si="3"/>
        <v>39867781.095000297</v>
      </c>
      <c r="J93" s="36">
        <f t="shared" si="4"/>
        <v>3613602.0950002968</v>
      </c>
      <c r="K93" s="5">
        <f t="shared" si="5"/>
        <v>9.9674084331086266E-2</v>
      </c>
    </row>
    <row r="94" spans="1:17">
      <c r="A94" s="3">
        <v>40391</v>
      </c>
      <c r="B94" s="59">
        <v>44827045</v>
      </c>
      <c r="C94" s="187">
        <f>+'Purchased Power Model '!C94</f>
        <v>3.2</v>
      </c>
      <c r="D94" s="187">
        <f>+'Purchased Power Model '!D94</f>
        <v>96.8</v>
      </c>
      <c r="E94" s="103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48303</v>
      </c>
      <c r="I94" s="193">
        <f t="shared" si="3"/>
        <v>38543831.774124771</v>
      </c>
      <c r="J94" s="36">
        <f t="shared" si="4"/>
        <v>-6283213.2258752286</v>
      </c>
      <c r="K94" s="5">
        <f t="shared" si="5"/>
        <v>-0.14016567957747891</v>
      </c>
    </row>
    <row r="95" spans="1:17">
      <c r="A95" s="3">
        <v>40422</v>
      </c>
      <c r="B95" s="59">
        <v>44782980</v>
      </c>
      <c r="C95" s="187">
        <f>+'Purchased Power Model '!C95</f>
        <v>85.5</v>
      </c>
      <c r="D95" s="187">
        <f>+'Purchased Power Model '!D95</f>
        <v>18.5</v>
      </c>
      <c r="E95" s="103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48348</v>
      </c>
      <c r="I95" s="193">
        <f t="shared" si="3"/>
        <v>37205778.921349049</v>
      </c>
      <c r="J95" s="36">
        <f t="shared" si="4"/>
        <v>-7577201.0786509514</v>
      </c>
      <c r="K95" s="5">
        <f t="shared" si="5"/>
        <v>-0.16919823286996424</v>
      </c>
    </row>
    <row r="96" spans="1:17">
      <c r="A96" s="3">
        <v>40452</v>
      </c>
      <c r="B96" s="59">
        <v>38118288</v>
      </c>
      <c r="C96" s="187">
        <f>+'Purchased Power Model '!C96</f>
        <v>247.8</v>
      </c>
      <c r="D96" s="187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48388</v>
      </c>
      <c r="I96" s="193">
        <f t="shared" si="3"/>
        <v>37778279.471431538</v>
      </c>
      <c r="J96" s="36">
        <f t="shared" si="4"/>
        <v>-340008.52856846154</v>
      </c>
      <c r="K96" s="5">
        <f t="shared" si="5"/>
        <v>-8.9198268444915865E-3</v>
      </c>
    </row>
    <row r="97" spans="1:11">
      <c r="A97" s="3">
        <v>40483</v>
      </c>
      <c r="B97" s="59">
        <v>35289109</v>
      </c>
      <c r="C97" s="187">
        <f>+'Purchased Power Model '!C97</f>
        <v>389.2</v>
      </c>
      <c r="D97" s="187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48425</v>
      </c>
      <c r="I97" s="193">
        <f t="shared" si="3"/>
        <v>40433051.330909446</v>
      </c>
      <c r="J97" s="36">
        <f t="shared" si="4"/>
        <v>5143942.3309094459</v>
      </c>
      <c r="K97" s="5">
        <f t="shared" si="5"/>
        <v>0.1457657185651654</v>
      </c>
    </row>
    <row r="98" spans="1:11">
      <c r="A98" s="3">
        <v>40513</v>
      </c>
      <c r="B98" s="59">
        <v>34244910</v>
      </c>
      <c r="C98" s="187">
        <f>+'Purchased Power Model '!C98</f>
        <v>628.70000000000005</v>
      </c>
      <c r="D98" s="187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48460</v>
      </c>
      <c r="I98" s="193">
        <f t="shared" si="3"/>
        <v>42133612.257154815</v>
      </c>
      <c r="J98" s="36">
        <f t="shared" si="4"/>
        <v>7888702.2571548149</v>
      </c>
      <c r="K98" s="5">
        <f t="shared" si="5"/>
        <v>0.23036130791860207</v>
      </c>
    </row>
    <row r="99" spans="1:11">
      <c r="A99" s="3">
        <v>40544</v>
      </c>
      <c r="B99" s="189">
        <v>45548074</v>
      </c>
      <c r="C99" s="190">
        <f>+'Purchased Power Model '!C99</f>
        <v>760.9</v>
      </c>
      <c r="D99" s="190">
        <f>+'Purchased Power Model '!D99</f>
        <v>0</v>
      </c>
      <c r="E99" s="103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48492</v>
      </c>
      <c r="I99" s="193">
        <f t="shared" si="3"/>
        <v>43951248.487077929</v>
      </c>
      <c r="J99" s="36">
        <f t="shared" si="4"/>
        <v>-1596825.5129220709</v>
      </c>
      <c r="K99" s="5">
        <f t="shared" si="5"/>
        <v>-3.50580249106048E-2</v>
      </c>
    </row>
    <row r="100" spans="1:11">
      <c r="A100" s="3">
        <v>40575</v>
      </c>
      <c r="B100" s="105">
        <v>47320844</v>
      </c>
      <c r="C100" s="190">
        <f>+'Purchased Power Model '!C100</f>
        <v>634.19999999999993</v>
      </c>
      <c r="D100" s="190">
        <f>+'Purchased Power Model '!D100</f>
        <v>0</v>
      </c>
      <c r="E100" s="103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48513</v>
      </c>
      <c r="I100" s="193">
        <f t="shared" si="3"/>
        <v>44748188.906864427</v>
      </c>
      <c r="J100" s="36">
        <f t="shared" si="4"/>
        <v>-2572655.093135573</v>
      </c>
      <c r="K100" s="5">
        <f t="shared" si="5"/>
        <v>-5.4366213187904529E-2</v>
      </c>
    </row>
    <row r="101" spans="1:11">
      <c r="A101" s="3">
        <v>40603</v>
      </c>
      <c r="B101" s="105">
        <v>49556102</v>
      </c>
      <c r="C101" s="190">
        <f>+'Purchased Power Model '!C101</f>
        <v>559.80000000000007</v>
      </c>
      <c r="D101" s="190">
        <f>+'Purchased Power Model '!D101</f>
        <v>0</v>
      </c>
      <c r="E101" s="103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48584</v>
      </c>
      <c r="I101" s="193">
        <f t="shared" si="3"/>
        <v>41973538.312362641</v>
      </c>
      <c r="J101" s="36">
        <f t="shared" si="4"/>
        <v>-7582563.6876373589</v>
      </c>
      <c r="K101" s="5">
        <f t="shared" si="5"/>
        <v>-0.15300968763922068</v>
      </c>
    </row>
    <row r="102" spans="1:11">
      <c r="A102" s="3">
        <v>40634</v>
      </c>
      <c r="B102" s="105">
        <v>43462201</v>
      </c>
      <c r="C102" s="190">
        <f>+'Purchased Power Model '!C102</f>
        <v>350.79999999999995</v>
      </c>
      <c r="D102" s="190">
        <f>+'Purchased Power Model '!D102</f>
        <v>0</v>
      </c>
      <c r="E102" s="103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48612</v>
      </c>
      <c r="I102" s="193">
        <f t="shared" si="3"/>
        <v>39988541.387795895</v>
      </c>
      <c r="J102" s="36">
        <f t="shared" si="4"/>
        <v>-3473659.6122041047</v>
      </c>
      <c r="K102" s="5">
        <f t="shared" si="5"/>
        <v>-7.9923693054663861E-2</v>
      </c>
    </row>
    <row r="103" spans="1:11">
      <c r="A103" s="3">
        <v>40664</v>
      </c>
      <c r="B103" s="105">
        <v>34986173</v>
      </c>
      <c r="C103" s="190">
        <f>+'Purchased Power Model '!C103</f>
        <v>157.69999999999996</v>
      </c>
      <c r="D103" s="190">
        <f>+'Purchased Power Model '!D103</f>
        <v>2.8</v>
      </c>
      <c r="E103" s="103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48687</v>
      </c>
      <c r="I103" s="193">
        <f t="shared" si="3"/>
        <v>36832498.593837611</v>
      </c>
      <c r="J103" s="36">
        <f t="shared" si="4"/>
        <v>1846325.5938376114</v>
      </c>
      <c r="K103" s="5">
        <f t="shared" si="5"/>
        <v>5.277300817776244E-2</v>
      </c>
    </row>
    <row r="104" spans="1:11">
      <c r="A104" s="3">
        <v>40695</v>
      </c>
      <c r="B104" s="105">
        <v>32871092</v>
      </c>
      <c r="C104" s="190">
        <f>+'Purchased Power Model '!C104</f>
        <v>26.699999999999996</v>
      </c>
      <c r="D104" s="190">
        <f>+'Purchased Power Model '!D104</f>
        <v>36.900000000000006</v>
      </c>
      <c r="E104" s="103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48641</v>
      </c>
      <c r="I104" s="193">
        <f t="shared" si="3"/>
        <v>36998078.991228223</v>
      </c>
      <c r="J104" s="36">
        <f t="shared" si="4"/>
        <v>4126986.9912282228</v>
      </c>
      <c r="K104" s="5">
        <f t="shared" si="5"/>
        <v>0.12555065074285401</v>
      </c>
    </row>
    <row r="105" spans="1:11">
      <c r="A105" s="3">
        <v>40725</v>
      </c>
      <c r="B105" s="105">
        <v>35752252</v>
      </c>
      <c r="C105" s="190">
        <f>+'Purchased Power Model '!C105</f>
        <v>0.2</v>
      </c>
      <c r="D105" s="190">
        <f>+'Purchased Power Model '!D105</f>
        <v>141.19999999999999</v>
      </c>
      <c r="E105" s="103">
        <f>+'Purchased Power Model '!E105</f>
        <v>7.0999999999999994E-2</v>
      </c>
      <c r="F105" s="57">
        <f>+'Purchased Power Model '!F105</f>
        <v>31</v>
      </c>
      <c r="G105" s="57">
        <f>+'Purchased Power Model '!G105</f>
        <v>0</v>
      </c>
      <c r="H105" s="58">
        <v>48672</v>
      </c>
      <c r="I105" s="193">
        <f t="shared" si="3"/>
        <v>41303961.472268432</v>
      </c>
      <c r="J105" s="36">
        <f t="shared" si="4"/>
        <v>5551709.4722684324</v>
      </c>
      <c r="K105" s="5">
        <f t="shared" si="5"/>
        <v>0.15528279092093086</v>
      </c>
    </row>
    <row r="106" spans="1:11">
      <c r="A106" s="3">
        <v>40756</v>
      </c>
      <c r="B106" s="105">
        <v>47336699</v>
      </c>
      <c r="C106" s="190">
        <f>+'Purchased Power Model '!C106</f>
        <v>3.7</v>
      </c>
      <c r="D106" s="190">
        <f>+'Purchased Power Model '!D106</f>
        <v>80.499999999999957</v>
      </c>
      <c r="E106" s="103">
        <f>+'Purchased Power Model '!E106</f>
        <v>7.0999999999999994E-2</v>
      </c>
      <c r="F106" s="57">
        <f>+'Purchased Power Model '!F106</f>
        <v>31</v>
      </c>
      <c r="G106" s="57">
        <f>+'Purchased Power Model '!G106</f>
        <v>0</v>
      </c>
      <c r="H106" s="58">
        <v>48705</v>
      </c>
      <c r="I106" s="193">
        <f t="shared" si="3"/>
        <v>38388064.730814576</v>
      </c>
      <c r="J106" s="36">
        <f t="shared" si="4"/>
        <v>-8948634.2691854239</v>
      </c>
      <c r="K106" s="5">
        <f t="shared" si="5"/>
        <v>-0.18904221160806806</v>
      </c>
    </row>
    <row r="107" spans="1:11">
      <c r="A107" s="3">
        <v>40787</v>
      </c>
      <c r="B107" s="105">
        <v>42985684</v>
      </c>
      <c r="C107" s="190">
        <f>+'Purchased Power Model '!C107</f>
        <v>48.900000000000006</v>
      </c>
      <c r="D107" s="190">
        <f>+'Purchased Power Model '!D107</f>
        <v>34.6</v>
      </c>
      <c r="E107" s="103">
        <f>+'Purchased Power Model '!E107</f>
        <v>7.0999999999999994E-2</v>
      </c>
      <c r="F107" s="57">
        <f>+'Purchased Power Model '!F107</f>
        <v>30</v>
      </c>
      <c r="G107" s="57">
        <f>+'Purchased Power Model '!G107</f>
        <v>1</v>
      </c>
      <c r="H107" s="58">
        <v>48746</v>
      </c>
      <c r="I107" s="193">
        <f t="shared" si="3"/>
        <v>38153582.330936238</v>
      </c>
      <c r="J107" s="36">
        <f t="shared" si="4"/>
        <v>-4832101.6690637618</v>
      </c>
      <c r="K107" s="5">
        <f t="shared" si="5"/>
        <v>-0.11241188273434853</v>
      </c>
    </row>
    <row r="108" spans="1:11">
      <c r="A108" s="3">
        <v>40817</v>
      </c>
      <c r="B108" s="105">
        <v>35399883</v>
      </c>
      <c r="C108" s="190">
        <f>+'Purchased Power Model '!C108</f>
        <v>225.29999999999998</v>
      </c>
      <c r="D108" s="190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48780</v>
      </c>
      <c r="I108" s="193">
        <f t="shared" si="3"/>
        <v>37898234.179625638</v>
      </c>
      <c r="J108" s="36">
        <f t="shared" si="4"/>
        <v>2498351.1796256378</v>
      </c>
      <c r="K108" s="5">
        <f t="shared" si="5"/>
        <v>7.0575125336590452E-2</v>
      </c>
    </row>
    <row r="109" spans="1:11">
      <c r="A109" s="3">
        <v>40848</v>
      </c>
      <c r="B109" s="105">
        <v>35056122</v>
      </c>
      <c r="C109" s="190">
        <f>+'Purchased Power Model '!C109</f>
        <v>349.69999999999993</v>
      </c>
      <c r="D109" s="190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48812</v>
      </c>
      <c r="I109" s="193">
        <f t="shared" si="3"/>
        <v>40331197.403268814</v>
      </c>
      <c r="J109" s="36">
        <f t="shared" si="4"/>
        <v>5275075.4032688141</v>
      </c>
      <c r="K109" s="5">
        <f t="shared" si="5"/>
        <v>0.15047515533146577</v>
      </c>
    </row>
    <row r="110" spans="1:11">
      <c r="A110" s="3">
        <v>40878</v>
      </c>
      <c r="B110" s="105">
        <v>34342708</v>
      </c>
      <c r="C110" s="190">
        <f>+'Purchased Power Model '!C110</f>
        <v>531.20000000000005</v>
      </c>
      <c r="D110" s="190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48841</v>
      </c>
      <c r="I110" s="193">
        <f t="shared" si="3"/>
        <v>41278151.375119321</v>
      </c>
      <c r="J110" s="36">
        <f t="shared" si="4"/>
        <v>6935443.375119321</v>
      </c>
      <c r="K110" s="5">
        <f t="shared" si="5"/>
        <v>0.20194806347592978</v>
      </c>
    </row>
    <row r="111" spans="1:11">
      <c r="A111" s="3">
        <v>40909</v>
      </c>
      <c r="B111" s="105">
        <v>44507364</v>
      </c>
      <c r="C111" s="190">
        <f>+'Purchased Power Model '!C111</f>
        <v>611</v>
      </c>
      <c r="D111" s="190">
        <f>+'Purchased Power Model '!D111</f>
        <v>0</v>
      </c>
      <c r="E111" s="103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48868</v>
      </c>
      <c r="I111" s="193">
        <f t="shared" si="3"/>
        <v>42225643.674159847</v>
      </c>
      <c r="J111" s="36">
        <f t="shared" si="4"/>
        <v>-2281720.3258401528</v>
      </c>
      <c r="K111" s="5">
        <f t="shared" si="5"/>
        <v>-5.1266130383281129E-2</v>
      </c>
    </row>
    <row r="112" spans="1:11">
      <c r="A112" s="3">
        <v>40940</v>
      </c>
      <c r="B112" s="105">
        <v>46211417</v>
      </c>
      <c r="C112" s="190">
        <f>+'Purchased Power Model '!C112</f>
        <v>536.20000000000005</v>
      </c>
      <c r="D112" s="190">
        <f>+'Purchased Power Model '!D112</f>
        <v>0</v>
      </c>
      <c r="E112" s="103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48878</v>
      </c>
      <c r="I112" s="193">
        <f t="shared" si="3"/>
        <v>42881113.375839494</v>
      </c>
      <c r="J112" s="36">
        <f t="shared" si="4"/>
        <v>-3330303.6241605058</v>
      </c>
      <c r="K112" s="5">
        <f t="shared" si="5"/>
        <v>-7.2066684822941179E-2</v>
      </c>
    </row>
    <row r="113" spans="1:11">
      <c r="A113" s="3">
        <v>40969</v>
      </c>
      <c r="B113" s="105">
        <v>43295338</v>
      </c>
      <c r="C113" s="190">
        <f>+'Purchased Power Model '!C113</f>
        <v>399.39999999999992</v>
      </c>
      <c r="D113" s="190">
        <f>+'Purchased Power Model '!D113</f>
        <v>0</v>
      </c>
      <c r="E113" s="103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48886</v>
      </c>
      <c r="I113" s="193">
        <f t="shared" si="3"/>
        <v>40090723.194008164</v>
      </c>
      <c r="J113" s="36">
        <f t="shared" si="4"/>
        <v>-3204614.8059918359</v>
      </c>
      <c r="K113" s="5">
        <f t="shared" si="5"/>
        <v>-7.4017549094820223E-2</v>
      </c>
    </row>
    <row r="114" spans="1:11">
      <c r="A114" s="3">
        <v>41000</v>
      </c>
      <c r="B114" s="105">
        <v>36181165</v>
      </c>
      <c r="C114" s="190">
        <f>+'Purchased Power Model '!C114</f>
        <v>336.89999999999992</v>
      </c>
      <c r="D114" s="190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48890</v>
      </c>
      <c r="I114" s="193">
        <f t="shared" si="3"/>
        <v>40029643.535250381</v>
      </c>
      <c r="J114" s="36">
        <f t="shared" si="4"/>
        <v>3848478.5352503806</v>
      </c>
      <c r="K114" s="5">
        <f t="shared" si="5"/>
        <v>0.10636690485921005</v>
      </c>
    </row>
    <row r="115" spans="1:11">
      <c r="A115" s="3">
        <v>41030</v>
      </c>
      <c r="B115" s="105">
        <v>31564371</v>
      </c>
      <c r="C115" s="190">
        <f>+'Purchased Power Model '!C115</f>
        <v>109.30000000000001</v>
      </c>
      <c r="D115" s="190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48930</v>
      </c>
      <c r="I115" s="193">
        <f t="shared" si="3"/>
        <v>37346241.660520196</v>
      </c>
      <c r="J115" s="36">
        <f t="shared" si="4"/>
        <v>5781870.660520196</v>
      </c>
      <c r="K115" s="5">
        <f t="shared" si="5"/>
        <v>0.1831771227286676</v>
      </c>
    </row>
    <row r="116" spans="1:11">
      <c r="A116" s="3">
        <v>41061</v>
      </c>
      <c r="B116" s="105">
        <v>33547925</v>
      </c>
      <c r="C116" s="190">
        <f>+'Purchased Power Model '!C116</f>
        <v>28.2</v>
      </c>
      <c r="D116" s="190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48970</v>
      </c>
      <c r="I116" s="193">
        <f t="shared" si="3"/>
        <v>38594322.24783504</v>
      </c>
      <c r="J116" s="36">
        <f t="shared" si="4"/>
        <v>5046397.2478350401</v>
      </c>
      <c r="K116" s="5">
        <f t="shared" si="5"/>
        <v>0.15042352836531739</v>
      </c>
    </row>
    <row r="117" spans="1:11">
      <c r="A117" s="3">
        <v>41091</v>
      </c>
      <c r="B117" s="105">
        <v>38898477</v>
      </c>
      <c r="C117" s="190">
        <f>+'Purchased Power Model '!C117</f>
        <v>0</v>
      </c>
      <c r="D117" s="190">
        <f>+'Purchased Power Model '!D117</f>
        <v>155.30000000000001</v>
      </c>
      <c r="E117" s="103">
        <f>+'Purchased Power Model '!E117</f>
        <v>9.0999999999999998E-2</v>
      </c>
      <c r="F117" s="57">
        <f>+'Purchased Power Model '!F117</f>
        <v>31</v>
      </c>
      <c r="G117" s="57">
        <f>+'Purchased Power Model '!G117</f>
        <v>0</v>
      </c>
      <c r="H117" s="58">
        <v>48983</v>
      </c>
      <c r="I117" s="193">
        <f t="shared" si="3"/>
        <v>41764367.915372051</v>
      </c>
      <c r="J117" s="36">
        <f t="shared" si="4"/>
        <v>2865890.9153720513</v>
      </c>
      <c r="K117" s="5">
        <f t="shared" si="5"/>
        <v>7.3676172858182884E-2</v>
      </c>
    </row>
    <row r="118" spans="1:11">
      <c r="A118" s="3">
        <v>41122</v>
      </c>
      <c r="B118" s="105">
        <v>48492174</v>
      </c>
      <c r="C118" s="190">
        <f>+'Purchased Power Model '!C118</f>
        <v>4.4000000000000004</v>
      </c>
      <c r="D118" s="190">
        <f>+'Purchased Power Model '!D118</f>
        <v>102.79999999999998</v>
      </c>
      <c r="E118" s="103">
        <f>+'Purchased Power Model '!E118</f>
        <v>9.0999999999999998E-2</v>
      </c>
      <c r="F118" s="57">
        <f>+'Purchased Power Model '!F118</f>
        <v>31</v>
      </c>
      <c r="G118" s="57">
        <f>+'Purchased Power Model '!G118</f>
        <v>0</v>
      </c>
      <c r="H118" s="58">
        <v>49027</v>
      </c>
      <c r="I118" s="193">
        <f t="shared" si="3"/>
        <v>39264584.03069526</v>
      </c>
      <c r="J118" s="36">
        <f t="shared" si="4"/>
        <v>-9227589.9693047404</v>
      </c>
      <c r="K118" s="5">
        <f t="shared" si="5"/>
        <v>-0.19029029239449524</v>
      </c>
    </row>
    <row r="119" spans="1:11">
      <c r="A119" s="3">
        <v>41153</v>
      </c>
      <c r="B119" s="105">
        <v>45718998</v>
      </c>
      <c r="C119" s="190">
        <f>+'Purchased Power Model '!C119</f>
        <v>84</v>
      </c>
      <c r="D119" s="190">
        <f>+'Purchased Power Model '!D119</f>
        <v>24.400000000000002</v>
      </c>
      <c r="E119" s="103">
        <f>+'Purchased Power Model '!E119</f>
        <v>9.0999999999999998E-2</v>
      </c>
      <c r="F119" s="57">
        <f>+'Purchased Power Model '!F119</f>
        <v>30</v>
      </c>
      <c r="G119" s="57">
        <f>+'Purchased Power Model '!G119</f>
        <v>1</v>
      </c>
      <c r="H119" s="58">
        <v>49040</v>
      </c>
      <c r="I119" s="193">
        <f t="shared" si="3"/>
        <v>37877514.60207583</v>
      </c>
      <c r="J119" s="36">
        <f t="shared" si="4"/>
        <v>-7841483.3979241699</v>
      </c>
      <c r="K119" s="5">
        <f t="shared" si="5"/>
        <v>-0.1715147693727708</v>
      </c>
    </row>
    <row r="120" spans="1:11">
      <c r="A120" s="3">
        <v>41183</v>
      </c>
      <c r="B120" s="105">
        <v>36478878</v>
      </c>
      <c r="C120" s="190">
        <f>+'Purchased Power Model '!C120</f>
        <v>228.99999999999994</v>
      </c>
      <c r="D120" s="190">
        <f>+'Purchased Power Model '!D120</f>
        <v>0</v>
      </c>
      <c r="E120" s="103">
        <f>+'Purchased Power Model '!E120</f>
        <v>9.6000000000000002E-2</v>
      </c>
      <c r="F120" s="57">
        <f>+'Purchased Power Model '!F120</f>
        <v>31</v>
      </c>
      <c r="G120" s="57">
        <f>+'Purchased Power Model '!G120</f>
        <v>1</v>
      </c>
      <c r="H120" s="58">
        <v>49081</v>
      </c>
      <c r="I120" s="193">
        <f t="shared" si="3"/>
        <v>37684721.225293018</v>
      </c>
      <c r="J120" s="36">
        <f t="shared" si="4"/>
        <v>1205843.2252930179</v>
      </c>
      <c r="K120" s="5">
        <f t="shared" si="5"/>
        <v>3.3055929661351367E-2</v>
      </c>
    </row>
    <row r="121" spans="1:11">
      <c r="A121" s="3">
        <v>41214</v>
      </c>
      <c r="B121" s="105">
        <v>32177448</v>
      </c>
      <c r="C121" s="190">
        <f>+'Purchased Power Model '!C121</f>
        <v>427.89999999999992</v>
      </c>
      <c r="D121" s="190">
        <f>+'Purchased Power Model '!D121</f>
        <v>0</v>
      </c>
      <c r="E121" s="103">
        <f>+'Purchased Power Model '!E121</f>
        <v>9.6000000000000002E-2</v>
      </c>
      <c r="F121" s="57">
        <f>+'Purchased Power Model '!F121</f>
        <v>30</v>
      </c>
      <c r="G121" s="57">
        <f>+'Purchased Power Model '!G121</f>
        <v>1</v>
      </c>
      <c r="H121" s="58">
        <v>49113</v>
      </c>
      <c r="I121" s="193">
        <f t="shared" si="3"/>
        <v>41083483.014329627</v>
      </c>
      <c r="J121" s="36">
        <f t="shared" si="4"/>
        <v>8906035.0143296272</v>
      </c>
      <c r="K121" s="5">
        <f t="shared" si="5"/>
        <v>0.27677878663123401</v>
      </c>
    </row>
    <row r="122" spans="1:11">
      <c r="A122" s="3">
        <v>41244</v>
      </c>
      <c r="B122" s="105">
        <v>36250725</v>
      </c>
      <c r="C122" s="190">
        <f>+'Purchased Power Model '!C122</f>
        <v>451.09999999999997</v>
      </c>
      <c r="D122" s="190">
        <f>+'Purchased Power Model '!D122</f>
        <v>0</v>
      </c>
      <c r="E122" s="103">
        <f>+'Purchased Power Model '!E122</f>
        <v>9.6000000000000002E-2</v>
      </c>
      <c r="F122" s="57">
        <f>+'Purchased Power Model '!F122</f>
        <v>31</v>
      </c>
      <c r="G122" s="57">
        <f>+'Purchased Power Model '!G122</f>
        <v>0</v>
      </c>
      <c r="H122" s="58">
        <v>49201</v>
      </c>
      <c r="I122" s="193">
        <f t="shared" si="3"/>
        <v>39995092.914268777</v>
      </c>
      <c r="J122" s="36">
        <f t="shared" si="4"/>
        <v>3744367.9142687768</v>
      </c>
      <c r="K122" s="5">
        <f t="shared" si="5"/>
        <v>0.10329084216298506</v>
      </c>
    </row>
    <row r="123" spans="1:11">
      <c r="A123" s="3">
        <v>41275</v>
      </c>
      <c r="B123" s="105">
        <v>43239727</v>
      </c>
      <c r="C123" s="190">
        <f>+'Purchased Power Model '!C123</f>
        <v>615.40000000000009</v>
      </c>
      <c r="D123" s="190">
        <f>+'Purchased Power Model '!D123</f>
        <v>0</v>
      </c>
      <c r="E123" s="103">
        <f>+'Purchased Power Model '!E123</f>
        <v>8.6000110000000005E-2</v>
      </c>
      <c r="F123" s="57">
        <f>+'Purchased Power Model '!F123</f>
        <v>31</v>
      </c>
      <c r="G123" s="57">
        <f>+'Purchased Power Model '!G123</f>
        <v>0</v>
      </c>
      <c r="H123" s="58">
        <v>49228</v>
      </c>
      <c r="I123" s="193">
        <f t="shared" si="3"/>
        <v>42290578.0066863</v>
      </c>
      <c r="J123" s="36">
        <f t="shared" si="4"/>
        <v>-949148.99331369996</v>
      </c>
      <c r="K123" s="5">
        <f t="shared" si="5"/>
        <v>-2.1950855363025303E-2</v>
      </c>
    </row>
    <row r="124" spans="1:11">
      <c r="A124" s="3">
        <v>41306</v>
      </c>
      <c r="B124" s="105">
        <v>45208585</v>
      </c>
      <c r="C124" s="190">
        <f>+'Purchased Power Model '!C124</f>
        <v>611.5</v>
      </c>
      <c r="D124" s="190">
        <f>+'Purchased Power Model '!D124</f>
        <v>0</v>
      </c>
      <c r="E124" s="103">
        <f>+'Purchased Power Model '!E124</f>
        <v>8.6000110000000005E-2</v>
      </c>
      <c r="F124" s="57">
        <f>+'Purchased Power Model '!F124</f>
        <v>28</v>
      </c>
      <c r="G124" s="57">
        <f>+'Purchased Power Model '!G124</f>
        <v>0</v>
      </c>
      <c r="H124" s="58">
        <v>49269</v>
      </c>
      <c r="I124" s="193">
        <f t="shared" si="3"/>
        <v>44685165.874289006</v>
      </c>
      <c r="J124" s="36">
        <f t="shared" si="4"/>
        <v>-523419.12571099401</v>
      </c>
      <c r="K124" s="5">
        <f t="shared" si="5"/>
        <v>-1.1577870126016862E-2</v>
      </c>
    </row>
    <row r="125" spans="1:11">
      <c r="A125" s="3">
        <v>41334</v>
      </c>
      <c r="B125" s="105">
        <v>47225367</v>
      </c>
      <c r="C125" s="190">
        <f>+'Purchased Power Model '!C125</f>
        <v>545</v>
      </c>
      <c r="D125" s="190">
        <f>+'Purchased Power Model '!D125</f>
        <v>0</v>
      </c>
      <c r="E125" s="103">
        <f>+'Purchased Power Model '!E125</f>
        <v>8.6000110000000005E-2</v>
      </c>
      <c r="F125" s="57">
        <f>+'Purchased Power Model '!F125</f>
        <v>31</v>
      </c>
      <c r="G125" s="57">
        <f>+'Purchased Power Model '!G125</f>
        <v>1</v>
      </c>
      <c r="H125" s="58">
        <v>49337</v>
      </c>
      <c r="I125" s="193">
        <f t="shared" si="3"/>
        <v>42012073.776590019</v>
      </c>
      <c r="J125" s="36">
        <f t="shared" si="4"/>
        <v>-5213293.2234099805</v>
      </c>
      <c r="K125" s="5">
        <f t="shared" si="5"/>
        <v>-0.11039179903906264</v>
      </c>
    </row>
    <row r="126" spans="1:11">
      <c r="A126" s="3">
        <v>41365</v>
      </c>
      <c r="B126" s="105">
        <v>41850195</v>
      </c>
      <c r="C126" s="190">
        <f>+'Purchased Power Model '!C126</f>
        <v>366.49999999999994</v>
      </c>
      <c r="D126" s="190">
        <f>+'Purchased Power Model '!D126</f>
        <v>0</v>
      </c>
      <c r="E126" s="103">
        <f>+'Purchased Power Model '!E126</f>
        <v>7.8295169999999997E-2</v>
      </c>
      <c r="F126" s="57">
        <f>+'Purchased Power Model '!F126</f>
        <v>30</v>
      </c>
      <c r="G126" s="57">
        <f>+'Purchased Power Model '!G126</f>
        <v>1</v>
      </c>
      <c r="H126" s="58">
        <v>49429</v>
      </c>
      <c r="I126" s="193">
        <f t="shared" si="3"/>
        <v>40657043.054548338</v>
      </c>
      <c r="J126" s="36">
        <f t="shared" si="4"/>
        <v>-1193151.9454516619</v>
      </c>
      <c r="K126" s="5">
        <f t="shared" si="5"/>
        <v>-2.851006896029187E-2</v>
      </c>
    </row>
    <row r="127" spans="1:11">
      <c r="A127" s="3">
        <v>41395</v>
      </c>
      <c r="B127" s="105">
        <v>37731544</v>
      </c>
      <c r="C127" s="190">
        <f>+'Purchased Power Model '!C127</f>
        <v>133.4</v>
      </c>
      <c r="D127" s="190">
        <f>+'Purchased Power Model '!D127</f>
        <v>3</v>
      </c>
      <c r="E127" s="103">
        <f>+'Purchased Power Model '!E127</f>
        <v>7.8295169999999997E-2</v>
      </c>
      <c r="F127" s="57">
        <f>+'Purchased Power Model '!F127</f>
        <v>31</v>
      </c>
      <c r="G127" s="57">
        <f>+'Purchased Power Model '!G127</f>
        <v>1</v>
      </c>
      <c r="H127" s="58">
        <v>49493</v>
      </c>
      <c r="I127" s="193">
        <f t="shared" si="3"/>
        <v>36989103.596991003</v>
      </c>
      <c r="J127" s="36">
        <f t="shared" si="4"/>
        <v>-742440.40300899744</v>
      </c>
      <c r="K127" s="5">
        <f t="shared" si="5"/>
        <v>-1.9676915500966445E-2</v>
      </c>
    </row>
    <row r="128" spans="1:11">
      <c r="A128" s="3">
        <v>41426</v>
      </c>
      <c r="B128" s="105">
        <v>32044592</v>
      </c>
      <c r="C128" s="190">
        <f>+'Purchased Power Model '!C128</f>
        <v>42.900000000000006</v>
      </c>
      <c r="D128" s="190">
        <f>+'Purchased Power Model '!D128</f>
        <v>32.200000000000003</v>
      </c>
      <c r="E128" s="103">
        <f>+'Purchased Power Model '!E128</f>
        <v>7.8295169999999997E-2</v>
      </c>
      <c r="F128" s="57">
        <f>+'Purchased Power Model '!F128</f>
        <v>30</v>
      </c>
      <c r="G128" s="57">
        <f>+'Purchased Power Model '!G128</f>
        <v>0</v>
      </c>
      <c r="H128" s="58">
        <v>49529</v>
      </c>
      <c r="I128" s="193">
        <f t="shared" si="3"/>
        <v>37463279.190650992</v>
      </c>
      <c r="J128" s="36">
        <f t="shared" si="4"/>
        <v>5418687.1906509921</v>
      </c>
      <c r="K128" s="5">
        <f t="shared" si="5"/>
        <v>0.1690983361763817</v>
      </c>
    </row>
    <row r="129" spans="1:11">
      <c r="A129" s="3">
        <v>41456</v>
      </c>
      <c r="B129" s="105">
        <v>35192077</v>
      </c>
      <c r="C129" s="190">
        <f>+'Purchased Power Model '!C129</f>
        <v>4.4000000000000004</v>
      </c>
      <c r="D129" s="190">
        <f>+'Purchased Power Model '!D129</f>
        <v>109.99999999999999</v>
      </c>
      <c r="E129" s="103">
        <f>+'Purchased Power Model '!E129</f>
        <v>6.7434110000000005E-2</v>
      </c>
      <c r="F129" s="57">
        <f>+'Purchased Power Model '!F129</f>
        <v>31</v>
      </c>
      <c r="G129" s="57">
        <f>+'Purchased Power Model '!G129</f>
        <v>0</v>
      </c>
      <c r="H129" s="58">
        <v>49593</v>
      </c>
      <c r="I129" s="193">
        <f t="shared" si="3"/>
        <v>40150257.543265708</v>
      </c>
      <c r="J129" s="36">
        <f t="shared" si="4"/>
        <v>4958180.5432657078</v>
      </c>
      <c r="K129" s="5">
        <f t="shared" si="5"/>
        <v>0.14088911385553368</v>
      </c>
    </row>
    <row r="130" spans="1:11">
      <c r="A130" s="3">
        <v>41487</v>
      </c>
      <c r="B130" s="105">
        <v>45217149</v>
      </c>
      <c r="C130" s="190">
        <f>+'Purchased Power Model '!C130</f>
        <v>11</v>
      </c>
      <c r="D130" s="190">
        <f>+'Purchased Power Model '!D130</f>
        <v>57.899999999999991</v>
      </c>
      <c r="E130" s="103">
        <f>+'Purchased Power Model '!E130</f>
        <v>6.7434110000000005E-2</v>
      </c>
      <c r="F130" s="57">
        <f>+'Purchased Power Model '!F130</f>
        <v>31</v>
      </c>
      <c r="G130" s="57">
        <f>+'Purchased Power Model '!G130</f>
        <v>0</v>
      </c>
      <c r="H130" s="58">
        <v>49640</v>
      </c>
      <c r="I130" s="193">
        <f t="shared" si="3"/>
        <v>37699425.04099264</v>
      </c>
      <c r="J130" s="36">
        <f t="shared" si="4"/>
        <v>-7517723.95900736</v>
      </c>
      <c r="K130" s="5">
        <f t="shared" si="5"/>
        <v>-0.16625824770613823</v>
      </c>
    </row>
    <row r="131" spans="1:11">
      <c r="A131" s="3">
        <v>41518</v>
      </c>
      <c r="B131" s="105">
        <v>40545830</v>
      </c>
      <c r="C131" s="190">
        <f>+'Purchased Power Model '!C131</f>
        <v>96.600000000000009</v>
      </c>
      <c r="D131" s="190">
        <f>+'Purchased Power Model '!D131</f>
        <v>15.700000000000001</v>
      </c>
      <c r="E131" s="103">
        <f>+'Purchased Power Model '!E131</f>
        <v>6.7434110000000005E-2</v>
      </c>
      <c r="F131" s="57">
        <f>+'Purchased Power Model '!F131</f>
        <v>30</v>
      </c>
      <c r="G131" s="57">
        <f>+'Purchased Power Model '!G131</f>
        <v>1</v>
      </c>
      <c r="H131" s="58">
        <v>49706</v>
      </c>
      <c r="I131" s="193">
        <f t="shared" si="3"/>
        <v>38176882.109143764</v>
      </c>
      <c r="J131" s="36">
        <f t="shared" si="4"/>
        <v>-2368947.8908562362</v>
      </c>
      <c r="K131" s="5">
        <f t="shared" si="5"/>
        <v>-5.8426424884044453E-2</v>
      </c>
    </row>
    <row r="132" spans="1:11">
      <c r="A132" s="3">
        <v>41548</v>
      </c>
      <c r="B132" s="105">
        <v>37147018</v>
      </c>
      <c r="C132" s="190">
        <f>+'Purchased Power Model '!C132</f>
        <v>221</v>
      </c>
      <c r="D132" s="190">
        <f>+'Purchased Power Model '!D132</f>
        <v>3</v>
      </c>
      <c r="E132" s="103">
        <f>+'Purchased Power Model '!E132</f>
        <v>7.5499999999999998E-2</v>
      </c>
      <c r="F132" s="57">
        <f>+'Purchased Power Model '!F132</f>
        <v>31</v>
      </c>
      <c r="G132" s="57">
        <f>+'Purchased Power Model '!G132</f>
        <v>1</v>
      </c>
      <c r="H132" s="58">
        <v>49770</v>
      </c>
      <c r="I132" s="193">
        <f t="shared" ref="I132:I195" si="6">$N$18+C132*$N$19+D132*$N$20+E132*$N$21+F132*$N$22+G132*$N$23+H132*$N$24</f>
        <v>38247797.564153954</v>
      </c>
      <c r="J132" s="36">
        <f t="shared" ref="J132:J133" si="7">I132-B132</f>
        <v>1100779.5641539544</v>
      </c>
      <c r="K132" s="5">
        <f t="shared" ref="K132:K133" si="8">J132/B132</f>
        <v>2.9633053295259244E-2</v>
      </c>
    </row>
    <row r="133" spans="1:11">
      <c r="A133" s="3">
        <v>41579</v>
      </c>
      <c r="B133" s="105">
        <v>30731580</v>
      </c>
      <c r="C133" s="190">
        <f>+'Purchased Power Model '!C133</f>
        <v>458.6</v>
      </c>
      <c r="D133" s="190">
        <f>+'Purchased Power Model '!D133</f>
        <v>0</v>
      </c>
      <c r="E133" s="103">
        <f>+'Purchased Power Model '!E133</f>
        <v>7.5499999999999998E-2</v>
      </c>
      <c r="F133" s="57">
        <f>+'Purchased Power Model '!F133</f>
        <v>30</v>
      </c>
      <c r="G133" s="57">
        <f>+'Purchased Power Model '!G133</f>
        <v>1</v>
      </c>
      <c r="H133" s="58">
        <v>49821</v>
      </c>
      <c r="I133" s="193">
        <f t="shared" si="6"/>
        <v>42006850.471083626</v>
      </c>
      <c r="J133" s="36">
        <f t="shared" si="7"/>
        <v>11275270.471083626</v>
      </c>
      <c r="K133" s="5">
        <f t="shared" si="8"/>
        <v>0.36689524167269066</v>
      </c>
    </row>
    <row r="134" spans="1:11">
      <c r="A134" s="3">
        <v>41609</v>
      </c>
      <c r="B134" s="105">
        <v>39184597</v>
      </c>
      <c r="C134" s="190">
        <f>+'Purchased Power Model '!C134</f>
        <v>472.8</v>
      </c>
      <c r="D134" s="190">
        <f ca="1">+'Purchased Power Model '!D134</f>
        <v>0</v>
      </c>
      <c r="E134" s="103">
        <f>+'Purchased Power Model '!E134</f>
        <v>7.5499999999999998E-2</v>
      </c>
      <c r="F134" s="57">
        <f>+'Purchased Power Model '!F134</f>
        <v>31</v>
      </c>
      <c r="G134" s="57">
        <f>+'Purchased Power Model '!G134</f>
        <v>0</v>
      </c>
      <c r="H134" s="348">
        <v>49831</v>
      </c>
      <c r="I134" s="193">
        <f t="shared" ca="1" si="6"/>
        <v>40779555.617823854</v>
      </c>
      <c r="J134" s="36">
        <f t="shared" ref="J134" ca="1" si="9">I134-B134</f>
        <v>1594958.6178238541</v>
      </c>
      <c r="K134" s="5">
        <f t="shared" ref="K134" ca="1" si="10">J134/B134</f>
        <v>4.0703713702194104E-2</v>
      </c>
    </row>
    <row r="135" spans="1:11">
      <c r="A135" s="3">
        <v>41640</v>
      </c>
      <c r="C135" s="188">
        <f>+'Purchased Power Model '!C135</f>
        <v>552.13385193331999</v>
      </c>
      <c r="D135" s="188">
        <f ca="1">+'Purchased Power Model '!D135</f>
        <v>0</v>
      </c>
      <c r="E135" s="103">
        <f>+'Purchased Power Model '!E135</f>
        <v>7.5499999999999998E-2</v>
      </c>
      <c r="F135" s="57">
        <f>+'Purchased Power Model '!F135</f>
        <v>31</v>
      </c>
      <c r="G135" s="57">
        <f>+'Purchased Power Model '!G135</f>
        <v>0</v>
      </c>
      <c r="H135" s="191"/>
      <c r="I135" s="193">
        <f t="shared" ca="1" si="6"/>
        <v>27605480.592565779</v>
      </c>
      <c r="J135" s="36"/>
      <c r="K135" s="5"/>
    </row>
    <row r="136" spans="1:11">
      <c r="A136" s="3">
        <v>41671</v>
      </c>
      <c r="C136" s="188">
        <f>+'Purchased Power Model '!C136</f>
        <v>548.63479112321284</v>
      </c>
      <c r="D136" s="188">
        <f ca="1">+'Purchased Power Model '!D136</f>
        <v>0</v>
      </c>
      <c r="E136" s="103">
        <f>+'Purchased Power Model '!E136</f>
        <v>7.5499999999999998E-2</v>
      </c>
      <c r="F136" s="57">
        <f>+'Purchased Power Model '!F136</f>
        <v>28</v>
      </c>
      <c r="G136" s="57">
        <f>+'Purchased Power Model '!G136</f>
        <v>0</v>
      </c>
      <c r="H136" s="191"/>
      <c r="I136" s="193">
        <f t="shared" ca="1" si="6"/>
        <v>29993580.552501634</v>
      </c>
      <c r="J136" s="36"/>
      <c r="K136" s="5"/>
    </row>
    <row r="137" spans="1:11">
      <c r="A137" s="3">
        <v>41699</v>
      </c>
      <c r="C137" s="188">
        <f>+'Purchased Power Model '!C137</f>
        <v>488.97131833548809</v>
      </c>
      <c r="D137" s="188">
        <f ca="1">+'Purchased Power Model '!D137</f>
        <v>0</v>
      </c>
      <c r="E137" s="103">
        <f>+'Purchased Power Model '!E137</f>
        <v>7.5499999999999998E-2</v>
      </c>
      <c r="F137" s="57">
        <f>+'Purchased Power Model '!F137</f>
        <v>31</v>
      </c>
      <c r="G137" s="57">
        <f>+'Purchased Power Model '!G137</f>
        <v>1</v>
      </c>
      <c r="H137" s="191"/>
      <c r="I137" s="193">
        <f t="shared" ca="1" si="6"/>
        <v>27389734.450307444</v>
      </c>
      <c r="J137" s="36"/>
      <c r="K137" s="5"/>
    </row>
    <row r="138" spans="1:11">
      <c r="A138" s="3">
        <v>41730</v>
      </c>
      <c r="C138" s="188">
        <f>+'Purchased Power Model '!C138</f>
        <v>328.82199664212175</v>
      </c>
      <c r="D138" s="188">
        <f ca="1">+'Purchased Power Model '!D138</f>
        <v>0</v>
      </c>
      <c r="E138" s="103">
        <f>+'Purchased Power Model '!E138</f>
        <v>7.5499999999999998E-2</v>
      </c>
      <c r="F138" s="57">
        <f>+'Purchased Power Model '!F138</f>
        <v>30</v>
      </c>
      <c r="G138" s="57">
        <f>+'Purchased Power Model '!G138</f>
        <v>1</v>
      </c>
      <c r="H138" s="191"/>
      <c r="I138" s="193">
        <f t="shared" ca="1" si="6"/>
        <v>26124754.04540943</v>
      </c>
      <c r="J138" s="36"/>
      <c r="K138" s="5"/>
    </row>
    <row r="139" spans="1:11">
      <c r="A139" s="3">
        <v>41760</v>
      </c>
      <c r="C139" s="188">
        <f>+'Purchased Power Model '!C139</f>
        <v>119.68582360725524</v>
      </c>
      <c r="D139" s="188">
        <f ca="1">+'Purchased Power Model '!D139</f>
        <v>3.6853840478727715</v>
      </c>
      <c r="E139" s="103">
        <f>+'Purchased Power Model '!E139</f>
        <v>7.5499999999999998E-2</v>
      </c>
      <c r="F139" s="57">
        <f>+'Purchased Power Model '!F139</f>
        <v>31</v>
      </c>
      <c r="G139" s="57">
        <f>+'Purchased Power Model '!G139</f>
        <v>1</v>
      </c>
      <c r="H139" s="191"/>
      <c r="I139" s="193">
        <f t="shared" ca="1" si="6"/>
        <v>22782777.376441725</v>
      </c>
      <c r="J139" s="36"/>
      <c r="K139" s="5"/>
    </row>
    <row r="140" spans="1:11">
      <c r="A140" s="3">
        <v>41791</v>
      </c>
      <c r="C140" s="188">
        <f>+'Purchased Power Model '!C140</f>
        <v>38.489668911178789</v>
      </c>
      <c r="D140" s="188">
        <f ca="1">+'Purchased Power Model '!D140</f>
        <v>39.55645544716775</v>
      </c>
      <c r="E140" s="103">
        <f>+'Purchased Power Model '!E140</f>
        <v>7.5499999999999998E-2</v>
      </c>
      <c r="F140" s="57">
        <f>+'Purchased Power Model '!F140</f>
        <v>30</v>
      </c>
      <c r="G140" s="57">
        <f>+'Purchased Power Model '!G140</f>
        <v>0</v>
      </c>
      <c r="H140" s="191"/>
      <c r="I140" s="193">
        <f t="shared" ca="1" si="6"/>
        <v>23693789.220355541</v>
      </c>
      <c r="J140" s="36"/>
      <c r="K140" s="5"/>
    </row>
    <row r="141" spans="1:11">
      <c r="A141" s="3">
        <v>41821</v>
      </c>
      <c r="C141" s="188">
        <f>+'Purchased Power Model '!C141</f>
        <v>3.9476583498644913</v>
      </c>
      <c r="D141" s="188">
        <f ca="1">+'Purchased Power Model '!D141</f>
        <v>135.1307484220016</v>
      </c>
      <c r="E141" s="103">
        <f>+'Purchased Power Model '!E141</f>
        <v>7.5499999999999998E-2</v>
      </c>
      <c r="F141" s="57">
        <f>+'Purchased Power Model '!F141</f>
        <v>31</v>
      </c>
      <c r="G141" s="57">
        <f>+'Purchased Power Model '!G141</f>
        <v>0</v>
      </c>
      <c r="H141" s="191"/>
      <c r="I141" s="193">
        <f t="shared" ca="1" si="6"/>
        <v>27112275.111047808</v>
      </c>
      <c r="J141" s="36"/>
      <c r="K141" s="5"/>
    </row>
    <row r="142" spans="1:11">
      <c r="A142" s="3">
        <v>41852</v>
      </c>
      <c r="C142" s="188">
        <f>+'Purchased Power Model '!C142</f>
        <v>9.8691458746612266</v>
      </c>
      <c r="D142" s="188">
        <f ca="1">+'Purchased Power Model '!D142</f>
        <v>71.127912123944469</v>
      </c>
      <c r="E142" s="103">
        <f>+'Purchased Power Model '!E142</f>
        <v>7.5499999999999998E-2</v>
      </c>
      <c r="F142" s="57">
        <f>+'Purchased Power Model '!F142</f>
        <v>31</v>
      </c>
      <c r="G142" s="57">
        <f>+'Purchased Power Model '!G142</f>
        <v>0</v>
      </c>
      <c r="H142" s="191"/>
      <c r="I142" s="193">
        <f t="shared" ca="1" si="6"/>
        <v>24056722.686921079</v>
      </c>
      <c r="J142" s="36"/>
      <c r="K142" s="5"/>
    </row>
    <row r="143" spans="1:11">
      <c r="A143" s="3">
        <v>41883</v>
      </c>
      <c r="C143" s="188">
        <f>+'Purchased Power Model '!C143</f>
        <v>86.669044681115878</v>
      </c>
      <c r="D143" s="188">
        <f ca="1">+'Purchased Power Model '!D143</f>
        <v>19.286843183867507</v>
      </c>
      <c r="E143" s="103">
        <f>+'Purchased Power Model '!E143</f>
        <v>7.5499999999999998E-2</v>
      </c>
      <c r="F143" s="57">
        <f>+'Purchased Power Model '!F143</f>
        <v>30</v>
      </c>
      <c r="G143" s="57">
        <f>+'Purchased Power Model '!G143</f>
        <v>1</v>
      </c>
      <c r="H143" s="191"/>
      <c r="I143" s="193">
        <f t="shared" ca="1" si="6"/>
        <v>23929449.946443681</v>
      </c>
      <c r="J143" s="36"/>
      <c r="K143" s="5"/>
    </row>
    <row r="144" spans="1:11">
      <c r="A144" s="3">
        <v>41913</v>
      </c>
      <c r="C144" s="188">
        <f>+'Purchased Power Model '!C144</f>
        <v>198.2801125727392</v>
      </c>
      <c r="D144" s="188">
        <f ca="1">+'Purchased Power Model '!D144</f>
        <v>3.6853840478727715</v>
      </c>
      <c r="E144" s="103">
        <f>+'Purchased Power Model '!E144</f>
        <v>7.5499999999999998E-2</v>
      </c>
      <c r="F144" s="57">
        <f>+'Purchased Power Model '!F144</f>
        <v>31</v>
      </c>
      <c r="G144" s="57">
        <f>+'Purchased Power Model '!G144</f>
        <v>1</v>
      </c>
      <c r="H144" s="191"/>
      <c r="I144" s="193">
        <f t="shared" ca="1" si="6"/>
        <v>23801653.235917985</v>
      </c>
      <c r="J144" s="36"/>
      <c r="K144" s="5"/>
    </row>
    <row r="145" spans="1:11">
      <c r="A145" s="3">
        <v>41944</v>
      </c>
      <c r="C145" s="188">
        <f>+'Purchased Power Model '!C145</f>
        <v>411.45366346542176</v>
      </c>
      <c r="D145" s="188">
        <f ca="1">+'Purchased Power Model '!D145</f>
        <v>0</v>
      </c>
      <c r="E145" s="103">
        <f>+'Purchased Power Model '!E145</f>
        <v>7.5499999999999998E-2</v>
      </c>
      <c r="F145" s="57">
        <f>+'Purchased Power Model '!F145</f>
        <v>30</v>
      </c>
      <c r="G145" s="57">
        <f>+'Purchased Power Model '!G145</f>
        <v>1</v>
      </c>
      <c r="H145" s="191"/>
      <c r="I145" s="193">
        <f t="shared" ca="1" si="6"/>
        <v>27195969.418214951</v>
      </c>
      <c r="J145" s="36"/>
      <c r="K145" s="5"/>
    </row>
    <row r="146" spans="1:11">
      <c r="A146" s="3">
        <v>41974</v>
      </c>
      <c r="C146" s="188">
        <f>+'Purchased Power Model '!C146</f>
        <v>424.19383359452985</v>
      </c>
      <c r="D146" s="188">
        <f ca="1">+'Purchased Power Model '!D146</f>
        <v>0</v>
      </c>
      <c r="E146" s="103">
        <f>+'Purchased Power Model '!E146</f>
        <v>7.5499999999999998E-2</v>
      </c>
      <c r="F146" s="57">
        <f>+'Purchased Power Model '!F146</f>
        <v>31</v>
      </c>
      <c r="G146" s="57">
        <f>+'Purchased Power Model '!G146</f>
        <v>0</v>
      </c>
      <c r="H146" s="191"/>
      <c r="I146" s="193">
        <f t="shared" ca="1" si="6"/>
        <v>25946899.570176344</v>
      </c>
      <c r="J146" s="36"/>
      <c r="K146" s="5"/>
    </row>
    <row r="147" spans="1:11">
      <c r="A147" s="3">
        <v>42005</v>
      </c>
      <c r="C147" s="188">
        <f>+'Purchased Power Model '!C147</f>
        <v>545.6611483841823</v>
      </c>
      <c r="D147" s="188">
        <f ca="1">+'Purchased Power Model '!D147</f>
        <v>0</v>
      </c>
      <c r="E147" s="103">
        <f>+'Purchased Power Model '!E147</f>
        <v>7.5499999999999998E-2</v>
      </c>
      <c r="F147" s="57">
        <f>+'Purchased Power Model '!F147</f>
        <v>31</v>
      </c>
      <c r="G147" s="57">
        <f>+'Purchased Power Model '!G147</f>
        <v>0</v>
      </c>
      <c r="H147" s="191"/>
      <c r="I147" s="193">
        <f t="shared" ca="1" si="6"/>
        <v>27521570.152270827</v>
      </c>
      <c r="J147" s="36"/>
      <c r="K147" s="5"/>
    </row>
    <row r="148" spans="1:11">
      <c r="A148" s="3">
        <v>42036</v>
      </c>
      <c r="C148" s="188">
        <f>+'Purchased Power Model '!C148</f>
        <v>542.20310730732444</v>
      </c>
      <c r="D148" s="188">
        <f ca="1">+'Purchased Power Model '!D148</f>
        <v>0</v>
      </c>
      <c r="E148" s="103">
        <f>+'Purchased Power Model '!E148</f>
        <v>7.5499999999999998E-2</v>
      </c>
      <c r="F148" s="57">
        <f>+'Purchased Power Model '!F148</f>
        <v>28</v>
      </c>
      <c r="G148" s="57">
        <f>+'Purchased Power Model '!G148</f>
        <v>0</v>
      </c>
      <c r="H148" s="191"/>
      <c r="I148" s="193">
        <f t="shared" ca="1" si="6"/>
        <v>29910201.881327823</v>
      </c>
      <c r="J148" s="36"/>
      <c r="K148" s="5"/>
    </row>
    <row r="149" spans="1:11">
      <c r="A149" s="3">
        <v>42064</v>
      </c>
      <c r="C149" s="188">
        <f>+'Purchased Power Model '!C149</f>
        <v>483.23907356090245</v>
      </c>
      <c r="D149" s="188">
        <f ca="1">+'Purchased Power Model '!D149</f>
        <v>0</v>
      </c>
      <c r="E149" s="103">
        <f>+'Purchased Power Model '!E149</f>
        <v>7.5499999999999998E-2</v>
      </c>
      <c r="F149" s="57">
        <f>+'Purchased Power Model '!F149</f>
        <v>31</v>
      </c>
      <c r="G149" s="57">
        <f>+'Purchased Power Model '!G149</f>
        <v>1</v>
      </c>
      <c r="H149" s="191"/>
      <c r="I149" s="193">
        <f t="shared" ca="1" si="6"/>
        <v>27315423.124404371</v>
      </c>
      <c r="J149" s="36"/>
      <c r="K149" s="5"/>
    </row>
    <row r="150" spans="1:11">
      <c r="A150" s="3">
        <v>42095</v>
      </c>
      <c r="C150" s="188">
        <f>+'Purchased Power Model '!C150</f>
        <v>324.96719350471687</v>
      </c>
      <c r="D150" s="188">
        <f ca="1">+'Purchased Power Model '!D150</f>
        <v>0</v>
      </c>
      <c r="E150" s="103">
        <f>+'Purchased Power Model '!E150</f>
        <v>7.5499999999999998E-2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3">
        <f t="shared" ca="1" si="6"/>
        <v>26074781.383127827</v>
      </c>
      <c r="J150" s="36"/>
      <c r="K150" s="5"/>
    </row>
    <row r="151" spans="1:11">
      <c r="A151" s="3">
        <v>42125</v>
      </c>
      <c r="C151" s="188">
        <f>+'Purchased Power Model '!C151</f>
        <v>118.28273837252181</v>
      </c>
      <c r="D151" s="188">
        <f ca="1">+'Purchased Power Model '!D151</f>
        <v>3.7719239281908306</v>
      </c>
      <c r="E151" s="103">
        <f>+'Purchased Power Model '!E151</f>
        <v>7.5499999999999998E-2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3">
        <f t="shared" ca="1" si="6"/>
        <v>22768823.431876682</v>
      </c>
      <c r="J151" s="36"/>
      <c r="K151" s="5"/>
    </row>
    <row r="152" spans="1:11">
      <c r="A152" s="3">
        <v>42156</v>
      </c>
      <c r="C152" s="188">
        <f>+'Purchased Power Model '!C152</f>
        <v>38.038451845436171</v>
      </c>
      <c r="D152" s="188">
        <f ca="1">+'Purchased Power Model '!D152</f>
        <v>40.485316829248255</v>
      </c>
      <c r="E152" s="103">
        <f>+'Purchased Power Model '!E152</f>
        <v>7.5499999999999998E-2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3">
        <f t="shared" ca="1" si="6"/>
        <v>23733398.500706822</v>
      </c>
      <c r="J152" s="36"/>
      <c r="K152" s="5"/>
    </row>
    <row r="153" spans="1:11">
      <c r="A153" s="3">
        <v>42186</v>
      </c>
      <c r="C153" s="188">
        <f>+'Purchased Power Model '!C153</f>
        <v>3.9013796764549924</v>
      </c>
      <c r="D153" s="188">
        <f ca="1">+'Purchased Power Model '!D153</f>
        <v>138.30387736699711</v>
      </c>
      <c r="E153" s="103">
        <f>+'Purchased Power Model '!E153</f>
        <v>7.5499999999999998E-2</v>
      </c>
      <c r="F153" s="57">
        <f>+'Purchased Power Model '!F153</f>
        <v>31</v>
      </c>
      <c r="G153" s="57">
        <f>+'Purchased Power Model '!G153</f>
        <v>0</v>
      </c>
      <c r="H153" s="191"/>
      <c r="I153" s="193">
        <f t="shared" ca="1" si="6"/>
        <v>27266969.001032542</v>
      </c>
      <c r="J153" s="36"/>
      <c r="K153" s="5"/>
    </row>
    <row r="154" spans="1:11">
      <c r="A154" s="3">
        <v>42217</v>
      </c>
      <c r="C154" s="188">
        <f>+'Purchased Power Model '!C154</f>
        <v>9.753449191137479</v>
      </c>
      <c r="D154" s="188">
        <f ca="1">+'Purchased Power Model '!D154</f>
        <v>72.798131814083021</v>
      </c>
      <c r="E154" s="103">
        <f>+'Purchased Power Model '!E154</f>
        <v>7.5499999999999998E-2</v>
      </c>
      <c r="F154" s="57">
        <f>+'Purchased Power Model '!F154</f>
        <v>31</v>
      </c>
      <c r="G154" s="57">
        <f>+'Purchased Power Model '!G154</f>
        <v>0</v>
      </c>
      <c r="H154" s="191"/>
      <c r="I154" s="193">
        <f t="shared" ca="1" si="6"/>
        <v>24136963.852800276</v>
      </c>
      <c r="J154" s="36"/>
      <c r="K154" s="5"/>
    </row>
    <row r="155" spans="1:11">
      <c r="A155" s="3">
        <v>42248</v>
      </c>
      <c r="C155" s="188">
        <f>+'Purchased Power Model '!C155</f>
        <v>85.653017442170963</v>
      </c>
      <c r="D155" s="188">
        <f ca="1">+'Purchased Power Model '!D155</f>
        <v>19.739735224198682</v>
      </c>
      <c r="E155" s="103">
        <f>+'Purchased Power Model '!E155</f>
        <v>7.5499999999999998E-2</v>
      </c>
      <c r="F155" s="57">
        <f>+'Purchased Power Model '!F155</f>
        <v>30</v>
      </c>
      <c r="G155" s="57">
        <f>+'Purchased Power Model '!G155</f>
        <v>1</v>
      </c>
      <c r="H155" s="191"/>
      <c r="I155" s="193">
        <f t="shared" ca="1" si="6"/>
        <v>23938443.099854875</v>
      </c>
      <c r="J155" s="36"/>
      <c r="K155" s="5"/>
    </row>
    <row r="156" spans="1:11">
      <c r="A156" s="3">
        <v>42278</v>
      </c>
      <c r="C156" s="188">
        <f>+'Purchased Power Model '!C156</f>
        <v>195.95566102194391</v>
      </c>
      <c r="D156" s="188">
        <f ca="1">+'Purchased Power Model '!D156</f>
        <v>3.7719239281908306</v>
      </c>
      <c r="E156" s="103">
        <f>+'Purchased Power Model '!E156</f>
        <v>7.5499999999999998E-2</v>
      </c>
      <c r="F156" s="57">
        <f>+'Purchased Power Model '!F156</f>
        <v>31</v>
      </c>
      <c r="G156" s="57">
        <f>+'Purchased Power Model '!G156</f>
        <v>1</v>
      </c>
      <c r="H156" s="191"/>
      <c r="I156" s="193">
        <f t="shared" ca="1" si="6"/>
        <v>23775754.938785769</v>
      </c>
      <c r="J156" s="36"/>
      <c r="K156" s="5"/>
    </row>
    <row r="157" spans="1:11">
      <c r="A157" s="3">
        <v>42309</v>
      </c>
      <c r="C157" s="188">
        <f>+'Purchased Power Model '!C157</f>
        <v>406.63016355051349</v>
      </c>
      <c r="D157" s="188">
        <f ca="1">+'Purchased Power Model '!D157</f>
        <v>0</v>
      </c>
      <c r="E157" s="103">
        <f>+'Purchased Power Model '!E157</f>
        <v>7.5499999999999998E-2</v>
      </c>
      <c r="F157" s="57">
        <f>+'Purchased Power Model '!F157</f>
        <v>30</v>
      </c>
      <c r="G157" s="57">
        <f>+'Purchased Power Model '!G157</f>
        <v>1</v>
      </c>
      <c r="H157" s="191"/>
      <c r="I157" s="193">
        <f t="shared" ca="1" si="6"/>
        <v>27133438.82361101</v>
      </c>
      <c r="J157" s="36"/>
      <c r="K157" s="5"/>
    </row>
    <row r="158" spans="1:11">
      <c r="A158" s="3">
        <v>42339</v>
      </c>
      <c r="C158" s="188">
        <f>+'Purchased Power Model '!C158</f>
        <v>419.22097977907276</v>
      </c>
      <c r="D158" s="188">
        <f ca="1">+'Purchased Power Model '!D158</f>
        <v>0</v>
      </c>
      <c r="E158" s="103">
        <f>+'Purchased Power Model '!E158</f>
        <v>7.5499999999999998E-2</v>
      </c>
      <c r="F158" s="57">
        <f>+'Purchased Power Model '!F158</f>
        <v>31</v>
      </c>
      <c r="G158" s="57">
        <f>+'Purchased Power Model '!G158</f>
        <v>0</v>
      </c>
      <c r="H158" s="191"/>
      <c r="I158" s="193">
        <f t="shared" ca="1" si="6"/>
        <v>25882432.790567223</v>
      </c>
      <c r="J158" s="36"/>
      <c r="K158" s="5"/>
    </row>
    <row r="159" spans="1:11">
      <c r="A159" s="3">
        <v>42370</v>
      </c>
      <c r="C159" s="188">
        <f>+'Purchased Power Model '!C159</f>
        <v>539.18844483504199</v>
      </c>
      <c r="D159" s="188">
        <f ca="1">+'Purchased Power Model '!D159</f>
        <v>0</v>
      </c>
      <c r="E159" s="103">
        <f>+'Purchased Power Model '!E159</f>
        <v>7.5499999999999998E-2</v>
      </c>
      <c r="F159" s="57">
        <f>+'Purchased Power Model '!F159</f>
        <v>31</v>
      </c>
      <c r="G159" s="57">
        <f>+'Purchased Power Model '!G159</f>
        <v>0</v>
      </c>
      <c r="H159" s="191"/>
      <c r="I159" s="193">
        <f t="shared" ca="1" si="6"/>
        <v>27437659.711975832</v>
      </c>
      <c r="J159" s="36"/>
      <c r="K159" s="5"/>
    </row>
    <row r="160" spans="1:11">
      <c r="A160" s="3">
        <v>42401</v>
      </c>
      <c r="C160" s="188">
        <f>+'Purchased Power Model '!C160</f>
        <v>535.77142349143355</v>
      </c>
      <c r="D160" s="188">
        <f ca="1">+'Purchased Power Model '!D160</f>
        <v>0</v>
      </c>
      <c r="E160" s="103">
        <f>+'Purchased Power Model '!E160</f>
        <v>7.5499999999999998E-2</v>
      </c>
      <c r="F160" s="57">
        <f>+'Purchased Power Model '!F160</f>
        <v>29</v>
      </c>
      <c r="G160" s="57">
        <f>+'Purchased Power Model '!G160</f>
        <v>0</v>
      </c>
      <c r="H160" s="191"/>
      <c r="I160" s="193">
        <f t="shared" ca="1" si="6"/>
        <v>29015669.586324681</v>
      </c>
      <c r="J160" s="36"/>
      <c r="K160" s="5"/>
    </row>
    <row r="161" spans="1:11">
      <c r="A161" s="3">
        <v>42430</v>
      </c>
      <c r="C161" s="188">
        <f>+'Purchased Power Model '!C161</f>
        <v>477.50682878631443</v>
      </c>
      <c r="D161" s="188">
        <f ca="1">+'Purchased Power Model '!D161</f>
        <v>0</v>
      </c>
      <c r="E161" s="103">
        <f>+'Purchased Power Model '!E161</f>
        <v>7.5499999999999998E-2</v>
      </c>
      <c r="F161" s="57">
        <f>+'Purchased Power Model '!F161</f>
        <v>31</v>
      </c>
      <c r="G161" s="57">
        <f>+'Purchased Power Model '!G161</f>
        <v>1</v>
      </c>
      <c r="H161" s="191"/>
      <c r="I161" s="193">
        <f t="shared" ca="1" si="6"/>
        <v>27241111.798501275</v>
      </c>
      <c r="J161" s="36"/>
      <c r="K161" s="5"/>
    </row>
    <row r="162" spans="1:11">
      <c r="A162" s="3">
        <v>42461</v>
      </c>
      <c r="C162" s="188">
        <f>+'Purchased Power Model '!C162</f>
        <v>321.11239036731047</v>
      </c>
      <c r="D162" s="188">
        <f ca="1">+'Purchased Power Model '!D162</f>
        <v>0</v>
      </c>
      <c r="E162" s="103">
        <f>+'Purchased Power Model '!E162</f>
        <v>7.5499999999999998E-2</v>
      </c>
      <c r="F162" s="57">
        <f>+'Purchased Power Model '!F162</f>
        <v>30</v>
      </c>
      <c r="G162" s="57">
        <f>+'Purchased Power Model '!G162</f>
        <v>1</v>
      </c>
      <c r="H162" s="191"/>
      <c r="I162" s="193">
        <f t="shared" ca="1" si="6"/>
        <v>26024808.720846195</v>
      </c>
      <c r="J162" s="36"/>
      <c r="K162" s="5"/>
    </row>
    <row r="163" spans="1:11">
      <c r="A163" s="3">
        <v>42491</v>
      </c>
      <c r="C163" s="188">
        <f>+'Purchased Power Model '!C163</f>
        <v>116.8796531377878</v>
      </c>
      <c r="D163" s="188">
        <f ca="1">+'Purchased Power Model '!D163</f>
        <v>3.8584638085088909</v>
      </c>
      <c r="E163" s="103">
        <f>+'Purchased Power Model '!E163</f>
        <v>7.5499999999999998E-2</v>
      </c>
      <c r="F163" s="57">
        <f>+'Purchased Power Model '!F163</f>
        <v>31</v>
      </c>
      <c r="G163" s="57">
        <f>+'Purchased Power Model '!G163</f>
        <v>1</v>
      </c>
      <c r="H163" s="191"/>
      <c r="I163" s="193">
        <f t="shared" ca="1" si="6"/>
        <v>22754869.487311631</v>
      </c>
      <c r="J163" s="36"/>
      <c r="K163" s="5"/>
    </row>
    <row r="164" spans="1:11">
      <c r="A164" s="3">
        <v>42522</v>
      </c>
      <c r="C164" s="188">
        <f>+'Purchased Power Model '!C164</f>
        <v>37.587234779693375</v>
      </c>
      <c r="D164" s="188">
        <f ca="1">+'Purchased Power Model '!D164</f>
        <v>41.414178211328768</v>
      </c>
      <c r="E164" s="103">
        <f>+'Purchased Power Model '!E164</f>
        <v>7.5499999999999998E-2</v>
      </c>
      <c r="F164" s="57">
        <f>+'Purchased Power Model '!F164</f>
        <v>30</v>
      </c>
      <c r="G164" s="57">
        <f>+'Purchased Power Model '!G164</f>
        <v>0</v>
      </c>
      <c r="H164" s="191"/>
      <c r="I164" s="193">
        <f t="shared" ca="1" si="6"/>
        <v>23773007.781058103</v>
      </c>
      <c r="J164" s="36"/>
      <c r="K164" s="5"/>
    </row>
    <row r="165" spans="1:11">
      <c r="A165" s="3">
        <v>42552</v>
      </c>
      <c r="C165" s="188">
        <f>+'Purchased Power Model '!C165</f>
        <v>3.8551010030454749</v>
      </c>
      <c r="D165" s="188">
        <f ca="1">+'Purchased Power Model '!D165</f>
        <v>141.47700631199265</v>
      </c>
      <c r="E165" s="103">
        <f>+'Purchased Power Model '!E165</f>
        <v>7.5499999999999998E-2</v>
      </c>
      <c r="F165" s="57">
        <f>+'Purchased Power Model '!F165</f>
        <v>31</v>
      </c>
      <c r="G165" s="57">
        <f>+'Purchased Power Model '!G165</f>
        <v>0</v>
      </c>
      <c r="H165" s="191"/>
      <c r="I165" s="193">
        <f t="shared" ca="1" si="6"/>
        <v>27421662.891017284</v>
      </c>
      <c r="J165" s="36"/>
      <c r="K165" s="5"/>
    </row>
    <row r="166" spans="1:11">
      <c r="A166" s="3">
        <v>42583</v>
      </c>
      <c r="C166" s="188">
        <f>+'Purchased Power Model '!C166</f>
        <v>9.6377525076136852</v>
      </c>
      <c r="D166" s="188">
        <f ca="1">+'Purchased Power Model '!D166</f>
        <v>74.468351504221573</v>
      </c>
      <c r="E166" s="103">
        <f>+'Purchased Power Model '!E166</f>
        <v>7.5499999999999998E-2</v>
      </c>
      <c r="F166" s="57">
        <f>+'Purchased Power Model '!F166</f>
        <v>31</v>
      </c>
      <c r="G166" s="57">
        <f>+'Purchased Power Model '!G166</f>
        <v>0</v>
      </c>
      <c r="H166" s="191"/>
      <c r="I166" s="193">
        <f t="shared" ca="1" si="6"/>
        <v>24217205.018679466</v>
      </c>
      <c r="J166" s="36"/>
      <c r="K166" s="5"/>
    </row>
    <row r="167" spans="1:11">
      <c r="A167" s="3">
        <v>42614</v>
      </c>
      <c r="C167" s="188">
        <f>+'Purchased Power Model '!C167</f>
        <v>84.636990203225636</v>
      </c>
      <c r="D167" s="188">
        <f ca="1">+'Purchased Power Model '!D167</f>
        <v>20.192627264529865</v>
      </c>
      <c r="E167" s="103">
        <f>+'Purchased Power Model '!E167</f>
        <v>7.5499999999999998E-2</v>
      </c>
      <c r="F167" s="57">
        <f>+'Purchased Power Model '!F167</f>
        <v>30</v>
      </c>
      <c r="G167" s="57">
        <f>+'Purchased Power Model '!G167</f>
        <v>1</v>
      </c>
      <c r="H167" s="191"/>
      <c r="I167" s="193">
        <f t="shared" ca="1" si="6"/>
        <v>23947436.253266077</v>
      </c>
      <c r="J167" s="36"/>
      <c r="K167" s="5"/>
    </row>
    <row r="168" spans="1:11">
      <c r="A168" s="3">
        <v>42644</v>
      </c>
      <c r="C168" s="188">
        <f>+'Purchased Power Model '!C168</f>
        <v>193.63120947114768</v>
      </c>
      <c r="D168" s="188">
        <f ca="1">+'Purchased Power Model '!D168</f>
        <v>3.8584638085088909</v>
      </c>
      <c r="E168" s="103">
        <f>+'Purchased Power Model '!E168</f>
        <v>7.5499999999999998E-2</v>
      </c>
      <c r="F168" s="57">
        <f>+'Purchased Power Model '!F168</f>
        <v>31</v>
      </c>
      <c r="G168" s="57">
        <f>+'Purchased Power Model '!G168</f>
        <v>1</v>
      </c>
      <c r="H168" s="191"/>
      <c r="I168" s="193">
        <f t="shared" ca="1" si="6"/>
        <v>23749856.641653538</v>
      </c>
      <c r="J168" s="36"/>
      <c r="K168" s="5"/>
    </row>
    <row r="169" spans="1:11">
      <c r="A169" s="3">
        <v>42675</v>
      </c>
      <c r="C169" s="188">
        <f>+'Purchased Power Model '!C169</f>
        <v>401.80666363560329</v>
      </c>
      <c r="D169" s="188">
        <f ca="1">+'Purchased Power Model '!D169</f>
        <v>0</v>
      </c>
      <c r="E169" s="103">
        <f>+'Purchased Power Model '!E169</f>
        <v>7.5499999999999998E-2</v>
      </c>
      <c r="F169" s="57">
        <f>+'Purchased Power Model '!F169</f>
        <v>30</v>
      </c>
      <c r="G169" s="57">
        <f>+'Purchased Power Model '!G169</f>
        <v>1</v>
      </c>
      <c r="H169" s="191"/>
      <c r="I169" s="193">
        <f t="shared" ca="1" si="6"/>
        <v>27070908.229007039</v>
      </c>
      <c r="J169" s="36"/>
      <c r="K169" s="5"/>
    </row>
    <row r="170" spans="1:11">
      <c r="A170" s="3">
        <v>42705</v>
      </c>
      <c r="C170" s="188">
        <f>+'Purchased Power Model '!C170</f>
        <v>414.24812596361369</v>
      </c>
      <c r="D170" s="188">
        <f ca="1">+'Purchased Power Model '!D170</f>
        <v>0</v>
      </c>
      <c r="E170" s="103">
        <f>+'Purchased Power Model '!E170</f>
        <v>7.5499999999999998E-2</v>
      </c>
      <c r="F170" s="57">
        <f>+'Purchased Power Model '!F170</f>
        <v>31</v>
      </c>
      <c r="G170" s="57">
        <f>+'Purchased Power Model '!G170</f>
        <v>0</v>
      </c>
      <c r="H170" s="191"/>
      <c r="I170" s="193">
        <f t="shared" ca="1" si="6"/>
        <v>25817966.010958072</v>
      </c>
      <c r="J170" s="36"/>
      <c r="K170" s="5"/>
    </row>
    <row r="171" spans="1:11">
      <c r="A171" s="3">
        <v>42736</v>
      </c>
      <c r="C171" s="188">
        <f>+'Purchased Power Model '!C171</f>
        <v>532.7157412859018</v>
      </c>
      <c r="D171" s="188">
        <f ca="1">+'Purchased Power Model '!D171</f>
        <v>0</v>
      </c>
      <c r="E171" s="103">
        <f>+'Purchased Power Model '!E171</f>
        <v>7.5499999999999998E-2</v>
      </c>
      <c r="F171" s="57">
        <f>+'Purchased Power Model '!F171</f>
        <v>31</v>
      </c>
      <c r="G171" s="57">
        <f>+'Purchased Power Model '!G171</f>
        <v>0</v>
      </c>
      <c r="H171" s="191"/>
      <c r="I171" s="193">
        <f t="shared" ca="1" si="6"/>
        <v>27353749.271680851</v>
      </c>
      <c r="J171" s="36"/>
      <c r="K171" s="5"/>
    </row>
    <row r="172" spans="1:11">
      <c r="A172" s="3">
        <v>42767</v>
      </c>
      <c r="C172" s="188">
        <f>+'Purchased Power Model '!C172</f>
        <v>529.33973967554266</v>
      </c>
      <c r="D172" s="188">
        <f ca="1">+'Purchased Power Model '!D172</f>
        <v>0</v>
      </c>
      <c r="E172" s="103">
        <f>+'Purchased Power Model '!E172</f>
        <v>7.5499999999999998E-2</v>
      </c>
      <c r="F172" s="57">
        <f>+'Purchased Power Model '!F172</f>
        <v>28</v>
      </c>
      <c r="G172" s="57">
        <f>+'Purchased Power Model '!G172</f>
        <v>0</v>
      </c>
      <c r="H172" s="191"/>
      <c r="I172" s="193">
        <f t="shared" ca="1" si="6"/>
        <v>29743444.538980126</v>
      </c>
      <c r="J172" s="36"/>
      <c r="K172" s="5"/>
    </row>
    <row r="173" spans="1:11">
      <c r="A173" s="3">
        <v>42795</v>
      </c>
      <c r="C173" s="188">
        <f>+'Purchased Power Model '!C173</f>
        <v>471.77458401172646</v>
      </c>
      <c r="D173" s="188">
        <f ca="1">+'Purchased Power Model '!D173</f>
        <v>0</v>
      </c>
      <c r="E173" s="103">
        <f>+'Purchased Power Model '!E173</f>
        <v>7.5499999999999998E-2</v>
      </c>
      <c r="F173" s="57">
        <f>+'Purchased Power Model '!F173</f>
        <v>31</v>
      </c>
      <c r="G173" s="57">
        <f>+'Purchased Power Model '!G173</f>
        <v>1</v>
      </c>
      <c r="H173" s="191"/>
      <c r="I173" s="193">
        <f t="shared" ca="1" si="6"/>
        <v>27166800.472598173</v>
      </c>
      <c r="J173" s="36"/>
      <c r="K173" s="5"/>
    </row>
    <row r="174" spans="1:11">
      <c r="A174" s="3">
        <v>42826</v>
      </c>
      <c r="C174" s="188">
        <f>+'Purchased Power Model '!C174</f>
        <v>317.25758722990406</v>
      </c>
      <c r="D174" s="188">
        <f ca="1">+'Purchased Power Model '!D174</f>
        <v>0</v>
      </c>
      <c r="E174" s="103">
        <f>+'Purchased Power Model '!E174</f>
        <v>7.5499999999999998E-2</v>
      </c>
      <c r="F174" s="57">
        <f>+'Purchased Power Model '!F174</f>
        <v>30</v>
      </c>
      <c r="G174" s="57">
        <f>+'Purchased Power Model '!G174</f>
        <v>1</v>
      </c>
      <c r="H174" s="191"/>
      <c r="I174" s="193">
        <f t="shared" ca="1" si="6"/>
        <v>25974836.05856457</v>
      </c>
      <c r="J174" s="36"/>
      <c r="K174" s="5"/>
    </row>
    <row r="175" spans="1:11">
      <c r="A175" s="3">
        <v>42856</v>
      </c>
      <c r="C175" s="188">
        <f>+'Purchased Power Model '!C175</f>
        <v>115.47656790305378</v>
      </c>
      <c r="D175" s="188">
        <f ca="1">+'Purchased Power Model '!D175</f>
        <v>3.9450036888269517</v>
      </c>
      <c r="E175" s="103">
        <f>+'Purchased Power Model '!E175</f>
        <v>7.5499999999999998E-2</v>
      </c>
      <c r="F175" s="57">
        <f>+'Purchased Power Model '!F175</f>
        <v>31</v>
      </c>
      <c r="G175" s="57">
        <f>+'Purchased Power Model '!G175</f>
        <v>1</v>
      </c>
      <c r="H175" s="191"/>
      <c r="I175" s="193">
        <f t="shared" ca="1" si="6"/>
        <v>22740915.542746566</v>
      </c>
      <c r="J175" s="36"/>
      <c r="K175" s="5"/>
    </row>
    <row r="176" spans="1:11">
      <c r="A176" s="3">
        <v>42887</v>
      </c>
      <c r="C176" s="188">
        <f>+'Purchased Power Model '!C176</f>
        <v>37.136017713950579</v>
      </c>
      <c r="D176" s="188">
        <f ca="1">+'Purchased Power Model '!D176</f>
        <v>42.343039593409287</v>
      </c>
      <c r="E176" s="103">
        <f>+'Purchased Power Model '!E176</f>
        <v>7.5499999999999998E-2</v>
      </c>
      <c r="F176" s="57">
        <f>+'Purchased Power Model '!F176</f>
        <v>30</v>
      </c>
      <c r="G176" s="57">
        <f>+'Purchased Power Model '!G176</f>
        <v>0</v>
      </c>
      <c r="H176" s="191"/>
      <c r="I176" s="193">
        <f t="shared" ca="1" si="6"/>
        <v>23812617.061409384</v>
      </c>
      <c r="J176" s="36"/>
      <c r="K176" s="5"/>
    </row>
    <row r="177" spans="1:11">
      <c r="A177" s="3">
        <v>42917</v>
      </c>
      <c r="C177" s="188">
        <f>+'Purchased Power Model '!C177</f>
        <v>3.8088223296359573</v>
      </c>
      <c r="D177" s="188">
        <f ca="1">+'Purchased Power Model '!D177</f>
        <v>144.65013525698822</v>
      </c>
      <c r="E177" s="103">
        <f>+'Purchased Power Model '!E177</f>
        <v>7.5499999999999998E-2</v>
      </c>
      <c r="F177" s="57">
        <f>+'Purchased Power Model '!F177</f>
        <v>31</v>
      </c>
      <c r="G177" s="57">
        <f>+'Purchased Power Model '!G177</f>
        <v>0</v>
      </c>
      <c r="H177" s="191"/>
      <c r="I177" s="193">
        <f t="shared" ca="1" si="6"/>
        <v>27576356.781002019</v>
      </c>
      <c r="J177" s="36"/>
      <c r="K177" s="5"/>
    </row>
    <row r="178" spans="1:11">
      <c r="A178" s="3">
        <v>42948</v>
      </c>
      <c r="C178" s="188">
        <f>+'Purchased Power Model '!C178</f>
        <v>9.5220558240898914</v>
      </c>
      <c r="D178" s="188">
        <f ca="1">+'Purchased Power Model '!D178</f>
        <v>76.138571194360154</v>
      </c>
      <c r="E178" s="103">
        <f>+'Purchased Power Model '!E178</f>
        <v>7.5499999999999998E-2</v>
      </c>
      <c r="F178" s="57">
        <f>+'Purchased Power Model '!F178</f>
        <v>31</v>
      </c>
      <c r="G178" s="57">
        <f>+'Purchased Power Model '!G178</f>
        <v>0</v>
      </c>
      <c r="H178" s="191"/>
      <c r="I178" s="193">
        <f t="shared" ca="1" si="6"/>
        <v>24297446.184558664</v>
      </c>
      <c r="J178" s="36"/>
      <c r="K178" s="5"/>
    </row>
    <row r="179" spans="1:11">
      <c r="A179" s="3">
        <v>42979</v>
      </c>
      <c r="C179" s="188">
        <f>+'Purchased Power Model '!C179</f>
        <v>83.620962964280309</v>
      </c>
      <c r="D179" s="188">
        <f ca="1">+'Purchased Power Model '!D179</f>
        <v>20.64551930486105</v>
      </c>
      <c r="E179" s="103">
        <f>+'Purchased Power Model '!E179</f>
        <v>7.5499999999999998E-2</v>
      </c>
      <c r="F179" s="57">
        <f>+'Purchased Power Model '!F179</f>
        <v>30</v>
      </c>
      <c r="G179" s="57">
        <f>+'Purchased Power Model '!G179</f>
        <v>1</v>
      </c>
      <c r="H179" s="191"/>
      <c r="I179" s="193">
        <f t="shared" ca="1" si="6"/>
        <v>23956429.40667728</v>
      </c>
      <c r="J179" s="36"/>
      <c r="K179" s="5"/>
    </row>
    <row r="180" spans="1:11">
      <c r="A180" s="3">
        <v>43009</v>
      </c>
      <c r="C180" s="188">
        <f>+'Purchased Power Model '!C180</f>
        <v>191.30675792035146</v>
      </c>
      <c r="D180" s="188">
        <f ca="1">+'Purchased Power Model '!D180</f>
        <v>3.9450036888269517</v>
      </c>
      <c r="E180" s="103">
        <f>+'Purchased Power Model '!E180</f>
        <v>7.5499999999999998E-2</v>
      </c>
      <c r="F180" s="57">
        <f>+'Purchased Power Model '!F180</f>
        <v>31</v>
      </c>
      <c r="G180" s="57">
        <f>+'Purchased Power Model '!G180</f>
        <v>1</v>
      </c>
      <c r="H180" s="191"/>
      <c r="I180" s="193">
        <f t="shared" ca="1" si="6"/>
        <v>23723958.344521299</v>
      </c>
      <c r="J180" s="36"/>
      <c r="K180" s="5"/>
    </row>
    <row r="181" spans="1:11">
      <c r="A181" s="3">
        <v>43040</v>
      </c>
      <c r="C181" s="188">
        <f>+'Purchased Power Model '!C181</f>
        <v>396.98316372069308</v>
      </c>
      <c r="D181" s="188">
        <f ca="1">+'Purchased Power Model '!D181</f>
        <v>0</v>
      </c>
      <c r="E181" s="103">
        <f>+'Purchased Power Model '!E181</f>
        <v>7.5499999999999998E-2</v>
      </c>
      <c r="F181" s="57">
        <f>+'Purchased Power Model '!F181</f>
        <v>30</v>
      </c>
      <c r="G181" s="57">
        <f>+'Purchased Power Model '!G181</f>
        <v>1</v>
      </c>
      <c r="H181" s="191"/>
      <c r="I181" s="193">
        <f t="shared" ca="1" si="6"/>
        <v>27008377.634403069</v>
      </c>
      <c r="J181" s="36"/>
      <c r="K181" s="5"/>
    </row>
    <row r="182" spans="1:11">
      <c r="A182" s="3">
        <v>43070</v>
      </c>
      <c r="C182" s="188">
        <f>+'Purchased Power Model '!C182</f>
        <v>409.27527214815461</v>
      </c>
      <c r="D182" s="188">
        <f ca="1">+'Purchased Power Model '!D182</f>
        <v>0</v>
      </c>
      <c r="E182" s="103">
        <f>+'Purchased Power Model '!E182</f>
        <v>7.5499999999999998E-2</v>
      </c>
      <c r="F182" s="57">
        <f>+'Purchased Power Model '!F182</f>
        <v>31</v>
      </c>
      <c r="G182" s="57">
        <f>+'Purchased Power Model '!G182</f>
        <v>0</v>
      </c>
      <c r="H182" s="191"/>
      <c r="I182" s="193">
        <f t="shared" ca="1" si="6"/>
        <v>25753499.231348921</v>
      </c>
      <c r="J182" s="36"/>
      <c r="K182" s="5"/>
    </row>
    <row r="183" spans="1:11">
      <c r="A183" s="3">
        <v>43101</v>
      </c>
      <c r="C183" s="188">
        <f>+'Purchased Power Model '!C183</f>
        <v>526.24303773676161</v>
      </c>
      <c r="D183" s="188">
        <f ca="1">+'Purchased Power Model '!D183</f>
        <v>0</v>
      </c>
      <c r="E183" s="103">
        <f>+'Purchased Power Model '!E183</f>
        <v>7.5499999999999998E-2</v>
      </c>
      <c r="F183" s="57">
        <f>+'Purchased Power Model '!F183</f>
        <v>31</v>
      </c>
      <c r="G183" s="57">
        <f>+'Purchased Power Model '!G183</f>
        <v>0</v>
      </c>
      <c r="H183" s="191"/>
      <c r="I183" s="193">
        <f t="shared" ca="1" si="6"/>
        <v>27269838.831385862</v>
      </c>
      <c r="J183" s="36"/>
      <c r="K183" s="5"/>
    </row>
    <row r="184" spans="1:11">
      <c r="A184" s="3">
        <v>43132</v>
      </c>
      <c r="C184" s="188">
        <f>+'Purchased Power Model '!C184</f>
        <v>522.90805585965177</v>
      </c>
      <c r="D184" s="188">
        <f ca="1">+'Purchased Power Model '!D184</f>
        <v>0</v>
      </c>
      <c r="E184" s="103">
        <f>+'Purchased Power Model '!E184</f>
        <v>7.5499999999999998E-2</v>
      </c>
      <c r="F184" s="57">
        <f>+'Purchased Power Model '!F184</f>
        <v>28</v>
      </c>
      <c r="G184" s="57">
        <f>+'Purchased Power Model '!G184</f>
        <v>0</v>
      </c>
      <c r="H184" s="191"/>
      <c r="I184" s="193">
        <f t="shared" ca="1" si="6"/>
        <v>29660065.867806286</v>
      </c>
      <c r="J184" s="36"/>
      <c r="K184" s="5"/>
    </row>
    <row r="185" spans="1:11">
      <c r="A185" s="3">
        <v>43160</v>
      </c>
      <c r="C185" s="188">
        <f>+'Purchased Power Model '!C185</f>
        <v>466.04233923713849</v>
      </c>
      <c r="D185" s="188">
        <f ca="1">+'Purchased Power Model '!D185</f>
        <v>0</v>
      </c>
      <c r="E185" s="103">
        <f>+'Purchased Power Model '!E185</f>
        <v>7.5499999999999998E-2</v>
      </c>
      <c r="F185" s="57">
        <f>+'Purchased Power Model '!F185</f>
        <v>31</v>
      </c>
      <c r="G185" s="57">
        <f>+'Purchased Power Model '!G185</f>
        <v>1</v>
      </c>
      <c r="H185" s="191"/>
      <c r="I185" s="193">
        <f t="shared" ca="1" si="6"/>
        <v>27092489.14669507</v>
      </c>
      <c r="J185" s="36"/>
      <c r="K185" s="5"/>
    </row>
    <row r="186" spans="1:11">
      <c r="A186" s="3">
        <v>43191</v>
      </c>
      <c r="C186" s="188">
        <f>+'Purchased Power Model '!C186</f>
        <v>313.40278409249765</v>
      </c>
      <c r="D186" s="188">
        <f ca="1">+'Purchased Power Model '!D186</f>
        <v>0</v>
      </c>
      <c r="E186" s="103">
        <f>+'Purchased Power Model '!E186</f>
        <v>7.5499999999999998E-2</v>
      </c>
      <c r="F186" s="57">
        <f>+'Purchased Power Model '!F186</f>
        <v>30</v>
      </c>
      <c r="G186" s="57">
        <f>+'Purchased Power Model '!G186</f>
        <v>1</v>
      </c>
      <c r="H186" s="191"/>
      <c r="I186" s="193">
        <f t="shared" ca="1" si="6"/>
        <v>25924863.396282945</v>
      </c>
      <c r="J186" s="36"/>
      <c r="K186" s="5"/>
    </row>
    <row r="187" spans="1:11">
      <c r="A187" s="3">
        <v>43221</v>
      </c>
      <c r="C187" s="188">
        <f>+'Purchased Power Model '!C187</f>
        <v>114.07348266831977</v>
      </c>
      <c r="D187" s="188">
        <f ca="1">+'Purchased Power Model '!D187</f>
        <v>4.0315435691450112</v>
      </c>
      <c r="E187" s="103">
        <f>+'Purchased Power Model '!E187</f>
        <v>7.5499999999999998E-2</v>
      </c>
      <c r="F187" s="57">
        <f>+'Purchased Power Model '!F187</f>
        <v>31</v>
      </c>
      <c r="G187" s="57">
        <f>+'Purchased Power Model '!G187</f>
        <v>1</v>
      </c>
      <c r="H187" s="191"/>
      <c r="I187" s="193">
        <f t="shared" ca="1" si="6"/>
        <v>22726961.598181516</v>
      </c>
      <c r="J187" s="36"/>
      <c r="K187" s="5"/>
    </row>
    <row r="188" spans="1:11">
      <c r="A188" s="3">
        <v>43252</v>
      </c>
      <c r="C188" s="188">
        <f>+'Purchased Power Model '!C188</f>
        <v>36.684800648207784</v>
      </c>
      <c r="D188" s="188">
        <f ca="1">+'Purchased Power Model '!D188</f>
        <v>43.271900975489793</v>
      </c>
      <c r="E188" s="103">
        <f>+'Purchased Power Model '!E188</f>
        <v>7.5499999999999998E-2</v>
      </c>
      <c r="F188" s="57">
        <f>+'Purchased Power Model '!F188</f>
        <v>30</v>
      </c>
      <c r="G188" s="57">
        <f>+'Purchased Power Model '!G188</f>
        <v>0</v>
      </c>
      <c r="H188" s="191"/>
      <c r="I188" s="193">
        <f t="shared" ca="1" si="6"/>
        <v>23852226.341760673</v>
      </c>
      <c r="J188" s="36"/>
      <c r="K188" s="5"/>
    </row>
    <row r="189" spans="1:11">
      <c r="A189" s="3">
        <v>43282</v>
      </c>
      <c r="C189" s="188">
        <f>+'Purchased Power Model '!C189</f>
        <v>3.7625436562264398</v>
      </c>
      <c r="D189" s="188">
        <f ca="1">+'Purchased Power Model '!D189</f>
        <v>147.82326420198373</v>
      </c>
      <c r="E189" s="103">
        <f>+'Purchased Power Model '!E189</f>
        <v>7.5499999999999998E-2</v>
      </c>
      <c r="F189" s="57">
        <f>+'Purchased Power Model '!F189</f>
        <v>31</v>
      </c>
      <c r="G189" s="57">
        <f>+'Purchased Power Model '!G189</f>
        <v>0</v>
      </c>
      <c r="H189" s="191"/>
      <c r="I189" s="193">
        <f t="shared" ca="1" si="6"/>
        <v>27731050.670986753</v>
      </c>
      <c r="J189" s="36"/>
      <c r="K189" s="5"/>
    </row>
    <row r="190" spans="1:11">
      <c r="A190" s="3">
        <v>43313</v>
      </c>
      <c r="C190" s="188">
        <f>+'Purchased Power Model '!C190</f>
        <v>9.4063591405660976</v>
      </c>
      <c r="D190" s="188">
        <f ca="1">+'Purchased Power Model '!D190</f>
        <v>77.808790884498691</v>
      </c>
      <c r="E190" s="103">
        <f>+'Purchased Power Model '!E190</f>
        <v>7.5499999999999998E-2</v>
      </c>
      <c r="F190" s="57">
        <f>+'Purchased Power Model '!F190</f>
        <v>31</v>
      </c>
      <c r="G190" s="57">
        <f>+'Purchased Power Model '!G190</f>
        <v>0</v>
      </c>
      <c r="H190" s="191"/>
      <c r="I190" s="193">
        <f t="shared" ca="1" si="6"/>
        <v>24377687.350437853</v>
      </c>
      <c r="J190" s="36"/>
      <c r="K190" s="5"/>
    </row>
    <row r="191" spans="1:11">
      <c r="A191" s="3">
        <v>43344</v>
      </c>
      <c r="C191" s="188">
        <f>+'Purchased Power Model '!C191</f>
        <v>82.604935725334997</v>
      </c>
      <c r="D191" s="188">
        <f ca="1">+'Purchased Power Model '!D191</f>
        <v>21.098411345192229</v>
      </c>
      <c r="E191" s="103">
        <f>+'Purchased Power Model '!E191</f>
        <v>7.5499999999999998E-2</v>
      </c>
      <c r="F191" s="57">
        <f>+'Purchased Power Model '!F191</f>
        <v>30</v>
      </c>
      <c r="G191" s="57">
        <f>+'Purchased Power Model '!G191</f>
        <v>1</v>
      </c>
      <c r="H191" s="191"/>
      <c r="I191" s="193">
        <f t="shared" ca="1" si="6"/>
        <v>23965422.560088482</v>
      </c>
      <c r="J191" s="36"/>
      <c r="K191" s="5"/>
    </row>
    <row r="192" spans="1:11">
      <c r="A192" s="3">
        <v>43374</v>
      </c>
      <c r="C192" s="188">
        <f>+'Purchased Power Model '!C192</f>
        <v>188.98230636955523</v>
      </c>
      <c r="D192" s="188">
        <f ca="1">+'Purchased Power Model '!D192</f>
        <v>4.0315435691450112</v>
      </c>
      <c r="E192" s="103">
        <f>+'Purchased Power Model '!E192</f>
        <v>7.5499999999999998E-2</v>
      </c>
      <c r="F192" s="57">
        <f>+'Purchased Power Model '!F192</f>
        <v>31</v>
      </c>
      <c r="G192" s="57">
        <f>+'Purchased Power Model '!G192</f>
        <v>1</v>
      </c>
      <c r="H192" s="191"/>
      <c r="I192" s="193">
        <f t="shared" ca="1" si="6"/>
        <v>23698060.047389068</v>
      </c>
      <c r="J192" s="36"/>
      <c r="K192" s="5"/>
    </row>
    <row r="193" spans="1:11">
      <c r="A193" s="3">
        <v>43405</v>
      </c>
      <c r="C193" s="188">
        <f>+'Purchased Power Model '!C193</f>
        <v>392.15966380578294</v>
      </c>
      <c r="D193" s="188">
        <f ca="1">+'Purchased Power Model '!D193</f>
        <v>0</v>
      </c>
      <c r="E193" s="103">
        <f>+'Purchased Power Model '!E193</f>
        <v>7.5499999999999998E-2</v>
      </c>
      <c r="F193" s="57">
        <f>+'Purchased Power Model '!F193</f>
        <v>30</v>
      </c>
      <c r="G193" s="57">
        <f>+'Purchased Power Model '!G193</f>
        <v>1</v>
      </c>
      <c r="H193" s="191"/>
      <c r="I193" s="193">
        <f t="shared" ca="1" si="6"/>
        <v>26945847.039799105</v>
      </c>
      <c r="J193" s="36"/>
      <c r="K193" s="5"/>
    </row>
    <row r="194" spans="1:11">
      <c r="A194" s="3">
        <v>43435</v>
      </c>
      <c r="C194" s="188">
        <f>+'Purchased Power Model '!C194</f>
        <v>404.30241833269554</v>
      </c>
      <c r="D194" s="188">
        <f ca="1">+'Purchased Power Model '!D194</f>
        <v>0</v>
      </c>
      <c r="E194" s="103">
        <f>+'Purchased Power Model '!E194</f>
        <v>7.5499999999999998E-2</v>
      </c>
      <c r="F194" s="57">
        <f>+'Purchased Power Model '!F194</f>
        <v>31</v>
      </c>
      <c r="G194" s="57">
        <f>+'Purchased Power Model '!G194</f>
        <v>0</v>
      </c>
      <c r="H194" s="191"/>
      <c r="I194" s="193">
        <f t="shared" ca="1" si="6"/>
        <v>25689032.451739769</v>
      </c>
      <c r="J194" s="36"/>
      <c r="K194" s="5"/>
    </row>
    <row r="195" spans="1:11">
      <c r="A195" s="3">
        <v>43466</v>
      </c>
      <c r="C195" s="188">
        <f>+'Purchased Power Model '!C195</f>
        <v>519.7703341876213</v>
      </c>
      <c r="D195" s="188">
        <f ca="1">+'Purchased Power Model '!D195</f>
        <v>0</v>
      </c>
      <c r="E195" s="103">
        <f>+'Purchased Power Model '!E195</f>
        <v>7.5499999999999998E-2</v>
      </c>
      <c r="F195" s="57">
        <f>+'Purchased Power Model '!F195</f>
        <v>31</v>
      </c>
      <c r="G195" s="57">
        <f>+'Purchased Power Model '!G195</f>
        <v>0</v>
      </c>
      <c r="H195" s="191"/>
      <c r="I195" s="193">
        <f t="shared" ca="1" si="6"/>
        <v>27185928.391090874</v>
      </c>
      <c r="J195" s="36"/>
      <c r="K195" s="5"/>
    </row>
    <row r="196" spans="1:11">
      <c r="A196" s="3">
        <v>43497</v>
      </c>
      <c r="C196" s="188">
        <f>+'Purchased Power Model '!C196</f>
        <v>516.47637204376076</v>
      </c>
      <c r="D196" s="188">
        <f ca="1">+'Purchased Power Model '!D196</f>
        <v>0</v>
      </c>
      <c r="E196" s="103">
        <f>+'Purchased Power Model '!E196</f>
        <v>7.5499999999999998E-2</v>
      </c>
      <c r="F196" s="57">
        <f>+'Purchased Power Model '!F196</f>
        <v>28</v>
      </c>
      <c r="G196" s="57">
        <f>+'Purchased Power Model '!G196</f>
        <v>0</v>
      </c>
      <c r="H196" s="191"/>
      <c r="I196" s="193">
        <f t="shared" ref="I196:I206" ca="1" si="11">$N$18+C196*$N$19+D196*$N$20+E196*$N$21+F196*$N$22+G196*$N$23+H196*$N$24</f>
        <v>29576687.19663243</v>
      </c>
      <c r="J196" s="36"/>
      <c r="K196" s="5"/>
    </row>
    <row r="197" spans="1:11">
      <c r="A197" s="3">
        <v>43525</v>
      </c>
      <c r="C197" s="188">
        <f>+'Purchased Power Model '!C197</f>
        <v>460.31009446255047</v>
      </c>
      <c r="D197" s="188">
        <f ca="1">+'Purchased Power Model '!D197</f>
        <v>0</v>
      </c>
      <c r="E197" s="103">
        <f>+'Purchased Power Model '!E197</f>
        <v>7.5499999999999998E-2</v>
      </c>
      <c r="F197" s="57">
        <f>+'Purchased Power Model '!F197</f>
        <v>31</v>
      </c>
      <c r="G197" s="57">
        <f>+'Purchased Power Model '!G197</f>
        <v>1</v>
      </c>
      <c r="H197" s="191"/>
      <c r="I197" s="193">
        <f t="shared" ca="1" si="11"/>
        <v>27018177.820791967</v>
      </c>
      <c r="J197" s="36"/>
      <c r="K197" s="5"/>
    </row>
    <row r="198" spans="1:11">
      <c r="A198" s="3">
        <v>43556</v>
      </c>
      <c r="C198" s="188">
        <f>+'Purchased Power Model '!C198</f>
        <v>309.54798095509119</v>
      </c>
      <c r="D198" s="188">
        <f ca="1">+'Purchased Power Model '!D198</f>
        <v>0</v>
      </c>
      <c r="E198" s="103">
        <f>+'Purchased Power Model '!E198</f>
        <v>7.5499999999999998E-2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3">
        <f t="shared" ca="1" si="11"/>
        <v>25874890.734001312</v>
      </c>
      <c r="J198" s="36"/>
      <c r="K198" s="5"/>
    </row>
    <row r="199" spans="1:11">
      <c r="A199" s="3">
        <v>43586</v>
      </c>
      <c r="C199" s="188">
        <f>+'Purchased Power Model '!C199</f>
        <v>112.67039743358573</v>
      </c>
      <c r="D199" s="188">
        <f ca="1">+'Purchased Power Model '!D199</f>
        <v>4.1180834494630707</v>
      </c>
      <c r="E199" s="103">
        <f>+'Purchased Power Model '!E199</f>
        <v>7.5499999999999998E-2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3">
        <f t="shared" ca="1" si="11"/>
        <v>22713007.653616451</v>
      </c>
      <c r="J199" s="36"/>
      <c r="K199" s="5"/>
    </row>
    <row r="200" spans="1:11">
      <c r="A200" s="3">
        <v>43617</v>
      </c>
      <c r="C200" s="188">
        <f>+'Purchased Power Model '!C200</f>
        <v>36.233583582464981</v>
      </c>
      <c r="D200" s="188">
        <f ca="1">+'Purchased Power Model '!D200</f>
        <v>44.200762357570305</v>
      </c>
      <c r="E200" s="103">
        <f>+'Purchased Power Model '!E200</f>
        <v>7.5499999999999998E-2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3">
        <f t="shared" ca="1" si="11"/>
        <v>23891835.622111954</v>
      </c>
      <c r="J200" s="36"/>
      <c r="K200" s="5"/>
    </row>
    <row r="201" spans="1:11">
      <c r="A201" s="3">
        <v>43647</v>
      </c>
      <c r="C201" s="188">
        <f>+'Purchased Power Model '!C201</f>
        <v>3.7162649828169214</v>
      </c>
      <c r="D201" s="188">
        <f ca="1">+'Purchased Power Model '!D201</f>
        <v>150.99639314697927</v>
      </c>
      <c r="E201" s="103">
        <f>+'Purchased Power Model '!E201</f>
        <v>7.5499999999999998E-2</v>
      </c>
      <c r="F201" s="57">
        <f>+'Purchased Power Model '!F201</f>
        <v>31</v>
      </c>
      <c r="G201" s="57">
        <f>+'Purchased Power Model '!G201</f>
        <v>0</v>
      </c>
      <c r="H201" s="191"/>
      <c r="I201" s="193">
        <f t="shared" ca="1" si="11"/>
        <v>27885744.560971495</v>
      </c>
      <c r="J201" s="36"/>
      <c r="K201" s="5"/>
    </row>
    <row r="202" spans="1:11">
      <c r="A202" s="3">
        <v>43678</v>
      </c>
      <c r="C202" s="188">
        <f>+'Purchased Power Model '!C202</f>
        <v>9.290662457042302</v>
      </c>
      <c r="D202" s="188">
        <f ca="1">+'Purchased Power Model '!D202</f>
        <v>79.479010574637257</v>
      </c>
      <c r="E202" s="103">
        <f>+'Purchased Power Model '!E202</f>
        <v>7.5499999999999998E-2</v>
      </c>
      <c r="F202" s="57">
        <f>+'Purchased Power Model '!F202</f>
        <v>31</v>
      </c>
      <c r="G202" s="57">
        <f>+'Purchased Power Model '!G202</f>
        <v>0</v>
      </c>
      <c r="H202" s="191"/>
      <c r="I202" s="193">
        <f t="shared" ca="1" si="11"/>
        <v>24457928.516317051</v>
      </c>
      <c r="J202" s="36"/>
      <c r="K202" s="5"/>
    </row>
    <row r="203" spans="1:11">
      <c r="A203" s="3">
        <v>43709</v>
      </c>
      <c r="C203" s="188">
        <f>+'Purchased Power Model '!C203</f>
        <v>81.58890848638967</v>
      </c>
      <c r="D203" s="188">
        <f ca="1">+'Purchased Power Model '!D203</f>
        <v>21.551303385523408</v>
      </c>
      <c r="E203" s="103">
        <f>+'Purchased Power Model '!E203</f>
        <v>7.5499999999999998E-2</v>
      </c>
      <c r="F203" s="57">
        <f>+'Purchased Power Model '!F203</f>
        <v>30</v>
      </c>
      <c r="G203" s="57">
        <f>+'Purchased Power Model '!G203</f>
        <v>1</v>
      </c>
      <c r="H203" s="191"/>
      <c r="I203" s="193">
        <f t="shared" ca="1" si="11"/>
        <v>23974415.713499684</v>
      </c>
      <c r="J203" s="36"/>
      <c r="K203" s="5"/>
    </row>
    <row r="204" spans="1:11">
      <c r="A204" s="3">
        <v>43739</v>
      </c>
      <c r="C204" s="188">
        <f>+'Purchased Power Model '!C204</f>
        <v>186.65785481875898</v>
      </c>
      <c r="D204" s="188">
        <f ca="1">+'Purchased Power Model '!D204</f>
        <v>4.1180834494630707</v>
      </c>
      <c r="E204" s="103">
        <f>+'Purchased Power Model '!E204</f>
        <v>7.5499999999999998E-2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3">
        <f t="shared" ca="1" si="11"/>
        <v>23672161.750256829</v>
      </c>
      <c r="J204" s="36"/>
      <c r="K204" s="5"/>
    </row>
    <row r="205" spans="1:11">
      <c r="A205" s="3">
        <v>43770</v>
      </c>
      <c r="C205" s="188">
        <f>+'Purchased Power Model '!C205</f>
        <v>387.33616389087268</v>
      </c>
      <c r="D205" s="188">
        <f ca="1">+'Purchased Power Model '!D205</f>
        <v>0</v>
      </c>
      <c r="E205" s="103">
        <f>+'Purchased Power Model '!E205</f>
        <v>7.5499999999999998E-2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3">
        <f t="shared" ca="1" si="11"/>
        <v>26883316.445195135</v>
      </c>
      <c r="J205" s="36"/>
      <c r="K205" s="5"/>
    </row>
    <row r="206" spans="1:11">
      <c r="A206" s="3">
        <v>43800</v>
      </c>
      <c r="C206" s="188">
        <f>+'Purchased Power Model '!C206</f>
        <v>399.32956451723641</v>
      </c>
      <c r="D206" s="188">
        <f ca="1">+'Purchased Power Model '!D206</f>
        <v>0</v>
      </c>
      <c r="E206" s="103">
        <f>+'Purchased Power Model '!E206</f>
        <v>7.5499999999999998E-2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3">
        <f t="shared" ca="1" si="11"/>
        <v>25624565.672130618</v>
      </c>
      <c r="J206" s="36"/>
      <c r="K206" s="5"/>
    </row>
    <row r="207" spans="1:11">
      <c r="A207" s="3"/>
      <c r="I207" s="11"/>
      <c r="J207" s="11"/>
      <c r="K207" s="11"/>
    </row>
    <row r="208" spans="1:11">
      <c r="A208" s="3"/>
      <c r="C208" s="18"/>
      <c r="D208" s="63" t="s">
        <v>60</v>
      </c>
      <c r="I208" s="47">
        <f ca="1">SUM(I3:I206)</f>
        <v>7034716352.2249289</v>
      </c>
    </row>
    <row r="209" spans="1:11">
      <c r="A209" s="3"/>
      <c r="C209" s="23"/>
      <c r="D209" s="23"/>
      <c r="F209" s="180"/>
      <c r="G209" s="180"/>
      <c r="H209"/>
      <c r="I209" s="180"/>
      <c r="J209" s="36"/>
      <c r="K209" s="5" t="s">
        <v>196</v>
      </c>
    </row>
    <row r="210" spans="1:11">
      <c r="A210" s="16">
        <v>2003</v>
      </c>
      <c r="B210" s="6">
        <f>SUM(B3:B14)</f>
        <v>457662445</v>
      </c>
      <c r="C210" s="107"/>
      <c r="D210" s="23" t="s">
        <v>195</v>
      </c>
      <c r="E210" s="108" t="s">
        <v>107</v>
      </c>
      <c r="F210" s="180"/>
      <c r="G210" s="180"/>
      <c r="H210"/>
      <c r="I210" s="6">
        <f>SUM(I3:I14)</f>
        <v>469643089.17177778</v>
      </c>
      <c r="J210" s="36">
        <f>I210-B210</f>
        <v>11980644.171777785</v>
      </c>
      <c r="K210" s="5">
        <f>J210/B210</f>
        <v>2.6177905359435347E-2</v>
      </c>
    </row>
    <row r="211" spans="1:11">
      <c r="A211">
        <v>2004</v>
      </c>
      <c r="B211" s="6">
        <f>SUM(B15:B26)</f>
        <v>448166680</v>
      </c>
      <c r="C211" s="107">
        <f>+B211-B210</f>
        <v>-9495765</v>
      </c>
      <c r="D211" s="109">
        <f>+C211/B210</f>
        <v>-2.0748403334689171E-2</v>
      </c>
      <c r="E211" s="109">
        <f>RATE(1,0,-B$210,B211)</f>
        <v>-2.0748403334689181E-2</v>
      </c>
      <c r="F211" s="180"/>
      <c r="G211" s="180"/>
      <c r="H211"/>
      <c r="I211" s="6">
        <f>SUM(I15:I26)</f>
        <v>466191746.26200879</v>
      </c>
      <c r="J211" s="36">
        <f t="shared" ref="J211:J226" si="12">I211-B211</f>
        <v>18025066.262008786</v>
      </c>
      <c r="K211" s="5">
        <f t="shared" ref="K211:K226" si="13">J211/B211</f>
        <v>4.0219559075674226E-2</v>
      </c>
    </row>
    <row r="212" spans="1:11">
      <c r="A212" s="16">
        <v>2005</v>
      </c>
      <c r="B212" s="6">
        <f>SUM(B27:B38)</f>
        <v>486004701</v>
      </c>
      <c r="C212" s="107">
        <f t="shared" ref="C212:C226" si="14">+B212-B211</f>
        <v>37838021</v>
      </c>
      <c r="D212" s="109">
        <f t="shared" ref="D212:D226" si="15">+C212/B211</f>
        <v>8.4428456394839521E-2</v>
      </c>
      <c r="E212" s="109">
        <f>RATE(2,0,-B$210,B212)</f>
        <v>3.0499052592453797E-2</v>
      </c>
      <c r="F212" s="180"/>
      <c r="G212" s="180"/>
      <c r="H212"/>
      <c r="I212" s="6">
        <f>SUM(I27:I38)</f>
        <v>476676536.2830587</v>
      </c>
      <c r="J212" s="36">
        <f t="shared" si="12"/>
        <v>-9328164.7169412971</v>
      </c>
      <c r="K212" s="5">
        <f t="shared" si="13"/>
        <v>-1.9193568905296037E-2</v>
      </c>
    </row>
    <row r="213" spans="1:11">
      <c r="A213">
        <v>2006</v>
      </c>
      <c r="B213" s="6">
        <f>SUM(B39:B50)</f>
        <v>466443961</v>
      </c>
      <c r="C213" s="107">
        <f t="shared" si="14"/>
        <v>-19560740</v>
      </c>
      <c r="D213" s="109">
        <f t="shared" si="15"/>
        <v>-4.0248046901093661E-2</v>
      </c>
      <c r="E213" s="109">
        <f>RATE(3,0,-B$210,B213)</f>
        <v>6.3554419470238047E-3</v>
      </c>
      <c r="F213" s="180"/>
      <c r="G213" s="180"/>
      <c r="H213"/>
      <c r="I213" s="6">
        <f>SUM(I39:I50)</f>
        <v>467975974.88393551</v>
      </c>
      <c r="J213" s="36">
        <f t="shared" si="12"/>
        <v>1532013.8839355111</v>
      </c>
      <c r="K213" s="5">
        <f t="shared" si="13"/>
        <v>3.2844543225536821E-3</v>
      </c>
    </row>
    <row r="214" spans="1:11">
      <c r="A214" s="16">
        <v>2007</v>
      </c>
      <c r="B214" s="6">
        <f>SUM(B51:B62)</f>
        <v>473064563</v>
      </c>
      <c r="C214" s="107">
        <f t="shared" si="14"/>
        <v>6620602</v>
      </c>
      <c r="D214" s="109">
        <f t="shared" si="15"/>
        <v>1.419377793166455E-2</v>
      </c>
      <c r="E214" s="109">
        <f>RATE(4,0,-B$210,B214)</f>
        <v>8.3093282314549311E-3</v>
      </c>
      <c r="F214" s="180"/>
      <c r="G214" s="180"/>
      <c r="H214"/>
      <c r="I214" s="6">
        <f>SUM(I51:I62)</f>
        <v>461830240.8940568</v>
      </c>
      <c r="J214" s="36">
        <f t="shared" si="12"/>
        <v>-11234322.105943203</v>
      </c>
      <c r="K214" s="5">
        <f t="shared" si="13"/>
        <v>-2.3747968003985119E-2</v>
      </c>
    </row>
    <row r="215" spans="1:11">
      <c r="A215">
        <v>2008</v>
      </c>
      <c r="B215" s="6">
        <f>SUM(B63:B74)</f>
        <v>470758084</v>
      </c>
      <c r="C215" s="107">
        <f t="shared" si="14"/>
        <v>-2306479</v>
      </c>
      <c r="D215" s="109">
        <f t="shared" si="15"/>
        <v>-4.8756114501013678E-3</v>
      </c>
      <c r="E215" s="109">
        <f>RATE(5,0,-B$210,B215)</f>
        <v>5.6584382776635215E-3</v>
      </c>
      <c r="F215" s="180"/>
      <c r="G215" s="180"/>
      <c r="H215"/>
      <c r="I215" s="6">
        <f>SUM(I63:I74)</f>
        <v>453472627.45208871</v>
      </c>
      <c r="J215" s="36">
        <f t="shared" si="12"/>
        <v>-17285456.547911286</v>
      </c>
      <c r="K215" s="5">
        <f t="shared" si="13"/>
        <v>-3.6718342468042009E-2</v>
      </c>
    </row>
    <row r="216" spans="1:11">
      <c r="A216" s="16">
        <v>2009</v>
      </c>
      <c r="B216" s="6">
        <f>SUM(B75:B86)</f>
        <v>468014611</v>
      </c>
      <c r="C216" s="107">
        <f t="shared" si="14"/>
        <v>-2743473</v>
      </c>
      <c r="D216" s="109">
        <f t="shared" si="15"/>
        <v>-5.8277767142921755E-3</v>
      </c>
      <c r="E216" s="109">
        <f>RATE(6,0,-B$210,B216)</f>
        <v>3.734894531315652E-3</v>
      </c>
      <c r="F216" s="180"/>
      <c r="G216" s="180"/>
      <c r="H216"/>
      <c r="I216" s="6">
        <f>SUM(I75:I86)</f>
        <v>468102268.75459218</v>
      </c>
      <c r="J216" s="36">
        <f t="shared" si="12"/>
        <v>87657.754592180252</v>
      </c>
      <c r="K216" s="5">
        <f t="shared" si="13"/>
        <v>1.8729704699792002E-4</v>
      </c>
    </row>
    <row r="217" spans="1:11">
      <c r="A217">
        <v>2010</v>
      </c>
      <c r="B217" s="6">
        <f>SUM(B87:B98)</f>
        <v>476976847</v>
      </c>
      <c r="C217" s="107">
        <f t="shared" si="14"/>
        <v>8962236</v>
      </c>
      <c r="D217" s="109">
        <f t="shared" si="15"/>
        <v>1.9149479074703504E-2</v>
      </c>
      <c r="E217" s="109">
        <f>RATE(7,0,-B$210,B217)</f>
        <v>5.9226209462114668E-3</v>
      </c>
      <c r="F217" s="180"/>
      <c r="G217" s="180"/>
      <c r="H217"/>
      <c r="I217" s="6">
        <f>SUM(I87:I98)</f>
        <v>474619033.8914144</v>
      </c>
      <c r="J217" s="36">
        <f t="shared" si="12"/>
        <v>-2357813.1085855961</v>
      </c>
      <c r="K217" s="5">
        <f t="shared" si="13"/>
        <v>-4.9432443595854372E-3</v>
      </c>
    </row>
    <row r="218" spans="1:11">
      <c r="A218">
        <v>2011</v>
      </c>
      <c r="B218" s="6">
        <f>SUM(B99:B110)</f>
        <v>484617834</v>
      </c>
      <c r="C218" s="107">
        <f t="shared" si="14"/>
        <v>7640987</v>
      </c>
      <c r="D218" s="109">
        <f t="shared" si="15"/>
        <v>1.6019618243650304E-2</v>
      </c>
      <c r="E218" s="109">
        <f>RATE(8,0,-B$210,B218)</f>
        <v>7.1792376013294331E-3</v>
      </c>
      <c r="F218" s="180"/>
      <c r="G218" s="180"/>
      <c r="H218"/>
      <c r="I218" s="6">
        <f>SUM(I99:I110)</f>
        <v>481845286.17119974</v>
      </c>
      <c r="J218" s="36">
        <f t="shared" si="12"/>
        <v>-2772547.828800261</v>
      </c>
      <c r="K218" s="5">
        <f t="shared" si="13"/>
        <v>-5.7211015242997869E-3</v>
      </c>
    </row>
    <row r="219" spans="1:11">
      <c r="A219">
        <v>2012</v>
      </c>
      <c r="B219" s="6">
        <f>SUM(B111:B122)</f>
        <v>473324280</v>
      </c>
      <c r="C219" s="107">
        <f t="shared" si="14"/>
        <v>-11293554</v>
      </c>
      <c r="D219" s="109">
        <f t="shared" si="15"/>
        <v>-2.3304041262336209E-2</v>
      </c>
      <c r="E219" s="109">
        <f>RATE(9,0,-B$210,B219)</f>
        <v>3.7457581328207484E-3</v>
      </c>
      <c r="F219" s="180"/>
      <c r="G219" s="180"/>
      <c r="H219"/>
      <c r="I219" s="6">
        <f>SUM(I111:I122)</f>
        <v>478837451.38964772</v>
      </c>
      <c r="J219" s="36">
        <f t="shared" si="12"/>
        <v>5513171.3896477222</v>
      </c>
      <c r="K219" s="5">
        <f t="shared" si="13"/>
        <v>1.1647767973465723E-2</v>
      </c>
    </row>
    <row r="220" spans="1:11">
      <c r="A220">
        <v>2013</v>
      </c>
      <c r="B220" s="6">
        <f>SUM(B123:B134)</f>
        <v>475318261</v>
      </c>
      <c r="C220" s="107">
        <f t="shared" si="14"/>
        <v>1993981</v>
      </c>
      <c r="D220" s="109">
        <f t="shared" si="15"/>
        <v>4.2127164911126046E-3</v>
      </c>
      <c r="E220" s="109">
        <f>RATE(10,0,-B$210,B220)</f>
        <v>3.7924441958913282E-3</v>
      </c>
      <c r="F220" s="180"/>
      <c r="G220" s="180"/>
      <c r="H220"/>
      <c r="I220" s="6">
        <f ca="1">SUM(I123:I134)</f>
        <v>481158011.84621924</v>
      </c>
      <c r="J220" s="36">
        <f t="shared" ca="1" si="12"/>
        <v>5839750.8462192416</v>
      </c>
      <c r="K220" s="5">
        <f t="shared" ca="1" si="13"/>
        <v>1.228598041643353E-2</v>
      </c>
    </row>
    <row r="221" spans="1:11">
      <c r="A221">
        <v>2014</v>
      </c>
      <c r="B221" s="6">
        <f ca="1">+I221</f>
        <v>309633086.20630342</v>
      </c>
      <c r="C221" s="107">
        <f t="shared" ca="1" si="14"/>
        <v>-165685174.79369658</v>
      </c>
      <c r="D221" s="109">
        <f t="shared" ca="1" si="15"/>
        <v>-0.34857733941279523</v>
      </c>
      <c r="E221" s="109">
        <f ca="1">RATE(11,0,-B$210,B221)</f>
        <v>-3.4898663982582984E-2</v>
      </c>
      <c r="F221" s="103"/>
      <c r="G221" s="180"/>
      <c r="H221"/>
      <c r="I221" s="6">
        <f ca="1">SUM(I135:I146)</f>
        <v>309633086.20630342</v>
      </c>
      <c r="J221" s="36">
        <f t="shared" ca="1" si="12"/>
        <v>0</v>
      </c>
      <c r="K221" s="5">
        <f t="shared" ca="1" si="13"/>
        <v>0</v>
      </c>
    </row>
    <row r="222" spans="1:11">
      <c r="A222">
        <v>2015</v>
      </c>
      <c r="B222" s="6">
        <f t="shared" ref="B222:B226" ca="1" si="16">+I222</f>
        <v>309458200.98036605</v>
      </c>
      <c r="C222" s="107">
        <f t="shared" ca="1" si="14"/>
        <v>-174885.22593736649</v>
      </c>
      <c r="D222" s="109">
        <f t="shared" ca="1" si="15"/>
        <v>-5.6481440042503511E-4</v>
      </c>
      <c r="E222" s="109">
        <f ca="1">RATE(12,0,-B$210,B222)</f>
        <v>-3.2083128482992621E-2</v>
      </c>
      <c r="F222" s="103"/>
      <c r="G222" s="180"/>
      <c r="H222"/>
      <c r="I222" s="6">
        <f ca="1">SUM(I147:I158)</f>
        <v>309458200.98036605</v>
      </c>
      <c r="J222" s="36">
        <f t="shared" ca="1" si="12"/>
        <v>0</v>
      </c>
      <c r="K222" s="5">
        <f t="shared" ca="1" si="13"/>
        <v>0</v>
      </c>
    </row>
    <row r="223" spans="1:11">
      <c r="A223">
        <v>2016</v>
      </c>
      <c r="B223" s="6">
        <f t="shared" ca="1" si="16"/>
        <v>308472162.1305992</v>
      </c>
      <c r="C223" s="107">
        <f t="shared" ca="1" si="14"/>
        <v>-986038.84976685047</v>
      </c>
      <c r="D223" s="109">
        <f t="shared" ca="1" si="15"/>
        <v>-3.1863393719832648E-3</v>
      </c>
      <c r="E223" s="109">
        <f ca="1">RATE(13,0,-B$210,B223)</f>
        <v>-2.9890353387254261E-2</v>
      </c>
      <c r="F223" s="103"/>
      <c r="G223" s="180"/>
      <c r="H223"/>
      <c r="I223" s="6">
        <f ca="1">SUM(I159:I170)</f>
        <v>308472162.1305992</v>
      </c>
      <c r="J223" s="36">
        <f t="shared" ca="1" si="12"/>
        <v>0</v>
      </c>
      <c r="K223" s="5">
        <f t="shared" ca="1" si="13"/>
        <v>0</v>
      </c>
    </row>
    <row r="224" spans="1:11">
      <c r="A224">
        <v>2017</v>
      </c>
      <c r="B224" s="6">
        <f t="shared" ca="1" si="16"/>
        <v>309108430.5284909</v>
      </c>
      <c r="C224" s="107">
        <f t="shared" ca="1" si="14"/>
        <v>636268.39789170027</v>
      </c>
      <c r="D224" s="109">
        <f t="shared" ca="1" si="15"/>
        <v>2.0626444652153751E-3</v>
      </c>
      <c r="E224" s="109">
        <f ca="1">RATE(14,0,-B$210,B224)</f>
        <v>-2.7642177488517071E-2</v>
      </c>
      <c r="F224" s="103"/>
      <c r="G224" s="180"/>
      <c r="H224"/>
      <c r="I224" s="6">
        <f ca="1">SUM(I171:I182)</f>
        <v>309108430.5284909</v>
      </c>
      <c r="J224" s="36">
        <f t="shared" ca="1" si="12"/>
        <v>0</v>
      </c>
      <c r="K224" s="5">
        <f t="shared" ca="1" si="13"/>
        <v>0</v>
      </c>
    </row>
    <row r="225" spans="1:11">
      <c r="A225">
        <v>2018</v>
      </c>
      <c r="B225" s="6">
        <f t="shared" ca="1" si="16"/>
        <v>308933545.30255336</v>
      </c>
      <c r="C225" s="107">
        <f t="shared" ca="1" si="14"/>
        <v>-174885.2259375453</v>
      </c>
      <c r="D225" s="109">
        <f t="shared" ca="1" si="15"/>
        <v>-5.6577307075882522E-4</v>
      </c>
      <c r="E225" s="109">
        <f ca="1">RATE(15,0,-B$210,B225)</f>
        <v>-2.5860128272894009E-2</v>
      </c>
      <c r="F225" s="103"/>
      <c r="G225" s="180"/>
      <c r="H225"/>
      <c r="I225" s="6">
        <f ca="1">SUM(I183:I194)</f>
        <v>308933545.30255336</v>
      </c>
      <c r="J225" s="36">
        <f t="shared" ca="1" si="12"/>
        <v>0</v>
      </c>
      <c r="K225" s="5">
        <f t="shared" ca="1" si="13"/>
        <v>0</v>
      </c>
    </row>
    <row r="226" spans="1:11">
      <c r="A226">
        <v>2019</v>
      </c>
      <c r="B226" s="6">
        <f t="shared" ca="1" si="16"/>
        <v>308758660.07661581</v>
      </c>
      <c r="C226" s="107">
        <f t="shared" ca="1" si="14"/>
        <v>-174885.2259375453</v>
      </c>
      <c r="D226" s="109">
        <f t="shared" ca="1" si="15"/>
        <v>-5.6609335113243155E-4</v>
      </c>
      <c r="E226" s="109">
        <f ca="1">RATE(16,0,-B$210,B226)</f>
        <v>-2.4298175833192867E-2</v>
      </c>
      <c r="F226" s="103"/>
      <c r="G226" s="180"/>
      <c r="H226"/>
      <c r="I226" s="6">
        <f ca="1">SUM(I195:I206)</f>
        <v>308758660.07661581</v>
      </c>
      <c r="J226" s="36">
        <f t="shared" ca="1" si="12"/>
        <v>0</v>
      </c>
      <c r="K226" s="5">
        <f t="shared" ca="1" si="13"/>
        <v>0</v>
      </c>
    </row>
    <row r="227" spans="1:11">
      <c r="C227" s="101"/>
      <c r="D227" s="180"/>
      <c r="F227" s="180"/>
      <c r="G227" s="180"/>
      <c r="H227"/>
      <c r="J227" s="180"/>
      <c r="K227" s="180"/>
    </row>
    <row r="228" spans="1:11">
      <c r="A228" t="s">
        <v>9</v>
      </c>
      <c r="B228" s="6">
        <f ca="1">SUM(B210:B226)</f>
        <v>7034716352.2249279</v>
      </c>
      <c r="C228" s="101"/>
      <c r="D228" s="180"/>
      <c r="F228" s="180"/>
      <c r="G228" s="180"/>
      <c r="H228"/>
      <c r="I228" s="6">
        <f ca="1">SUM(I210:I226)</f>
        <v>7034716352.2249279</v>
      </c>
      <c r="J228" s="184">
        <f ca="1">I228-B228</f>
        <v>0</v>
      </c>
      <c r="K228" s="180"/>
    </row>
    <row r="229" spans="1:11">
      <c r="C229" s="180"/>
      <c r="D229" s="180"/>
      <c r="F229" s="180"/>
      <c r="G229" s="180"/>
      <c r="H229"/>
      <c r="I229" s="180"/>
      <c r="J229" s="62"/>
      <c r="K229" s="180"/>
    </row>
    <row r="230" spans="1:11">
      <c r="C230" s="180"/>
      <c r="D230" s="180"/>
      <c r="F230" s="180"/>
      <c r="G230" s="180"/>
      <c r="H230"/>
      <c r="I230" s="6">
        <f ca="1">SUM(I210:I226)</f>
        <v>7034716352.2249279</v>
      </c>
      <c r="J230" s="184">
        <f ca="1">I208-I230</f>
        <v>0</v>
      </c>
      <c r="K230" s="180"/>
    </row>
    <row r="231" spans="1:11">
      <c r="C231" s="180"/>
      <c r="D231" s="180"/>
      <c r="F231" s="180"/>
      <c r="G231" s="180"/>
      <c r="H231"/>
      <c r="I231" s="23"/>
      <c r="J231" s="185" t="s">
        <v>69</v>
      </c>
      <c r="K231" s="18"/>
    </row>
    <row r="233" spans="1:11">
      <c r="I233" s="11"/>
      <c r="J233" s="11"/>
      <c r="K233" s="11"/>
    </row>
    <row r="245" spans="9:11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44"/>
  <sheetViews>
    <sheetView workbookViewId="0"/>
  </sheetViews>
  <sheetFormatPr defaultRowHeight="13.2"/>
  <cols>
    <col min="1" max="1" width="11.88671875" customWidth="1"/>
    <col min="2" max="2" width="18" style="6" customWidth="1"/>
    <col min="3" max="3" width="12.33203125" style="1" bestFit="1" customWidth="1"/>
    <col min="4" max="4" width="13.44140625" style="1" customWidth="1"/>
    <col min="5" max="5" width="14.44140625" style="34" customWidth="1"/>
    <col min="6" max="6" width="10.109375" style="1" customWidth="1"/>
    <col min="7" max="8" width="12.44140625" style="1" customWidth="1"/>
    <col min="9" max="9" width="14" style="6" bestFit="1" customWidth="1"/>
    <col min="10" max="10" width="18.109375" style="6" customWidth="1"/>
    <col min="11" max="11" width="11.5546875" style="6" customWidth="1"/>
    <col min="12" max="12" width="9.33203125" style="6" customWidth="1"/>
    <col min="13" max="13" width="27.33203125" style="6" bestFit="1" customWidth="1"/>
    <col min="14" max="14" width="14.109375" style="6" bestFit="1" customWidth="1"/>
    <col min="15" max="15" width="22.6640625" style="6" bestFit="1" customWidth="1"/>
    <col min="16" max="16" width="20.5546875" style="6" bestFit="1" customWidth="1"/>
    <col min="17" max="17" width="9.5546875" style="6" bestFit="1" customWidth="1"/>
    <col min="18" max="18" width="14.5546875" bestFit="1" customWidth="1"/>
    <col min="19" max="19" width="14.109375" bestFit="1" customWidth="1"/>
    <col min="20" max="20" width="14.5546875" bestFit="1" customWidth="1"/>
    <col min="21" max="21" width="14.109375" bestFit="1" customWidth="1"/>
  </cols>
  <sheetData>
    <row r="2" spans="1:18" ht="42" customHeight="1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80"/>
      <c r="M2" t="s">
        <v>18</v>
      </c>
      <c r="N2"/>
      <c r="O2"/>
      <c r="P2"/>
      <c r="Q2"/>
    </row>
    <row r="3" spans="1:18" ht="13.8" thickBot="1">
      <c r="A3" s="3">
        <v>37622</v>
      </c>
      <c r="B3" s="59">
        <v>11396944.435770413</v>
      </c>
      <c r="C3" s="186">
        <f>+'Purchased Power Model '!C3</f>
        <v>786</v>
      </c>
      <c r="D3" s="186">
        <f>+'Purchased Power Model '!D3</f>
        <v>0</v>
      </c>
      <c r="E3" s="103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3723.4166666666665</v>
      </c>
      <c r="I3" s="193">
        <f>$N$18+C3*$N$19+D3*$N$20+E3*$N$21+F3*$N$22+G3*$N$23+H3*$N$24</f>
        <v>11328947.639374331</v>
      </c>
      <c r="J3" s="36">
        <f>I3-B3</f>
        <v>-67996.796396082267</v>
      </c>
      <c r="K3" s="5">
        <f>J3/B3</f>
        <v>-5.9662304031831322E-3</v>
      </c>
      <c r="M3"/>
      <c r="N3"/>
      <c r="O3"/>
      <c r="P3"/>
      <c r="Q3"/>
    </row>
    <row r="4" spans="1:18">
      <c r="A4" s="3">
        <v>37653</v>
      </c>
      <c r="B4" s="59">
        <v>11214225.542405957</v>
      </c>
      <c r="C4" s="186">
        <f>+'Purchased Power Model '!C4</f>
        <v>686.5</v>
      </c>
      <c r="D4" s="186">
        <f>+'Purchased Power Model '!D4</f>
        <v>0</v>
      </c>
      <c r="E4" s="103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3745.833333333333</v>
      </c>
      <c r="I4" s="193">
        <f t="shared" ref="I4:I67" si="0">$N$18+C4*$N$19+D4*$N$20+E4*$N$21+F4*$N$22+G4*$N$23+H4*$N$24</f>
        <v>12033515.27635368</v>
      </c>
      <c r="J4" s="36">
        <f t="shared" ref="J4:J67" si="1">I4-B4</f>
        <v>819289.73394772224</v>
      </c>
      <c r="K4" s="5">
        <f t="shared" ref="K4:K67" si="2">J4/B4</f>
        <v>7.3058075285682866E-2</v>
      </c>
      <c r="M4" s="53" t="s">
        <v>19</v>
      </c>
      <c r="N4" s="53"/>
      <c r="O4"/>
      <c r="P4"/>
      <c r="Q4"/>
    </row>
    <row r="5" spans="1:18">
      <c r="A5" s="3">
        <v>37681</v>
      </c>
      <c r="B5" s="59">
        <v>11886519.02182363</v>
      </c>
      <c r="C5" s="186">
        <f>+'Purchased Power Model '!C5</f>
        <v>572.5</v>
      </c>
      <c r="D5" s="186">
        <f>+'Purchased Power Model '!D5</f>
        <v>0</v>
      </c>
      <c r="E5" s="103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3768.2499999999995</v>
      </c>
      <c r="I5" s="193">
        <f t="shared" si="0"/>
        <v>11076664.462691626</v>
      </c>
      <c r="J5" s="36">
        <f t="shared" si="1"/>
        <v>-809854.55913200416</v>
      </c>
      <c r="K5" s="5">
        <f t="shared" si="2"/>
        <v>-6.8132188880959385E-2</v>
      </c>
      <c r="M5" s="35" t="s">
        <v>20</v>
      </c>
      <c r="N5" s="95">
        <v>0.31915963830595173</v>
      </c>
      <c r="O5"/>
      <c r="P5"/>
      <c r="Q5"/>
    </row>
    <row r="6" spans="1:18">
      <c r="A6" s="3">
        <v>37712</v>
      </c>
      <c r="B6" s="59">
        <v>9634741</v>
      </c>
      <c r="C6" s="186">
        <f>+'Purchased Power Model '!C6</f>
        <v>403.9</v>
      </c>
      <c r="D6" s="186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3790.6666666666661</v>
      </c>
      <c r="I6" s="193">
        <f t="shared" si="0"/>
        <v>11103966.224444807</v>
      </c>
      <c r="J6" s="36">
        <f t="shared" si="1"/>
        <v>1469225.2244448066</v>
      </c>
      <c r="K6" s="5">
        <f t="shared" si="2"/>
        <v>0.15249244628836484</v>
      </c>
      <c r="M6" s="35" t="s">
        <v>21</v>
      </c>
      <c r="N6" s="95">
        <v>0.10186287472358595</v>
      </c>
      <c r="O6"/>
      <c r="P6"/>
      <c r="Q6"/>
    </row>
    <row r="7" spans="1:18">
      <c r="A7" s="3">
        <v>37742</v>
      </c>
      <c r="B7" s="59">
        <v>11917377</v>
      </c>
      <c r="C7" s="186">
        <f>+'Purchased Power Model '!C7</f>
        <v>192</v>
      </c>
      <c r="D7" s="186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3813.0833333333326</v>
      </c>
      <c r="I7" s="193">
        <f t="shared" si="0"/>
        <v>10530672.119992744</v>
      </c>
      <c r="J7" s="36">
        <f t="shared" si="1"/>
        <v>-1386704.8800072558</v>
      </c>
      <c r="K7" s="5">
        <f t="shared" si="2"/>
        <v>-0.11635990705062496</v>
      </c>
      <c r="M7" s="35" t="s">
        <v>22</v>
      </c>
      <c r="N7" s="95">
        <v>5.8752292710318073E-2</v>
      </c>
      <c r="O7"/>
      <c r="P7"/>
      <c r="Q7"/>
    </row>
    <row r="8" spans="1:18">
      <c r="A8" s="3">
        <v>37773</v>
      </c>
      <c r="B8" s="59">
        <v>9459075</v>
      </c>
      <c r="C8" s="186">
        <f>+'Purchased Power Model '!C8</f>
        <v>55.1</v>
      </c>
      <c r="D8" s="186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3835.4999999999991</v>
      </c>
      <c r="I8" s="193">
        <f t="shared" si="0"/>
        <v>10779476.849590577</v>
      </c>
      <c r="J8" s="36">
        <f t="shared" si="1"/>
        <v>1320401.8495905772</v>
      </c>
      <c r="K8" s="5">
        <f t="shared" si="2"/>
        <v>0.13959101176283908</v>
      </c>
      <c r="M8" s="35" t="s">
        <v>23</v>
      </c>
      <c r="N8" s="67">
        <v>1368442.7038273278</v>
      </c>
      <c r="O8"/>
      <c r="P8"/>
      <c r="Q8"/>
    </row>
    <row r="9" spans="1:18" ht="13.8" thickBot="1">
      <c r="A9" s="3">
        <v>37803</v>
      </c>
      <c r="B9" s="59">
        <v>10609374</v>
      </c>
      <c r="C9" s="186">
        <f>+'Purchased Power Model '!C9</f>
        <v>5.7</v>
      </c>
      <c r="D9" s="186">
        <f>+'Purchased Power Model '!D9</f>
        <v>59.1</v>
      </c>
      <c r="E9" s="103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3857.9166666666656</v>
      </c>
      <c r="I9" s="193">
        <f t="shared" si="0"/>
        <v>10620804.220034033</v>
      </c>
      <c r="J9" s="36">
        <f t="shared" si="1"/>
        <v>11430.22003403306</v>
      </c>
      <c r="K9" s="5">
        <f t="shared" si="2"/>
        <v>1.0773698838435763E-3</v>
      </c>
      <c r="M9" s="51" t="s">
        <v>24</v>
      </c>
      <c r="N9" s="68">
        <v>132</v>
      </c>
      <c r="O9"/>
      <c r="P9"/>
      <c r="Q9"/>
    </row>
    <row r="10" spans="1:18">
      <c r="A10" s="3">
        <v>37834</v>
      </c>
      <c r="B10" s="59">
        <v>8646885</v>
      </c>
      <c r="C10" s="186">
        <f>+'Purchased Power Model '!C10</f>
        <v>10.4</v>
      </c>
      <c r="D10" s="186">
        <f>+'Purchased Power Model '!D10</f>
        <v>106.5</v>
      </c>
      <c r="E10" s="103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3880.3333333333321</v>
      </c>
      <c r="I10" s="193">
        <f t="shared" si="0"/>
        <v>10915049.088613972</v>
      </c>
      <c r="J10" s="36">
        <f t="shared" si="1"/>
        <v>2268164.0886139721</v>
      </c>
      <c r="K10" s="5">
        <f t="shared" si="2"/>
        <v>0.26230996348557567</v>
      </c>
      <c r="M10"/>
      <c r="N10"/>
      <c r="O10"/>
      <c r="P10"/>
      <c r="Q10"/>
    </row>
    <row r="11" spans="1:18" ht="13.8" thickBot="1">
      <c r="A11" s="3">
        <v>37865</v>
      </c>
      <c r="B11" s="59">
        <v>10960006</v>
      </c>
      <c r="C11" s="186">
        <f>+'Purchased Power Model '!C11</f>
        <v>55.2</v>
      </c>
      <c r="D11" s="186">
        <f>+'Purchased Power Model '!D11</f>
        <v>12.1</v>
      </c>
      <c r="E11" s="103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3902.7499999999986</v>
      </c>
      <c r="I11" s="193">
        <f t="shared" si="0"/>
        <v>10825437.502854211</v>
      </c>
      <c r="J11" s="36">
        <f t="shared" si="1"/>
        <v>-134568.49714578874</v>
      </c>
      <c r="K11" s="5">
        <f t="shared" si="2"/>
        <v>-1.2278140828188301E-2</v>
      </c>
      <c r="M11" t="s">
        <v>25</v>
      </c>
      <c r="N11"/>
      <c r="O11"/>
      <c r="P11"/>
      <c r="Q11"/>
    </row>
    <row r="12" spans="1:18">
      <c r="A12" s="3">
        <v>37895</v>
      </c>
      <c r="B12" s="59">
        <v>9502699</v>
      </c>
      <c r="C12" s="186">
        <f>+'Purchased Power Model '!C12</f>
        <v>289.7</v>
      </c>
      <c r="D12" s="186">
        <f>+'Purchased Power Model '!D12</f>
        <v>0</v>
      </c>
      <c r="E12" s="103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3925.1666666666652</v>
      </c>
      <c r="I12" s="193">
        <f t="shared" si="0"/>
        <v>10920233.255681742</v>
      </c>
      <c r="J12" s="36">
        <f t="shared" si="1"/>
        <v>1417534.255681742</v>
      </c>
      <c r="K12" s="5">
        <f t="shared" si="2"/>
        <v>0.1491717516972538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>
      <c r="A13" s="3">
        <v>37926</v>
      </c>
      <c r="B13" s="59">
        <v>9788409</v>
      </c>
      <c r="C13" s="186">
        <f>+'Purchased Power Model '!C13</f>
        <v>387.6</v>
      </c>
      <c r="D13" s="186">
        <f>+'Purchased Power Model '!D13</f>
        <v>0</v>
      </c>
      <c r="E13" s="103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3947.5833333333317</v>
      </c>
      <c r="I13" s="193">
        <f t="shared" si="0"/>
        <v>11395240.114870602</v>
      </c>
      <c r="J13" s="36">
        <f t="shared" si="1"/>
        <v>1606831.1148706023</v>
      </c>
      <c r="K13" s="5">
        <f t="shared" si="2"/>
        <v>0.16415651561664438</v>
      </c>
      <c r="M13" s="35" t="s">
        <v>26</v>
      </c>
      <c r="N13" s="67">
        <v>6</v>
      </c>
      <c r="O13" s="67">
        <v>26548288564924.25</v>
      </c>
      <c r="P13" s="67">
        <v>4424714760820.708</v>
      </c>
      <c r="Q13" s="67">
        <v>2.362827639214804</v>
      </c>
      <c r="R13" s="67">
        <v>3.3915381241024084E-2</v>
      </c>
    </row>
    <row r="14" spans="1:18">
      <c r="A14" s="3">
        <v>37956</v>
      </c>
      <c r="B14" s="59">
        <v>9128398</v>
      </c>
      <c r="C14" s="186">
        <f>+'Purchased Power Model '!C14</f>
        <v>548.20000000000005</v>
      </c>
      <c r="D14" s="186">
        <f>+'Purchased Power Model '!D14</f>
        <v>0</v>
      </c>
      <c r="E14" s="103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3970</v>
      </c>
      <c r="I14" s="193">
        <f t="shared" si="0"/>
        <v>11416628.201177895</v>
      </c>
      <c r="J14" s="36">
        <f t="shared" si="1"/>
        <v>2288230.2011778951</v>
      </c>
      <c r="K14" s="5">
        <f t="shared" si="2"/>
        <v>0.2506716075677129</v>
      </c>
      <c r="M14" s="35" t="s">
        <v>27</v>
      </c>
      <c r="N14" s="67">
        <v>125</v>
      </c>
      <c r="O14" s="67">
        <v>234079429207280.94</v>
      </c>
      <c r="P14" s="67">
        <v>1872635433658.2476</v>
      </c>
      <c r="Q14" s="67"/>
      <c r="R14" s="67"/>
    </row>
    <row r="15" spans="1:18" ht="13.8" thickBot="1">
      <c r="A15" s="3">
        <v>37987</v>
      </c>
      <c r="B15" s="59">
        <v>12389595</v>
      </c>
      <c r="C15" s="186">
        <f>+'Purchased Power Model '!C15</f>
        <v>828.8</v>
      </c>
      <c r="D15" s="186">
        <f>+'Purchased Power Model '!D15</f>
        <v>0</v>
      </c>
      <c r="E15" s="103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3951</v>
      </c>
      <c r="I15" s="193">
        <f t="shared" si="0"/>
        <v>11827411.485587686</v>
      </c>
      <c r="J15" s="36">
        <f t="shared" si="1"/>
        <v>-562183.5144123137</v>
      </c>
      <c r="K15" s="5">
        <f t="shared" si="2"/>
        <v>-4.5375455324594041E-2</v>
      </c>
      <c r="M15" s="51" t="s">
        <v>9</v>
      </c>
      <c r="N15" s="68">
        <v>131</v>
      </c>
      <c r="O15" s="68">
        <v>260627717772205.19</v>
      </c>
      <c r="P15" s="68"/>
      <c r="Q15" s="68"/>
      <c r="R15" s="68"/>
    </row>
    <row r="16" spans="1:18" ht="13.8" thickBot="1">
      <c r="A16" s="3">
        <v>38018</v>
      </c>
      <c r="B16" s="59">
        <v>11165538</v>
      </c>
      <c r="C16" s="186">
        <f>+'Purchased Power Model '!C16</f>
        <v>615.6</v>
      </c>
      <c r="D16" s="186">
        <f>+'Purchased Power Model '!D16</f>
        <v>0</v>
      </c>
      <c r="E16" s="103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3985</v>
      </c>
      <c r="I16" s="193">
        <f t="shared" si="0"/>
        <v>12096486.154802974</v>
      </c>
      <c r="J16" s="36">
        <f t="shared" si="1"/>
        <v>930948.15480297431</v>
      </c>
      <c r="K16" s="5">
        <f t="shared" si="2"/>
        <v>8.3376918765846686E-2</v>
      </c>
      <c r="M16"/>
      <c r="N16"/>
      <c r="O16"/>
      <c r="P16"/>
      <c r="Q16"/>
    </row>
    <row r="17" spans="1:21">
      <c r="A17" s="3">
        <v>38047</v>
      </c>
      <c r="B17" s="59">
        <v>14473788</v>
      </c>
      <c r="C17" s="186">
        <f>+'Purchased Power Model '!C17</f>
        <v>487.1</v>
      </c>
      <c r="D17" s="186">
        <f>+'Purchased Power Model '!D17</f>
        <v>0</v>
      </c>
      <c r="E17" s="103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3981</v>
      </c>
      <c r="I17" s="193">
        <f t="shared" si="0"/>
        <v>11339817.283244293</v>
      </c>
      <c r="J17" s="36">
        <f t="shared" si="1"/>
        <v>-3133970.7167557068</v>
      </c>
      <c r="K17" s="5">
        <f t="shared" si="2"/>
        <v>-0.21652733318711775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>
      <c r="A18" s="3">
        <v>38078</v>
      </c>
      <c r="B18" s="59">
        <v>10779015</v>
      </c>
      <c r="C18" s="186">
        <f>+'Purchased Power Model '!C18</f>
        <v>345</v>
      </c>
      <c r="D18" s="186">
        <f>+'Purchased Power Model '!D18</f>
        <v>0</v>
      </c>
      <c r="E18" s="103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3975</v>
      </c>
      <c r="I18" s="193">
        <f t="shared" si="0"/>
        <v>11365283.118565489</v>
      </c>
      <c r="J18" s="36">
        <f t="shared" si="1"/>
        <v>586268.11856548861</v>
      </c>
      <c r="K18" s="5">
        <f t="shared" si="2"/>
        <v>5.4389767392056566E-2</v>
      </c>
      <c r="M18" s="35" t="s">
        <v>28</v>
      </c>
      <c r="N18" s="67">
        <v>11528518.394255284</v>
      </c>
      <c r="O18" s="67">
        <v>7334718.1938368715</v>
      </c>
      <c r="P18" s="67">
        <v>1.5717738690959291</v>
      </c>
      <c r="Q18" s="67">
        <v>0.11853083906785468</v>
      </c>
      <c r="R18" s="67">
        <v>-2987799.2189966515</v>
      </c>
      <c r="S18" s="67">
        <v>26044836.00750722</v>
      </c>
      <c r="T18" s="67">
        <v>-2987799.2189966515</v>
      </c>
      <c r="U18" s="67">
        <v>26044836.00750722</v>
      </c>
    </row>
    <row r="19" spans="1:21">
      <c r="A19" s="3">
        <v>38108</v>
      </c>
      <c r="B19" s="59">
        <v>12200717</v>
      </c>
      <c r="C19" s="186">
        <f>+'Purchased Power Model '!C19</f>
        <v>177.5</v>
      </c>
      <c r="D19" s="186">
        <f>+'Purchased Power Model '!D19</f>
        <v>0</v>
      </c>
      <c r="E19" s="103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3967</v>
      </c>
      <c r="I19" s="193">
        <f t="shared" si="0"/>
        <v>10805494.727290869</v>
      </c>
      <c r="J19" s="36">
        <f t="shared" si="1"/>
        <v>-1395222.2727091312</v>
      </c>
      <c r="K19" s="5">
        <f t="shared" si="2"/>
        <v>-0.11435576062530843</v>
      </c>
      <c r="M19" s="35" t="s">
        <v>3</v>
      </c>
      <c r="N19" s="67">
        <v>1614.2353821972308</v>
      </c>
      <c r="O19" s="67">
        <v>761.14771676446674</v>
      </c>
      <c r="P19" s="67">
        <v>2.1207912033936345</v>
      </c>
      <c r="Q19" s="67">
        <v>3.5914937573622463E-2</v>
      </c>
      <c r="R19" s="67">
        <v>107.8295851157975</v>
      </c>
      <c r="S19" s="67">
        <v>3120.6411792786639</v>
      </c>
      <c r="T19" s="67">
        <v>107.8295851157975</v>
      </c>
      <c r="U19" s="67">
        <v>3120.6411792786639</v>
      </c>
    </row>
    <row r="20" spans="1:21">
      <c r="A20" s="3">
        <v>38139</v>
      </c>
      <c r="B20" s="59">
        <v>9552121</v>
      </c>
      <c r="C20" s="186">
        <f>+'Purchased Power Model '!C20</f>
        <v>73.2</v>
      </c>
      <c r="D20" s="186">
        <f>+'Purchased Power Model '!D20</f>
        <v>15.6</v>
      </c>
      <c r="E20" s="103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3927</v>
      </c>
      <c r="I20" s="193">
        <f t="shared" si="0"/>
        <v>10908356.929622535</v>
      </c>
      <c r="J20" s="36">
        <f t="shared" si="1"/>
        <v>1356235.9296225347</v>
      </c>
      <c r="K20" s="5">
        <f t="shared" si="2"/>
        <v>0.14198269992837556</v>
      </c>
      <c r="M20" s="35" t="s">
        <v>4</v>
      </c>
      <c r="N20" s="67">
        <v>5143.2524921935046</v>
      </c>
      <c r="O20" s="67">
        <v>5637.8074900460833</v>
      </c>
      <c r="P20" s="67">
        <v>0.91227884266609882</v>
      </c>
      <c r="Q20" s="67">
        <v>0.36337804006465513</v>
      </c>
      <c r="R20" s="67">
        <v>-6014.6682356467745</v>
      </c>
      <c r="S20" s="67">
        <v>16301.173220033783</v>
      </c>
      <c r="T20" s="67">
        <v>-6014.6682356467745</v>
      </c>
      <c r="U20" s="67">
        <v>16301.173220033783</v>
      </c>
    </row>
    <row r="21" spans="1:21">
      <c r="A21" s="3">
        <v>38169</v>
      </c>
      <c r="B21" s="59">
        <v>12682460</v>
      </c>
      <c r="C21" s="186">
        <f>+'Purchased Power Model '!C21</f>
        <v>2</v>
      </c>
      <c r="D21" s="186">
        <f>+'Purchased Power Model '!D21</f>
        <v>69.3</v>
      </c>
      <c r="E21" s="103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3932</v>
      </c>
      <c r="I21" s="193">
        <f t="shared" si="0"/>
        <v>10803126.490332361</v>
      </c>
      <c r="J21" s="36">
        <f t="shared" si="1"/>
        <v>-1879333.5096676387</v>
      </c>
      <c r="K21" s="5">
        <f t="shared" si="2"/>
        <v>-0.14818367333053986</v>
      </c>
      <c r="M21" s="35" t="s">
        <v>218</v>
      </c>
      <c r="N21" s="67">
        <v>-1945707.5644577676</v>
      </c>
      <c r="O21" s="67">
        <v>7631463.7625253592</v>
      </c>
      <c r="P21" s="67">
        <v>-0.25495863244640576</v>
      </c>
      <c r="Q21" s="67">
        <v>0.79917405132308661</v>
      </c>
      <c r="R21" s="67">
        <v>-17049321.487065766</v>
      </c>
      <c r="S21" s="67">
        <v>13157906.358150229</v>
      </c>
      <c r="T21" s="67">
        <v>-17049321.487065766</v>
      </c>
      <c r="U21" s="67">
        <v>13157906.358150229</v>
      </c>
    </row>
    <row r="22" spans="1:21">
      <c r="A22" s="3">
        <v>38200</v>
      </c>
      <c r="B22" s="59">
        <v>15254194</v>
      </c>
      <c r="C22" s="186">
        <f>+'Purchased Power Model '!C22</f>
        <v>19.600000000000001</v>
      </c>
      <c r="D22" s="186">
        <f>+'Purchased Power Model '!D22</f>
        <v>53.6</v>
      </c>
      <c r="E22" s="103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3969</v>
      </c>
      <c r="I22" s="193">
        <f t="shared" si="0"/>
        <v>10821543.73325954</v>
      </c>
      <c r="J22" s="36">
        <f t="shared" si="1"/>
        <v>-4432650.2667404599</v>
      </c>
      <c r="K22" s="5">
        <f t="shared" si="2"/>
        <v>-0.29058567543722469</v>
      </c>
      <c r="M22" s="35" t="s">
        <v>5</v>
      </c>
      <c r="N22" s="67">
        <v>-274105.42111810937</v>
      </c>
      <c r="O22" s="67">
        <v>153737.62867892135</v>
      </c>
      <c r="P22" s="67">
        <v>-1.7829429494491182</v>
      </c>
      <c r="Q22" s="67">
        <v>7.7022724934409689E-2</v>
      </c>
      <c r="R22" s="67">
        <v>-578371.2685622063</v>
      </c>
      <c r="S22" s="67">
        <v>30160.426325987559</v>
      </c>
      <c r="T22" s="67">
        <v>-578371.2685622063</v>
      </c>
      <c r="U22" s="67">
        <v>30160.426325987559</v>
      </c>
    </row>
    <row r="23" spans="1:21">
      <c r="A23" s="3">
        <v>38231</v>
      </c>
      <c r="B23" s="59">
        <v>10882228</v>
      </c>
      <c r="C23" s="186">
        <f>+'Purchased Power Model '!C23</f>
        <v>41.7</v>
      </c>
      <c r="D23" s="186">
        <f>+'Purchased Power Model '!D23</f>
        <v>26.7</v>
      </c>
      <c r="E23" s="103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3988</v>
      </c>
      <c r="I23" s="193">
        <f t="shared" si="0"/>
        <v>11035924.794534698</v>
      </c>
      <c r="J23" s="36">
        <f t="shared" si="1"/>
        <v>153696.79453469813</v>
      </c>
      <c r="K23" s="5">
        <f t="shared" si="2"/>
        <v>1.4123651382299483E-2</v>
      </c>
      <c r="M23" s="35" t="s">
        <v>17</v>
      </c>
      <c r="N23" s="67">
        <v>6620.4891091183472</v>
      </c>
      <c r="O23" s="67">
        <v>313257.84610976721</v>
      </c>
      <c r="P23" s="67">
        <v>2.113431216914673E-2</v>
      </c>
      <c r="Q23" s="67">
        <v>0.98317221278183897</v>
      </c>
      <c r="R23" s="67">
        <v>-613355.66659289226</v>
      </c>
      <c r="S23" s="67">
        <v>626596.64481112896</v>
      </c>
      <c r="T23" s="67">
        <v>-613355.66659289226</v>
      </c>
      <c r="U23" s="67">
        <v>626596.64481112896</v>
      </c>
    </row>
    <row r="24" spans="1:21" ht="13.8" thickBot="1">
      <c r="A24" s="3">
        <v>38261</v>
      </c>
      <c r="B24" s="59">
        <v>2042443</v>
      </c>
      <c r="C24" s="186">
        <f>+'Purchased Power Model '!C24</f>
        <v>235</v>
      </c>
      <c r="D24" s="186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3861</v>
      </c>
      <c r="I24" s="193">
        <f t="shared" si="0"/>
        <v>10687824.728299592</v>
      </c>
      <c r="J24" s="36">
        <f t="shared" si="1"/>
        <v>8645381.7282995917</v>
      </c>
      <c r="K24" s="5">
        <f t="shared" si="2"/>
        <v>4.2328631586289518</v>
      </c>
      <c r="M24" s="51" t="s">
        <v>59</v>
      </c>
      <c r="N24" s="68">
        <v>1912.3179548093187</v>
      </c>
      <c r="O24" s="68">
        <v>1464.5605010134534</v>
      </c>
      <c r="P24" s="68">
        <v>1.3057282054828216</v>
      </c>
      <c r="Q24" s="68">
        <v>0.19404298488714716</v>
      </c>
      <c r="R24" s="68">
        <v>-986.22904245620543</v>
      </c>
      <c r="S24" s="68">
        <v>4810.8649520748431</v>
      </c>
      <c r="T24" s="68">
        <v>-986.22904245620543</v>
      </c>
      <c r="U24" s="68">
        <v>4810.8649520748431</v>
      </c>
    </row>
    <row r="25" spans="1:21">
      <c r="A25" s="3">
        <v>38292</v>
      </c>
      <c r="B25" s="59">
        <v>11145860</v>
      </c>
      <c r="C25" s="186">
        <f>+'Purchased Power Model '!C25</f>
        <v>385.7</v>
      </c>
      <c r="D25" s="186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3869</v>
      </c>
      <c r="I25" s="193">
        <f t="shared" si="0"/>
        <v>11220493.965153297</v>
      </c>
      <c r="J25" s="36">
        <f t="shared" si="1"/>
        <v>74633.965153297409</v>
      </c>
      <c r="K25" s="5">
        <f t="shared" si="2"/>
        <v>6.6961154323934994E-3</v>
      </c>
      <c r="M25"/>
      <c r="N25"/>
      <c r="O25"/>
      <c r="P25"/>
      <c r="Q25"/>
    </row>
    <row r="26" spans="1:21">
      <c r="A26" s="3">
        <v>38322</v>
      </c>
      <c r="B26" s="59">
        <v>10370531</v>
      </c>
      <c r="C26" s="186">
        <f>+'Purchased Power Model '!C26</f>
        <v>627.5</v>
      </c>
      <c r="D26" s="186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3871</v>
      </c>
      <c r="I26" s="193">
        <f t="shared" si="0"/>
        <v>11333914.806250978</v>
      </c>
      <c r="J26" s="36">
        <f t="shared" si="1"/>
        <v>963383.80625097826</v>
      </c>
      <c r="K26" s="5">
        <f t="shared" si="2"/>
        <v>9.2896285277097021E-2</v>
      </c>
      <c r="M26"/>
      <c r="N26"/>
      <c r="O26"/>
      <c r="P26"/>
      <c r="Q26"/>
    </row>
    <row r="27" spans="1:21">
      <c r="A27" s="3">
        <v>38353</v>
      </c>
      <c r="B27" s="59">
        <v>12101539</v>
      </c>
      <c r="C27" s="186">
        <f>+'Purchased Power Model '!C27</f>
        <v>745.5</v>
      </c>
      <c r="D27" s="186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3872</v>
      </c>
      <c r="I27" s="193">
        <f t="shared" si="0"/>
        <v>11499066.993402652</v>
      </c>
      <c r="J27" s="36">
        <f t="shared" si="1"/>
        <v>-602472.00659734756</v>
      </c>
      <c r="K27" s="5">
        <f t="shared" si="2"/>
        <v>-4.9784742799849471E-2</v>
      </c>
      <c r="M27"/>
      <c r="N27"/>
      <c r="O27"/>
      <c r="P27"/>
      <c r="Q27"/>
    </row>
    <row r="28" spans="1:21">
      <c r="A28" s="3">
        <v>38384</v>
      </c>
      <c r="B28" s="59">
        <v>12785626</v>
      </c>
      <c r="C28" s="186">
        <f>+'Purchased Power Model '!C28</f>
        <v>589.5</v>
      </c>
      <c r="D28" s="186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3870</v>
      </c>
      <c r="I28" s="193">
        <f t="shared" si="0"/>
        <v>12065737.901224595</v>
      </c>
      <c r="J28" s="36">
        <f t="shared" si="1"/>
        <v>-719888.09877540544</v>
      </c>
      <c r="K28" s="5">
        <f t="shared" si="2"/>
        <v>-5.6304485894973423E-2</v>
      </c>
    </row>
    <row r="29" spans="1:21">
      <c r="A29" s="3">
        <v>38412</v>
      </c>
      <c r="B29" s="59">
        <v>11521059</v>
      </c>
      <c r="C29" s="186">
        <f>+'Purchased Power Model '!C29</f>
        <v>578.29999999999995</v>
      </c>
      <c r="D29" s="186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3876</v>
      </c>
      <c r="I29" s="193">
        <f t="shared" si="0"/>
        <v>11243436.598427631</v>
      </c>
      <c r="J29" s="36">
        <f t="shared" si="1"/>
        <v>-277622.40157236904</v>
      </c>
      <c r="K29" s="5">
        <f t="shared" si="2"/>
        <v>-2.4096951640675483E-2</v>
      </c>
    </row>
    <row r="30" spans="1:21">
      <c r="A30" s="3">
        <v>38443</v>
      </c>
      <c r="B30" s="59">
        <v>12681822</v>
      </c>
      <c r="C30" s="186">
        <f>+'Purchased Power Model '!C30</f>
        <v>325.3</v>
      </c>
      <c r="D30" s="186">
        <f>+'Purchased Power Model '!D30</f>
        <v>0</v>
      </c>
      <c r="E30" s="103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3888</v>
      </c>
      <c r="I30" s="193">
        <f t="shared" si="0"/>
        <v>11147653.943823215</v>
      </c>
      <c r="J30" s="36">
        <f t="shared" si="1"/>
        <v>-1534168.0561767854</v>
      </c>
      <c r="K30" s="5">
        <f t="shared" si="2"/>
        <v>-0.12097378879602516</v>
      </c>
    </row>
    <row r="31" spans="1:21">
      <c r="A31" s="3">
        <v>38473</v>
      </c>
      <c r="B31" s="59">
        <v>11659837</v>
      </c>
      <c r="C31" s="186">
        <f>+'Purchased Power Model '!C31</f>
        <v>216.1</v>
      </c>
      <c r="D31" s="186">
        <f>+'Purchased Power Model '!D31</f>
        <v>0.3</v>
      </c>
      <c r="E31" s="103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3892</v>
      </c>
      <c r="I31" s="193">
        <f t="shared" si="0"/>
        <v>10706466.266536064</v>
      </c>
      <c r="J31" s="36">
        <f t="shared" si="1"/>
        <v>-953370.73346393555</v>
      </c>
      <c r="K31" s="5">
        <f t="shared" si="2"/>
        <v>-8.1765356879683268E-2</v>
      </c>
    </row>
    <row r="32" spans="1:21">
      <c r="A32" s="3">
        <v>38504</v>
      </c>
      <c r="B32" s="59">
        <v>10976310</v>
      </c>
      <c r="C32" s="186">
        <f>+'Purchased Power Model '!C32</f>
        <v>13.7</v>
      </c>
      <c r="D32" s="186">
        <f>+'Purchased Power Model '!D32</f>
        <v>89.9</v>
      </c>
      <c r="E32" s="103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3882</v>
      </c>
      <c r="I32" s="193">
        <f t="shared" si="0"/>
        <v>11088942.20094078</v>
      </c>
      <c r="J32" s="36">
        <f t="shared" si="1"/>
        <v>112632.20094078034</v>
      </c>
      <c r="K32" s="5">
        <f t="shared" si="2"/>
        <v>1.0261390297903425E-2</v>
      </c>
    </row>
    <row r="33" spans="1:11">
      <c r="A33" s="3">
        <v>38534</v>
      </c>
      <c r="B33" s="59">
        <v>9734431</v>
      </c>
      <c r="C33" s="186">
        <f>+'Purchased Power Model '!C33</f>
        <v>2.2000000000000002</v>
      </c>
      <c r="D33" s="186">
        <f>+'Purchased Power Model '!D33</f>
        <v>153</v>
      </c>
      <c r="E33" s="103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3992</v>
      </c>
      <c r="I33" s="193">
        <f t="shared" si="0"/>
        <v>11342841.525600582</v>
      </c>
      <c r="J33" s="36">
        <f t="shared" si="1"/>
        <v>1608410.5256005824</v>
      </c>
      <c r="K33" s="5">
        <f t="shared" si="2"/>
        <v>0.16522902320644961</v>
      </c>
    </row>
    <row r="34" spans="1:11">
      <c r="A34" s="3">
        <v>38565</v>
      </c>
      <c r="B34" s="59">
        <v>13811424</v>
      </c>
      <c r="C34" s="186">
        <f>+'Purchased Power Model '!C34</f>
        <v>0</v>
      </c>
      <c r="D34" s="186">
        <f>+'Purchased Power Model '!D34</f>
        <v>108</v>
      </c>
      <c r="E34" s="103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4008</v>
      </c>
      <c r="I34" s="193">
        <f t="shared" si="0"/>
        <v>11138440.93288799</v>
      </c>
      <c r="J34" s="36">
        <f t="shared" si="1"/>
        <v>-2672983.06711201</v>
      </c>
      <c r="K34" s="5">
        <f t="shared" si="2"/>
        <v>-0.19353421248323199</v>
      </c>
    </row>
    <row r="35" spans="1:11">
      <c r="A35" s="3">
        <v>38596</v>
      </c>
      <c r="B35" s="59">
        <v>10621632</v>
      </c>
      <c r="C35" s="186">
        <f>+'Purchased Power Model '!C35</f>
        <v>36.700000000000003</v>
      </c>
      <c r="D35" s="186">
        <f>+'Purchased Power Model '!D35</f>
        <v>32.799999999999997</v>
      </c>
      <c r="E35" s="103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4013</v>
      </c>
      <c r="I35" s="193">
        <f t="shared" si="0"/>
        <v>11101198.284002952</v>
      </c>
      <c r="J35" s="36">
        <f t="shared" si="1"/>
        <v>479566.28400295228</v>
      </c>
      <c r="K35" s="5">
        <f t="shared" si="2"/>
        <v>4.5149962265963677E-2</v>
      </c>
    </row>
    <row r="36" spans="1:11">
      <c r="A36" s="3">
        <v>38626</v>
      </c>
      <c r="B36" s="59">
        <v>11684632</v>
      </c>
      <c r="C36" s="186">
        <f>+'Purchased Power Model '!C36</f>
        <v>223.8</v>
      </c>
      <c r="D36" s="186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4013</v>
      </c>
      <c r="I36" s="193">
        <f t="shared" si="0"/>
        <v>10945477.879315972</v>
      </c>
      <c r="J36" s="36">
        <f t="shared" si="1"/>
        <v>-739154.12068402767</v>
      </c>
      <c r="K36" s="5">
        <f t="shared" si="2"/>
        <v>-6.3258656385928771E-2</v>
      </c>
    </row>
    <row r="37" spans="1:11">
      <c r="A37" s="3">
        <v>38657</v>
      </c>
      <c r="B37" s="59">
        <v>10256317</v>
      </c>
      <c r="C37" s="186">
        <f>+'Purchased Power Model '!C37</f>
        <v>398.5</v>
      </c>
      <c r="D37" s="186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4031</v>
      </c>
      <c r="I37" s="193">
        <f t="shared" si="0"/>
        <v>11533440.318644412</v>
      </c>
      <c r="J37" s="36">
        <f t="shared" si="1"/>
        <v>1277123.3186444119</v>
      </c>
      <c r="K37" s="5">
        <f t="shared" si="2"/>
        <v>0.12452065577189277</v>
      </c>
    </row>
    <row r="38" spans="1:11">
      <c r="A38" s="3">
        <v>38687</v>
      </c>
      <c r="B38" s="59">
        <v>11024399</v>
      </c>
      <c r="C38" s="186">
        <f>+'Purchased Power Model '!C38</f>
        <v>641.1</v>
      </c>
      <c r="D38" s="186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4043</v>
      </c>
      <c r="I38" s="193">
        <f t="shared" si="0"/>
        <v>11667275.727595944</v>
      </c>
      <c r="J38" s="36">
        <f t="shared" si="1"/>
        <v>642876.72759594396</v>
      </c>
      <c r="K38" s="5">
        <f t="shared" si="2"/>
        <v>5.8313993134314526E-2</v>
      </c>
    </row>
    <row r="39" spans="1:11">
      <c r="A39" s="3">
        <v>38718</v>
      </c>
      <c r="B39" s="60">
        <v>12471130</v>
      </c>
      <c r="C39" s="186">
        <f>+'Purchased Power Model '!C39</f>
        <v>558.20000000000005</v>
      </c>
      <c r="D39" s="186">
        <f>+'Purchased Power Model '!D39</f>
        <v>0</v>
      </c>
      <c r="E39" s="103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4045</v>
      </c>
      <c r="I39" s="193">
        <f t="shared" si="0"/>
        <v>11539225.957885869</v>
      </c>
      <c r="J39" s="36">
        <f t="shared" si="1"/>
        <v>-931904.04211413115</v>
      </c>
      <c r="K39" s="5">
        <f t="shared" si="2"/>
        <v>-7.4724908016685826E-2</v>
      </c>
    </row>
    <row r="40" spans="1:11">
      <c r="A40" s="3">
        <v>38749</v>
      </c>
      <c r="B40" s="60">
        <v>12378052</v>
      </c>
      <c r="C40" s="186">
        <f>+'Purchased Power Model '!C40</f>
        <v>608.79999999999995</v>
      </c>
      <c r="D40" s="186">
        <f>+'Purchased Power Model '!D40</f>
        <v>0</v>
      </c>
      <c r="E40" s="103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4052</v>
      </c>
      <c r="I40" s="193">
        <f t="shared" si="0"/>
        <v>12456608.757263042</v>
      </c>
      <c r="J40" s="36">
        <f t="shared" si="1"/>
        <v>78556.757263042033</v>
      </c>
      <c r="K40" s="5">
        <f t="shared" si="2"/>
        <v>6.346455586310514E-3</v>
      </c>
    </row>
    <row r="41" spans="1:11">
      <c r="A41" s="3">
        <v>38777</v>
      </c>
      <c r="B41" s="60">
        <v>12610185</v>
      </c>
      <c r="C41" s="186">
        <f>+'Purchased Power Model '!C41</f>
        <v>534</v>
      </c>
      <c r="D41" s="186">
        <f>+'Purchased Power Model '!D41</f>
        <v>0</v>
      </c>
      <c r="E41" s="103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4064</v>
      </c>
      <c r="I41" s="193">
        <f t="shared" si="0"/>
        <v>11543115.991887189</v>
      </c>
      <c r="J41" s="36">
        <f t="shared" si="1"/>
        <v>-1067069.0081128106</v>
      </c>
      <c r="K41" s="5">
        <f t="shared" si="2"/>
        <v>-8.4619615660897166E-2</v>
      </c>
    </row>
    <row r="42" spans="1:11">
      <c r="A42" s="3">
        <v>38808</v>
      </c>
      <c r="B42" s="60">
        <v>11451939</v>
      </c>
      <c r="C42" s="186">
        <f>+'Purchased Power Model '!C42</f>
        <v>323.60000000000002</v>
      </c>
      <c r="D42" s="186">
        <f>+'Purchased Power Model '!D42</f>
        <v>0</v>
      </c>
      <c r="E42" s="103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4088</v>
      </c>
      <c r="I42" s="193">
        <f t="shared" si="0"/>
        <v>11525427.627070885</v>
      </c>
      <c r="J42" s="36">
        <f t="shared" si="1"/>
        <v>73488.627070885152</v>
      </c>
      <c r="K42" s="5">
        <f t="shared" si="2"/>
        <v>6.4171339954644498E-3</v>
      </c>
    </row>
    <row r="43" spans="1:11">
      <c r="A43" s="3">
        <v>38838</v>
      </c>
      <c r="B43" s="60">
        <v>10909292</v>
      </c>
      <c r="C43" s="186">
        <f>+'Purchased Power Model '!C43</f>
        <v>172.6</v>
      </c>
      <c r="D43" s="186">
        <f>+'Purchased Power Model '!D43</f>
        <v>12.8</v>
      </c>
      <c r="E43" s="103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3783</v>
      </c>
      <c r="I43" s="193">
        <f t="shared" si="0"/>
        <v>10490149.31892423</v>
      </c>
      <c r="J43" s="36">
        <f t="shared" si="1"/>
        <v>-419142.68107577041</v>
      </c>
      <c r="K43" s="5">
        <f t="shared" si="2"/>
        <v>-3.8420704210298008E-2</v>
      </c>
    </row>
    <row r="44" spans="1:11">
      <c r="A44" s="3">
        <v>38869</v>
      </c>
      <c r="B44" s="60">
        <v>10327669</v>
      </c>
      <c r="C44" s="186">
        <f>+'Purchased Power Model '!C44</f>
        <v>22.6</v>
      </c>
      <c r="D44" s="186">
        <f>+'Purchased Power Model '!D44</f>
        <v>36.200000000000003</v>
      </c>
      <c r="E44" s="103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3797</v>
      </c>
      <c r="I44" s="193">
        <f t="shared" si="0"/>
        <v>10662623.503288293</v>
      </c>
      <c r="J44" s="36">
        <f t="shared" si="1"/>
        <v>334954.50328829326</v>
      </c>
      <c r="K44" s="5">
        <f t="shared" si="2"/>
        <v>3.2432730298414217E-2</v>
      </c>
    </row>
    <row r="45" spans="1:11">
      <c r="A45" s="3">
        <v>38899</v>
      </c>
      <c r="B45" s="60">
        <v>10443940</v>
      </c>
      <c r="C45" s="186">
        <f>+'Purchased Power Model '!C45</f>
        <v>1.7</v>
      </c>
      <c r="D45" s="186">
        <f>+'Purchased Power Model '!D45</f>
        <v>107.6</v>
      </c>
      <c r="E45" s="103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3809</v>
      </c>
      <c r="I45" s="193">
        <f t="shared" si="0"/>
        <v>10741065.190953672</v>
      </c>
      <c r="J45" s="36">
        <f t="shared" si="1"/>
        <v>297125.19095367193</v>
      </c>
      <c r="K45" s="5">
        <f t="shared" si="2"/>
        <v>2.8449530632469348E-2</v>
      </c>
    </row>
    <row r="46" spans="1:11">
      <c r="A46" s="3">
        <v>38930</v>
      </c>
      <c r="B46" s="60">
        <v>12084297</v>
      </c>
      <c r="C46" s="186">
        <f>+'Purchased Power Model '!C46</f>
        <v>4.4000000000000004</v>
      </c>
      <c r="D46" s="186">
        <f>+'Purchased Power Model '!D46</f>
        <v>82.1</v>
      </c>
      <c r="E46" s="103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3824</v>
      </c>
      <c r="I46" s="193">
        <f t="shared" si="0"/>
        <v>10642955.457256811</v>
      </c>
      <c r="J46" s="36">
        <f t="shared" si="1"/>
        <v>-1441341.5427431893</v>
      </c>
      <c r="K46" s="5">
        <f t="shared" si="2"/>
        <v>-0.11927392571890523</v>
      </c>
    </row>
    <row r="47" spans="1:11">
      <c r="A47" s="3">
        <v>38961</v>
      </c>
      <c r="B47" s="60">
        <v>10707914</v>
      </c>
      <c r="C47" s="186">
        <f>+'Purchased Power Model '!C47</f>
        <v>70.7</v>
      </c>
      <c r="D47" s="186">
        <f>+'Purchased Power Model '!D47</f>
        <v>5.0999999999999996</v>
      </c>
      <c r="E47" s="103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3724</v>
      </c>
      <c r="I47" s="193">
        <f t="shared" si="0"/>
        <v>10443442.935943885</v>
      </c>
      <c r="J47" s="36">
        <f t="shared" si="1"/>
        <v>-264471.06405611522</v>
      </c>
      <c r="K47" s="5">
        <f t="shared" si="2"/>
        <v>-2.4698654103508418E-2</v>
      </c>
    </row>
    <row r="48" spans="1:11">
      <c r="A48" s="3">
        <v>38991</v>
      </c>
      <c r="B48" s="60">
        <v>10422734</v>
      </c>
      <c r="C48" s="186">
        <f>+'Purchased Power Model '!C48</f>
        <v>274.60000000000002</v>
      </c>
      <c r="D48" s="186">
        <f>+'Purchased Power Model '!D48</f>
        <v>0</v>
      </c>
      <c r="E48" s="103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3725</v>
      </c>
      <c r="I48" s="193">
        <f t="shared" si="0"/>
        <v>10472216.131935954</v>
      </c>
      <c r="J48" s="36">
        <f t="shared" si="1"/>
        <v>49482.131935954094</v>
      </c>
      <c r="K48" s="5">
        <f t="shared" si="2"/>
        <v>4.7475194067078839E-3</v>
      </c>
    </row>
    <row r="49" spans="1:11">
      <c r="A49" s="3">
        <v>39022</v>
      </c>
      <c r="B49" s="60">
        <v>9945698</v>
      </c>
      <c r="C49" s="186">
        <f>+'Purchased Power Model '!C49</f>
        <v>367.5</v>
      </c>
      <c r="D49" s="186">
        <f>+'Purchased Power Model '!D49</f>
        <v>0</v>
      </c>
      <c r="E49" s="103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3729</v>
      </c>
      <c r="I49" s="193">
        <f t="shared" si="0"/>
        <v>10903933.291879427</v>
      </c>
      <c r="J49" s="36">
        <f t="shared" si="1"/>
        <v>958235.29187942669</v>
      </c>
      <c r="K49" s="5">
        <f t="shared" si="2"/>
        <v>9.6346711098550017E-2</v>
      </c>
    </row>
    <row r="50" spans="1:11">
      <c r="A50" s="3">
        <v>39052</v>
      </c>
      <c r="B50" s="60">
        <v>10402920</v>
      </c>
      <c r="C50" s="186">
        <f>+'Purchased Power Model '!C50</f>
        <v>471.5</v>
      </c>
      <c r="D50" s="186">
        <f>+'Purchased Power Model '!D50</f>
        <v>0</v>
      </c>
      <c r="E50" s="103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3733</v>
      </c>
      <c r="I50" s="193">
        <f t="shared" si="0"/>
        <v>10798737.133219946</v>
      </c>
      <c r="J50" s="36">
        <f t="shared" si="1"/>
        <v>395817.13321994618</v>
      </c>
      <c r="K50" s="5">
        <f t="shared" si="2"/>
        <v>3.8048656840574201E-2</v>
      </c>
    </row>
    <row r="51" spans="1:11">
      <c r="A51" s="3">
        <v>39083</v>
      </c>
      <c r="B51" s="60">
        <v>11259988</v>
      </c>
      <c r="C51" s="186">
        <f>+'Purchased Power Model '!C51</f>
        <v>573.1</v>
      </c>
      <c r="D51" s="186">
        <f>+'Purchased Power Model '!D51</f>
        <v>0</v>
      </c>
      <c r="E51" s="103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3744</v>
      </c>
      <c r="I51" s="193">
        <f t="shared" si="0"/>
        <v>10997398.898505293</v>
      </c>
      <c r="J51" s="36">
        <f t="shared" si="1"/>
        <v>-262589.10149470717</v>
      </c>
      <c r="K51" s="5">
        <f t="shared" si="2"/>
        <v>-2.3320548964591008E-2</v>
      </c>
    </row>
    <row r="52" spans="1:11">
      <c r="A52" s="3">
        <v>39114</v>
      </c>
      <c r="B52" s="60">
        <v>11970135</v>
      </c>
      <c r="C52" s="186">
        <f>+'Purchased Power Model '!C52</f>
        <v>693.5</v>
      </c>
      <c r="D52" s="186">
        <f>+'Purchased Power Model '!D52</f>
        <v>0</v>
      </c>
      <c r="E52" s="103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3741</v>
      </c>
      <c r="I52" s="193">
        <f t="shared" si="0"/>
        <v>12008332.14801174</v>
      </c>
      <c r="J52" s="36">
        <f t="shared" si="1"/>
        <v>38197.148011740297</v>
      </c>
      <c r="K52" s="5">
        <f t="shared" si="2"/>
        <v>3.1910373618794022E-3</v>
      </c>
    </row>
    <row r="53" spans="1:11">
      <c r="A53" s="3">
        <v>39142</v>
      </c>
      <c r="B53" s="60">
        <v>11917401</v>
      </c>
      <c r="C53" s="186">
        <f>+'Purchased Power Model '!C53</f>
        <v>477.9</v>
      </c>
      <c r="D53" s="186">
        <f>+'Purchased Power Model '!D53</f>
        <v>0</v>
      </c>
      <c r="E53" s="103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3739</v>
      </c>
      <c r="I53" s="193">
        <f t="shared" si="0"/>
        <v>10840782.589455187</v>
      </c>
      <c r="J53" s="36">
        <f t="shared" si="1"/>
        <v>-1076618.4105448127</v>
      </c>
      <c r="K53" s="5">
        <f t="shared" si="2"/>
        <v>-9.0340033917194917E-2</v>
      </c>
    </row>
    <row r="54" spans="1:11">
      <c r="A54" s="3">
        <v>39173</v>
      </c>
      <c r="B54" s="60">
        <v>11639751</v>
      </c>
      <c r="C54" s="186">
        <f>+'Purchased Power Model '!C54</f>
        <v>280.39999999999998</v>
      </c>
      <c r="D54" s="186">
        <f>+'Purchased Power Model '!D54</f>
        <v>0</v>
      </c>
      <c r="E54" s="103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3743</v>
      </c>
      <c r="I54" s="193">
        <f t="shared" si="0"/>
        <v>10805671.50197304</v>
      </c>
      <c r="J54" s="36">
        <f t="shared" si="1"/>
        <v>-834079.4980269596</v>
      </c>
      <c r="K54" s="5">
        <f t="shared" si="2"/>
        <v>-7.1657847150420964E-2</v>
      </c>
    </row>
    <row r="55" spans="1:11">
      <c r="A55" s="3">
        <v>39203</v>
      </c>
      <c r="B55" s="60">
        <v>10763742</v>
      </c>
      <c r="C55" s="186">
        <f>+'Purchased Power Model '!C55</f>
        <v>72.8</v>
      </c>
      <c r="D55" s="186">
        <f>+'Purchased Power Model '!D55</f>
        <v>4.5</v>
      </c>
      <c r="E55" s="103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3747</v>
      </c>
      <c r="I55" s="193">
        <f t="shared" si="0"/>
        <v>10227244.723544892</v>
      </c>
      <c r="J55" s="36">
        <f t="shared" si="1"/>
        <v>-536497.27645510808</v>
      </c>
      <c r="K55" s="5">
        <f t="shared" si="2"/>
        <v>-4.9843007799249377E-2</v>
      </c>
    </row>
    <row r="56" spans="1:11">
      <c r="A56" s="3">
        <v>39234</v>
      </c>
      <c r="B56" s="60">
        <v>10679632</v>
      </c>
      <c r="C56" s="186">
        <f>+'Purchased Power Model '!C56</f>
        <v>6.2</v>
      </c>
      <c r="D56" s="186">
        <f>+'Purchased Power Model '!D56</f>
        <v>32.799999999999997</v>
      </c>
      <c r="E56" s="103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3744</v>
      </c>
      <c r="I56" s="193">
        <f t="shared" si="0"/>
        <v>10527038.670764199</v>
      </c>
      <c r="J56" s="36">
        <f t="shared" si="1"/>
        <v>-152593.32923580147</v>
      </c>
      <c r="K56" s="5">
        <f t="shared" si="2"/>
        <v>-1.4288257239182162E-2</v>
      </c>
    </row>
    <row r="57" spans="1:11">
      <c r="A57" s="3">
        <v>39264</v>
      </c>
      <c r="B57" s="60">
        <v>10131980</v>
      </c>
      <c r="C57" s="186">
        <f>+'Purchased Power Model '!C57</f>
        <v>8.6999999999999993</v>
      </c>
      <c r="D57" s="186">
        <f>+'Purchased Power Model '!D57</f>
        <v>41.6</v>
      </c>
      <c r="E57" s="103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3770</v>
      </c>
      <c r="I57" s="193">
        <f t="shared" si="0"/>
        <v>10342221.189035635</v>
      </c>
      <c r="J57" s="36">
        <f t="shared" si="1"/>
        <v>210241.18903563544</v>
      </c>
      <c r="K57" s="5">
        <f t="shared" si="2"/>
        <v>2.0750257011525431E-2</v>
      </c>
    </row>
    <row r="58" spans="1:11">
      <c r="A58" s="3">
        <v>39295</v>
      </c>
      <c r="B58" s="60">
        <v>11308818</v>
      </c>
      <c r="C58" s="186">
        <f>+'Purchased Power Model '!C58</f>
        <v>4</v>
      </c>
      <c r="D58" s="186">
        <f>+'Purchased Power Model '!D58</f>
        <v>87.8</v>
      </c>
      <c r="E58" s="103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3770</v>
      </c>
      <c r="I58" s="193">
        <f t="shared" si="0"/>
        <v>10572252.547878649</v>
      </c>
      <c r="J58" s="36">
        <f t="shared" si="1"/>
        <v>-736565.45212135091</v>
      </c>
      <c r="K58" s="5">
        <f t="shared" si="2"/>
        <v>-6.5131957391245568E-2</v>
      </c>
    </row>
    <row r="59" spans="1:11">
      <c r="A59" s="3">
        <v>39326</v>
      </c>
      <c r="B59" s="60">
        <v>11270208</v>
      </c>
      <c r="C59" s="186">
        <f>+'Purchased Power Model '!C59</f>
        <v>20.100000000000001</v>
      </c>
      <c r="D59" s="186">
        <f>+'Purchased Power Model '!D59</f>
        <v>12.3</v>
      </c>
      <c r="E59" s="103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3768</v>
      </c>
      <c r="I59" s="193">
        <f t="shared" si="0"/>
        <v>10486827.448689023</v>
      </c>
      <c r="J59" s="36">
        <f t="shared" si="1"/>
        <v>-783380.55131097697</v>
      </c>
      <c r="K59" s="5">
        <f t="shared" si="2"/>
        <v>-6.9508970137106343E-2</v>
      </c>
    </row>
    <row r="60" spans="1:11">
      <c r="A60" s="3">
        <v>39356</v>
      </c>
      <c r="B60" s="60">
        <v>10530867</v>
      </c>
      <c r="C60" s="186">
        <f>+'Purchased Power Model '!C60</f>
        <v>101.5</v>
      </c>
      <c r="D60" s="186">
        <f>+'Purchased Power Model '!D60</f>
        <v>0</v>
      </c>
      <c r="E60" s="103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3770</v>
      </c>
      <c r="I60" s="193">
        <f t="shared" si="0"/>
        <v>10288574.833066322</v>
      </c>
      <c r="J60" s="36">
        <f t="shared" si="1"/>
        <v>-242292.16693367809</v>
      </c>
      <c r="K60" s="5">
        <f t="shared" si="2"/>
        <v>-2.3007808087755557E-2</v>
      </c>
    </row>
    <row r="61" spans="1:11">
      <c r="A61" s="3">
        <v>39387</v>
      </c>
      <c r="B61" s="60">
        <v>10602579</v>
      </c>
      <c r="C61" s="186">
        <f>+'Purchased Power Model '!C61</f>
        <v>314.10000000000002</v>
      </c>
      <c r="D61" s="186">
        <f>+'Purchased Power Model '!D61</f>
        <v>0</v>
      </c>
      <c r="E61" s="103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3774</v>
      </c>
      <c r="I61" s="193">
        <f t="shared" si="0"/>
        <v>10913515.968258802</v>
      </c>
      <c r="J61" s="36">
        <f t="shared" si="1"/>
        <v>310936.96825880185</v>
      </c>
      <c r="K61" s="5">
        <f t="shared" si="2"/>
        <v>2.9326541048060272E-2</v>
      </c>
    </row>
    <row r="62" spans="1:11">
      <c r="A62" s="3">
        <v>39417</v>
      </c>
      <c r="B62" s="60">
        <v>10270903</v>
      </c>
      <c r="C62" s="186">
        <f>+'Purchased Power Model '!C62</f>
        <v>337.8</v>
      </c>
      <c r="D62" s="186">
        <f>+'Purchased Power Model '!D62</f>
        <v>0</v>
      </c>
      <c r="E62" s="103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3765</v>
      </c>
      <c r="I62" s="193">
        <f t="shared" si="0"/>
        <v>10653836.574996363</v>
      </c>
      <c r="J62" s="36">
        <f t="shared" si="1"/>
        <v>382933.57499636337</v>
      </c>
      <c r="K62" s="5">
        <f t="shared" si="2"/>
        <v>3.7283340617311193E-2</v>
      </c>
    </row>
    <row r="63" spans="1:11">
      <c r="A63" s="3">
        <v>39448</v>
      </c>
      <c r="B63" s="61">
        <v>11697786</v>
      </c>
      <c r="C63" s="187">
        <f>+'Purchased Power Model '!C63</f>
        <v>432.8</v>
      </c>
      <c r="D63" s="187">
        <f>+'Purchased Power Model '!D63</f>
        <v>0</v>
      </c>
      <c r="E63" s="103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3768</v>
      </c>
      <c r="I63" s="193">
        <f t="shared" si="0"/>
        <v>10810980.182605069</v>
      </c>
      <c r="J63" s="36">
        <f t="shared" si="1"/>
        <v>-886805.81739493087</v>
      </c>
      <c r="K63" s="5">
        <f t="shared" si="2"/>
        <v>-7.5809714538711076E-2</v>
      </c>
    </row>
    <row r="64" spans="1:11">
      <c r="A64" s="3">
        <v>39479</v>
      </c>
      <c r="B64" s="61">
        <v>13146769</v>
      </c>
      <c r="C64" s="187">
        <f>+'Purchased Power Model '!C64</f>
        <v>317.60000000000002</v>
      </c>
      <c r="D64" s="187">
        <f>+'Purchased Power Model '!D64</f>
        <v>0</v>
      </c>
      <c r="E64" s="103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3766</v>
      </c>
      <c r="I64" s="193">
        <f t="shared" si="0"/>
        <v>11169406.472902551</v>
      </c>
      <c r="J64" s="36">
        <f t="shared" si="1"/>
        <v>-1977362.5270974487</v>
      </c>
      <c r="K64" s="5">
        <f t="shared" si="2"/>
        <v>-0.15040672937186686</v>
      </c>
    </row>
    <row r="65" spans="1:17">
      <c r="A65" s="3">
        <v>39508</v>
      </c>
      <c r="B65" s="61">
        <v>12431779</v>
      </c>
      <c r="C65" s="187">
        <f>+'Purchased Power Model '!C65</f>
        <v>430</v>
      </c>
      <c r="D65" s="187">
        <f>+'Purchased Power Model '!D65</f>
        <v>0</v>
      </c>
      <c r="E65" s="103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3772</v>
      </c>
      <c r="I65" s="193">
        <f t="shared" si="0"/>
        <v>10820730.084463274</v>
      </c>
      <c r="J65" s="36">
        <f t="shared" si="1"/>
        <v>-1611048.9155367259</v>
      </c>
      <c r="K65" s="5">
        <f t="shared" si="2"/>
        <v>-0.12959118043658321</v>
      </c>
    </row>
    <row r="66" spans="1:17">
      <c r="A66" s="3">
        <v>39539</v>
      </c>
      <c r="B66" s="61">
        <v>11604575</v>
      </c>
      <c r="C66" s="187">
        <f>+'Purchased Power Model '!C66</f>
        <v>144.6</v>
      </c>
      <c r="D66" s="187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3774</v>
      </c>
      <c r="I66" s="193">
        <f t="shared" si="0"/>
        <v>10618500.287767336</v>
      </c>
      <c r="J66" s="36">
        <f t="shared" si="1"/>
        <v>-986074.71223266423</v>
      </c>
      <c r="K66" s="5">
        <f t="shared" si="2"/>
        <v>-8.4972927680045524E-2</v>
      </c>
    </row>
    <row r="67" spans="1:17">
      <c r="A67" s="3">
        <v>39569</v>
      </c>
      <c r="B67" s="61">
        <v>10354473</v>
      </c>
      <c r="C67" s="187">
        <f>+'Purchased Power Model '!C67</f>
        <v>151</v>
      </c>
      <c r="D67" s="187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3773</v>
      </c>
      <c r="I67" s="193">
        <f t="shared" si="0"/>
        <v>10352813.655140478</v>
      </c>
      <c r="J67" s="36">
        <f t="shared" si="1"/>
        <v>-1659.344859521836</v>
      </c>
      <c r="K67" s="5">
        <f t="shared" si="2"/>
        <v>-1.6025391727052029E-4</v>
      </c>
    </row>
    <row r="68" spans="1:17">
      <c r="A68" s="3">
        <v>39600</v>
      </c>
      <c r="B68" s="61">
        <v>10341099</v>
      </c>
      <c r="C68" s="187">
        <f>+'Purchased Power Model '!C68</f>
        <v>15.5</v>
      </c>
      <c r="D68" s="187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3775</v>
      </c>
      <c r="I68" s="193">
        <f t="shared" ref="I68:I131" si="3">$N$18+C68*$N$19+D68*$N$20+E68*$N$21+F68*$N$22+G68*$N$23+H68*$N$24</f>
        <v>10526775.087587131</v>
      </c>
      <c r="J68" s="36">
        <f t="shared" ref="J68:J131" si="4">I68-B68</f>
        <v>185676.08758713119</v>
      </c>
      <c r="K68" s="5">
        <f t="shared" ref="K68:K131" si="5">J68/B68</f>
        <v>1.7955160045091068E-2</v>
      </c>
    </row>
    <row r="69" spans="1:17">
      <c r="A69" s="3">
        <v>39630</v>
      </c>
      <c r="B69" s="61">
        <v>10150312</v>
      </c>
      <c r="C69" s="187">
        <f>+'Purchased Power Model '!C69</f>
        <v>1</v>
      </c>
      <c r="D69" s="187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3784</v>
      </c>
      <c r="I69" s="193">
        <f t="shared" si="3"/>
        <v>10452563.304612106</v>
      </c>
      <c r="J69" s="36">
        <f t="shared" si="4"/>
        <v>302251.30461210571</v>
      </c>
      <c r="K69" s="5">
        <f t="shared" si="5"/>
        <v>2.9777538327108142E-2</v>
      </c>
    </row>
    <row r="70" spans="1:17">
      <c r="A70" s="3">
        <v>39661</v>
      </c>
      <c r="B70" s="61">
        <v>10885564</v>
      </c>
      <c r="C70" s="187">
        <f>+'Purchased Power Model '!C70</f>
        <v>13.8</v>
      </c>
      <c r="D70" s="187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3802</v>
      </c>
      <c r="I70" s="193">
        <f t="shared" si="3"/>
        <v>10345634.787186703</v>
      </c>
      <c r="J70" s="36">
        <f t="shared" si="4"/>
        <v>-539929.21281329729</v>
      </c>
      <c r="K70" s="5">
        <f t="shared" si="5"/>
        <v>-4.9600481225712999E-2</v>
      </c>
    </row>
    <row r="71" spans="1:17">
      <c r="A71" s="3">
        <v>39692</v>
      </c>
      <c r="B71" s="61">
        <v>10839209</v>
      </c>
      <c r="C71" s="187">
        <f>+'Purchased Power Model '!C71</f>
        <v>51.6</v>
      </c>
      <c r="D71" s="187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3808</v>
      </c>
      <c r="I71" s="193">
        <f t="shared" si="3"/>
        <v>10622732.565705378</v>
      </c>
      <c r="J71" s="36">
        <f t="shared" si="4"/>
        <v>-216476.43429462239</v>
      </c>
      <c r="K71" s="5">
        <f t="shared" si="5"/>
        <v>-1.9971608103010321E-2</v>
      </c>
    </row>
    <row r="72" spans="1:17">
      <c r="A72" s="3">
        <v>39722</v>
      </c>
      <c r="B72" s="61">
        <v>10352355</v>
      </c>
      <c r="C72" s="187">
        <f>+'Purchased Power Model '!C72</f>
        <v>203.1</v>
      </c>
      <c r="D72" s="187">
        <f>+'Purchased Power Model '!D72</f>
        <v>0</v>
      </c>
      <c r="E72" s="103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3817</v>
      </c>
      <c r="I72" s="193">
        <f t="shared" si="3"/>
        <v>10511328.770742275</v>
      </c>
      <c r="J72" s="36">
        <f t="shared" si="4"/>
        <v>158973.77074227482</v>
      </c>
      <c r="K72" s="5">
        <f t="shared" si="5"/>
        <v>1.535629050030402E-2</v>
      </c>
    </row>
    <row r="73" spans="1:17">
      <c r="A73" s="3">
        <v>39753</v>
      </c>
      <c r="B73" s="61">
        <v>9669055</v>
      </c>
      <c r="C73" s="187">
        <f>+'Purchased Power Model '!C73</f>
        <v>268.8</v>
      </c>
      <c r="D73" s="187">
        <f>+'Purchased Power Model '!D73</f>
        <v>0</v>
      </c>
      <c r="E73" s="103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3823</v>
      </c>
      <c r="I73" s="193">
        <f t="shared" si="3"/>
        <v>10902963.364199597</v>
      </c>
      <c r="J73" s="36">
        <f t="shared" si="4"/>
        <v>1233908.3641995974</v>
      </c>
      <c r="K73" s="5">
        <f t="shared" si="5"/>
        <v>0.12761416334891024</v>
      </c>
    </row>
    <row r="74" spans="1:17">
      <c r="A74" s="3">
        <v>39783</v>
      </c>
      <c r="B74" s="61">
        <v>10395041</v>
      </c>
      <c r="C74" s="187">
        <f>+'Purchased Power Model '!C74</f>
        <v>378.9</v>
      </c>
      <c r="D74" s="187">
        <f>+'Purchased Power Model '!D74</f>
        <v>0</v>
      </c>
      <c r="E74" s="103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3822</v>
      </c>
      <c r="I74" s="193">
        <f t="shared" si="3"/>
        <v>10798052.451597476</v>
      </c>
      <c r="J74" s="36">
        <f t="shared" si="4"/>
        <v>403011.45159747638</v>
      </c>
      <c r="K74" s="5">
        <f t="shared" si="5"/>
        <v>3.8769587498257714E-2</v>
      </c>
    </row>
    <row r="75" spans="1:17" s="14" customFormat="1">
      <c r="A75" s="3">
        <v>39814</v>
      </c>
      <c r="B75" s="61">
        <v>12106349</v>
      </c>
      <c r="C75" s="187">
        <f>+'Purchased Power Model '!C75</f>
        <v>684.3</v>
      </c>
      <c r="D75" s="187">
        <f>+'Purchased Power Model '!D75</f>
        <v>0</v>
      </c>
      <c r="E75" s="103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3820</v>
      </c>
      <c r="I75" s="193">
        <f t="shared" si="3"/>
        <v>11275541.056024145</v>
      </c>
      <c r="J75" s="36">
        <f t="shared" si="4"/>
        <v>-830807.94397585467</v>
      </c>
      <c r="K75" s="5">
        <f t="shared" si="5"/>
        <v>-6.8625804854614281E-2</v>
      </c>
      <c r="L75" s="11"/>
      <c r="M75" s="11"/>
      <c r="N75" s="11"/>
      <c r="O75" s="11"/>
      <c r="P75" s="11"/>
      <c r="Q75" s="11"/>
    </row>
    <row r="76" spans="1:17">
      <c r="A76" s="3">
        <v>39845</v>
      </c>
      <c r="B76" s="61">
        <v>12482450</v>
      </c>
      <c r="C76" s="187">
        <f>+'Purchased Power Model '!C76</f>
        <v>595.29999999999995</v>
      </c>
      <c r="D76" s="187">
        <f>+'Purchased Power Model '!D76</f>
        <v>0</v>
      </c>
      <c r="E76" s="103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3826</v>
      </c>
      <c r="I76" s="193">
        <f t="shared" si="3"/>
        <v>11965664.278091777</v>
      </c>
      <c r="J76" s="36">
        <f t="shared" si="4"/>
        <v>-516785.72190822288</v>
      </c>
      <c r="K76" s="5">
        <f t="shared" si="5"/>
        <v>-4.140098473522609E-2</v>
      </c>
    </row>
    <row r="77" spans="1:17">
      <c r="A77" s="3">
        <v>39873</v>
      </c>
      <c r="B77" s="61">
        <v>10503063</v>
      </c>
      <c r="C77" s="187">
        <f>+'Purchased Power Model '!C77</f>
        <v>442.2</v>
      </c>
      <c r="D77" s="187">
        <f>+'Purchased Power Model '!D77</f>
        <v>0</v>
      </c>
      <c r="E77" s="103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3825</v>
      </c>
      <c r="I77" s="193">
        <f t="shared" si="3"/>
        <v>10900916.748877361</v>
      </c>
      <c r="J77" s="36">
        <f t="shared" si="4"/>
        <v>397853.74887736142</v>
      </c>
      <c r="K77" s="5">
        <f t="shared" si="5"/>
        <v>3.7879783152530024E-2</v>
      </c>
    </row>
    <row r="78" spans="1:17">
      <c r="A78" s="3">
        <v>39904</v>
      </c>
      <c r="B78" s="61">
        <v>10918955</v>
      </c>
      <c r="C78" s="187">
        <f>+'Purchased Power Model '!C78</f>
        <v>313.8</v>
      </c>
      <c r="D78" s="187">
        <f>+'Purchased Power Model '!D78</f>
        <v>0</v>
      </c>
      <c r="E78" s="103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3828</v>
      </c>
      <c r="I78" s="193">
        <f t="shared" si="3"/>
        <v>10969599.88565686</v>
      </c>
      <c r="J78" s="36">
        <f t="shared" si="4"/>
        <v>50644.885656859726</v>
      </c>
      <c r="K78" s="5">
        <f t="shared" si="5"/>
        <v>4.6382539040466537E-3</v>
      </c>
    </row>
    <row r="79" spans="1:17">
      <c r="A79" s="3">
        <v>39934</v>
      </c>
      <c r="B79" s="61">
        <v>10667089</v>
      </c>
      <c r="C79" s="187">
        <f>+'Purchased Power Model '!C79</f>
        <v>170.1</v>
      </c>
      <c r="D79" s="187">
        <f>+'Purchased Power Model '!D79</f>
        <v>0</v>
      </c>
      <c r="E79" s="103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3829</v>
      </c>
      <c r="I79" s="193">
        <f t="shared" si="3"/>
        <v>10465441.158071818</v>
      </c>
      <c r="J79" s="36">
        <f t="shared" si="4"/>
        <v>-201647.84192818217</v>
      </c>
      <c r="K79" s="5">
        <f t="shared" si="5"/>
        <v>-1.8903736710941678E-2</v>
      </c>
    </row>
    <row r="80" spans="1:17">
      <c r="A80" s="3">
        <v>39965</v>
      </c>
      <c r="B80" s="61">
        <v>10147486</v>
      </c>
      <c r="C80" s="187">
        <f>+'Purchased Power Model '!C80</f>
        <v>57.9</v>
      </c>
      <c r="D80" s="187">
        <f>+'Purchased Power Model '!D80</f>
        <v>26.3</v>
      </c>
      <c r="E80" s="103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3832</v>
      </c>
      <c r="I80" s="193">
        <f t="shared" si="3"/>
        <v>10692813.374607395</v>
      </c>
      <c r="J80" s="36">
        <f t="shared" si="4"/>
        <v>545327.37460739538</v>
      </c>
      <c r="K80" s="5">
        <f t="shared" si="5"/>
        <v>5.3740145550079631E-2</v>
      </c>
    </row>
    <row r="81" spans="1:17">
      <c r="A81" s="3">
        <v>39995</v>
      </c>
      <c r="B81" s="61">
        <v>9831147</v>
      </c>
      <c r="C81" s="187">
        <f>+'Purchased Power Model '!C81</f>
        <v>16.8</v>
      </c>
      <c r="D81" s="187">
        <f>+'Purchased Power Model '!D81</f>
        <v>25.6</v>
      </c>
      <c r="E81" s="103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3834</v>
      </c>
      <c r="I81" s="193">
        <f t="shared" si="3"/>
        <v>10342858.700623773</v>
      </c>
      <c r="J81" s="36">
        <f t="shared" si="4"/>
        <v>511711.70062377304</v>
      </c>
      <c r="K81" s="5">
        <f t="shared" si="5"/>
        <v>5.2050050784895503E-2</v>
      </c>
    </row>
    <row r="82" spans="1:17">
      <c r="A82" s="3">
        <v>40026</v>
      </c>
      <c r="B82" s="61">
        <v>10245990</v>
      </c>
      <c r="C82" s="187">
        <f>+'Purchased Power Model '!C82</f>
        <v>13.1</v>
      </c>
      <c r="D82" s="187">
        <f>+'Purchased Power Model '!D82</f>
        <v>77.7</v>
      </c>
      <c r="E82" s="103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3838</v>
      </c>
      <c r="I82" s="193">
        <f t="shared" si="3"/>
        <v>10612498.756372165</v>
      </c>
      <c r="J82" s="36">
        <f t="shared" si="4"/>
        <v>366508.75637216493</v>
      </c>
      <c r="K82" s="5">
        <f t="shared" si="5"/>
        <v>3.5770946133283847E-2</v>
      </c>
    </row>
    <row r="83" spans="1:17">
      <c r="A83" s="3">
        <v>40057</v>
      </c>
      <c r="B83" s="61">
        <v>10416446</v>
      </c>
      <c r="C83" s="187">
        <f>+'Purchased Power Model '!C83</f>
        <v>64.8</v>
      </c>
      <c r="D83" s="187">
        <f>+'Purchased Power Model '!D83</f>
        <v>9</v>
      </c>
      <c r="E83" s="103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3848</v>
      </c>
      <c r="I83" s="193">
        <f t="shared" si="3"/>
        <v>10642462.36919339</v>
      </c>
      <c r="J83" s="36">
        <f t="shared" si="4"/>
        <v>226016.36919339001</v>
      </c>
      <c r="K83" s="5">
        <f t="shared" si="5"/>
        <v>2.1698031093656128E-2</v>
      </c>
    </row>
    <row r="84" spans="1:17">
      <c r="A84" s="3">
        <v>40087</v>
      </c>
      <c r="B84" s="61">
        <v>10039694</v>
      </c>
      <c r="C84" s="187">
        <f>+'Purchased Power Model '!C84</f>
        <v>287.89999999999998</v>
      </c>
      <c r="D84" s="187">
        <f>+'Purchased Power Model '!D84</f>
        <v>0</v>
      </c>
      <c r="E84" s="103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3853</v>
      </c>
      <c r="I84" s="193">
        <f t="shared" si="3"/>
        <v>10678145.226236582</v>
      </c>
      <c r="J84" s="36">
        <f t="shared" si="4"/>
        <v>638451.2262365818</v>
      </c>
      <c r="K84" s="5">
        <f t="shared" si="5"/>
        <v>6.3592697769133386E-2</v>
      </c>
    </row>
    <row r="85" spans="1:17">
      <c r="A85" s="3">
        <v>40118</v>
      </c>
      <c r="B85" s="61">
        <v>10212467</v>
      </c>
      <c r="C85" s="187">
        <f>+'Purchased Power Model '!C85</f>
        <v>347.4</v>
      </c>
      <c r="D85" s="187">
        <f>+'Purchased Power Model '!D85</f>
        <v>0</v>
      </c>
      <c r="E85" s="103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3877</v>
      </c>
      <c r="I85" s="193">
        <f t="shared" si="3"/>
        <v>11094193.283510849</v>
      </c>
      <c r="J85" s="36">
        <f t="shared" si="4"/>
        <v>881726.28351084888</v>
      </c>
      <c r="K85" s="5">
        <f t="shared" si="5"/>
        <v>8.6338225965464449E-2</v>
      </c>
    </row>
    <row r="86" spans="1:17" s="31" customFormat="1">
      <c r="A86" s="3">
        <v>40148</v>
      </c>
      <c r="B86" s="61">
        <v>10448369</v>
      </c>
      <c r="C86" s="187">
        <f>+'Purchased Power Model '!C86</f>
        <v>619.1</v>
      </c>
      <c r="D86" s="187">
        <f>+'Purchased Power Model '!D86</f>
        <v>0</v>
      </c>
      <c r="E86" s="103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3897</v>
      </c>
      <c r="I86" s="193">
        <f t="shared" si="3"/>
        <v>11290301.485722795</v>
      </c>
      <c r="J86" s="36">
        <f t="shared" si="4"/>
        <v>841932.48572279513</v>
      </c>
      <c r="K86" s="5">
        <f t="shared" si="5"/>
        <v>8.0580278675341108E-2</v>
      </c>
      <c r="L86" s="27"/>
      <c r="M86" s="27"/>
      <c r="N86" s="27"/>
      <c r="O86" s="27"/>
      <c r="P86" s="27"/>
      <c r="Q86" s="27"/>
    </row>
    <row r="87" spans="1:17">
      <c r="A87" s="3">
        <v>40179</v>
      </c>
      <c r="B87" s="59">
        <v>11522598</v>
      </c>
      <c r="C87" s="187">
        <f>+'Purchased Power Model '!C87</f>
        <v>699.9</v>
      </c>
      <c r="D87" s="187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3899</v>
      </c>
      <c r="I87" s="193">
        <f t="shared" si="3"/>
        <v>11416773.510256119</v>
      </c>
      <c r="J87" s="36">
        <f t="shared" si="4"/>
        <v>-105824.48974388093</v>
      </c>
      <c r="K87" s="5">
        <f t="shared" si="5"/>
        <v>-9.1840824216796353E-3</v>
      </c>
    </row>
    <row r="88" spans="1:17">
      <c r="A88" s="3">
        <v>40210</v>
      </c>
      <c r="B88" s="59">
        <v>13123101</v>
      </c>
      <c r="C88" s="187">
        <f>+'Purchased Power Model '!C88</f>
        <v>583.79999999999995</v>
      </c>
      <c r="D88" s="187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3902</v>
      </c>
      <c r="I88" s="193">
        <f t="shared" si="3"/>
        <v>12057413.999601778</v>
      </c>
      <c r="J88" s="36">
        <f t="shared" si="4"/>
        <v>-1065687.0003982224</v>
      </c>
      <c r="K88" s="5">
        <f t="shared" si="5"/>
        <v>-8.1206949515836416E-2</v>
      </c>
    </row>
    <row r="89" spans="1:17">
      <c r="A89" s="3">
        <v>40238</v>
      </c>
      <c r="B89" s="59">
        <v>11365818</v>
      </c>
      <c r="C89" s="187">
        <f>+'Purchased Power Model '!C89</f>
        <v>411</v>
      </c>
      <c r="D89" s="187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3904</v>
      </c>
      <c r="I89" s="193">
        <f t="shared" si="3"/>
        <v>10966602.987222504</v>
      </c>
      <c r="J89" s="36">
        <f t="shared" si="4"/>
        <v>-399215.01277749613</v>
      </c>
      <c r="K89" s="5">
        <f t="shared" si="5"/>
        <v>-3.5124177844260404E-2</v>
      </c>
    </row>
    <row r="90" spans="1:17">
      <c r="A90" s="3">
        <v>40269</v>
      </c>
      <c r="B90" s="59">
        <v>10954550</v>
      </c>
      <c r="C90" s="187">
        <f>+'Purchased Power Model '!C90</f>
        <v>244</v>
      </c>
      <c r="D90" s="187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3905</v>
      </c>
      <c r="I90" s="193">
        <f t="shared" si="3"/>
        <v>10980826.247726317</v>
      </c>
      <c r="J90" s="36">
        <f t="shared" si="4"/>
        <v>26276.247726317495</v>
      </c>
      <c r="K90" s="5">
        <f t="shared" si="5"/>
        <v>2.3986606228751975E-3</v>
      </c>
    </row>
    <row r="91" spans="1:17">
      <c r="A91" s="3">
        <v>40299</v>
      </c>
      <c r="B91" s="59">
        <v>10190240</v>
      </c>
      <c r="C91" s="187">
        <f>+'Purchased Power Model '!C91</f>
        <v>121.7</v>
      </c>
      <c r="D91" s="187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3919</v>
      </c>
      <c r="I91" s="193">
        <f t="shared" si="3"/>
        <v>10655395.748551704</v>
      </c>
      <c r="J91" s="36">
        <f t="shared" si="4"/>
        <v>465155.74855170399</v>
      </c>
      <c r="K91" s="5">
        <f t="shared" si="5"/>
        <v>4.5647182848657535E-2</v>
      </c>
    </row>
    <row r="92" spans="1:17">
      <c r="A92" s="3">
        <v>40330</v>
      </c>
      <c r="B92" s="59">
        <v>9777540</v>
      </c>
      <c r="C92" s="187">
        <f>+'Purchased Power Model '!C92</f>
        <v>19.399999999999999</v>
      </c>
      <c r="D92" s="187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3923</v>
      </c>
      <c r="I92" s="193">
        <f t="shared" si="3"/>
        <v>10885745.781098485</v>
      </c>
      <c r="J92" s="36">
        <f t="shared" si="4"/>
        <v>1108205.781098485</v>
      </c>
      <c r="K92" s="5">
        <f t="shared" si="5"/>
        <v>0.11334198388331676</v>
      </c>
    </row>
    <row r="93" spans="1:17">
      <c r="A93" s="3">
        <v>40360</v>
      </c>
      <c r="B93" s="59">
        <v>10570916</v>
      </c>
      <c r="C93" s="187">
        <f>+'Purchased Power Model '!C93</f>
        <v>3.5</v>
      </c>
      <c r="D93" s="187">
        <f>+'Purchased Power Model '!D93</f>
        <v>124</v>
      </c>
      <c r="E93" s="103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3928</v>
      </c>
      <c r="I93" s="193">
        <f t="shared" si="3"/>
        <v>10983894.812250976</v>
      </c>
      <c r="J93" s="36">
        <f t="shared" si="4"/>
        <v>412978.81225097552</v>
      </c>
      <c r="K93" s="5">
        <f t="shared" si="5"/>
        <v>3.9067457564791498E-2</v>
      </c>
    </row>
    <row r="94" spans="1:17">
      <c r="A94" s="3">
        <v>40391</v>
      </c>
      <c r="B94" s="59">
        <v>11251146</v>
      </c>
      <c r="C94" s="187">
        <f>+'Purchased Power Model '!C94</f>
        <v>3.2</v>
      </c>
      <c r="D94" s="187">
        <f>+'Purchased Power Model '!D94</f>
        <v>96.8</v>
      </c>
      <c r="E94" s="103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3927</v>
      </c>
      <c r="I94" s="193">
        <f t="shared" si="3"/>
        <v>10841601.755893841</v>
      </c>
      <c r="J94" s="36">
        <f t="shared" si="4"/>
        <v>-409544.24410615861</v>
      </c>
      <c r="K94" s="5">
        <f t="shared" si="5"/>
        <v>-3.640022483986597E-2</v>
      </c>
    </row>
    <row r="95" spans="1:17">
      <c r="A95" s="3">
        <v>40422</v>
      </c>
      <c r="B95" s="59">
        <v>11729543</v>
      </c>
      <c r="C95" s="187">
        <f>+'Purchased Power Model '!C95</f>
        <v>85.5</v>
      </c>
      <c r="D95" s="187">
        <f>+'Purchased Power Model '!D95</f>
        <v>18.5</v>
      </c>
      <c r="E95" s="103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3943</v>
      </c>
      <c r="I95" s="193">
        <f t="shared" si="3"/>
        <v>10883059.655214101</v>
      </c>
      <c r="J95" s="36">
        <f t="shared" si="4"/>
        <v>-846483.34478589892</v>
      </c>
      <c r="K95" s="5">
        <f t="shared" si="5"/>
        <v>-7.2166779625250435E-2</v>
      </c>
    </row>
    <row r="96" spans="1:17">
      <c r="A96" s="3">
        <v>40452</v>
      </c>
      <c r="B96" s="59">
        <v>10513628</v>
      </c>
      <c r="C96" s="187">
        <f>+'Purchased Power Model '!C96</f>
        <v>247.8</v>
      </c>
      <c r="D96" s="187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3951</v>
      </c>
      <c r="I96" s="193">
        <f t="shared" si="3"/>
        <v>10812495.792368531</v>
      </c>
      <c r="J96" s="36">
        <f t="shared" si="4"/>
        <v>298867.79236853123</v>
      </c>
      <c r="K96" s="5">
        <f t="shared" si="5"/>
        <v>2.8426704118552724E-2</v>
      </c>
    </row>
    <row r="97" spans="1:11">
      <c r="A97" s="3">
        <v>40483</v>
      </c>
      <c r="B97" s="59">
        <v>10081406</v>
      </c>
      <c r="C97" s="187">
        <f>+'Purchased Power Model '!C97</f>
        <v>389.2</v>
      </c>
      <c r="D97" s="187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3954</v>
      </c>
      <c r="I97" s="193">
        <f t="shared" si="3"/>
        <v>11320591.050393756</v>
      </c>
      <c r="J97" s="36">
        <f t="shared" si="4"/>
        <v>1239185.0503937565</v>
      </c>
      <c r="K97" s="5">
        <f t="shared" si="5"/>
        <v>0.12291787974750312</v>
      </c>
    </row>
    <row r="98" spans="1:11">
      <c r="A98" s="3">
        <v>40513</v>
      </c>
      <c r="B98" s="59">
        <v>10201617</v>
      </c>
      <c r="C98" s="187">
        <f>+'Purchased Power Model '!C98</f>
        <v>628.70000000000005</v>
      </c>
      <c r="D98" s="187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3961</v>
      </c>
      <c r="I98" s="193">
        <f t="shared" si="3"/>
        <v>11439860.739886431</v>
      </c>
      <c r="J98" s="36">
        <f t="shared" si="4"/>
        <v>1238243.739886431</v>
      </c>
      <c r="K98" s="5">
        <f t="shared" si="5"/>
        <v>0.12137720323027526</v>
      </c>
    </row>
    <row r="99" spans="1:11">
      <c r="A99" s="3">
        <v>40544</v>
      </c>
      <c r="B99" s="105">
        <v>11108115</v>
      </c>
      <c r="C99" s="190">
        <f>+'Purchased Power Model '!C99</f>
        <v>760.9</v>
      </c>
      <c r="D99" s="190">
        <f>+'Purchased Power Model '!D99</f>
        <v>0</v>
      </c>
      <c r="E99" s="103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3962</v>
      </c>
      <c r="I99" s="193">
        <f t="shared" si="3"/>
        <v>11666849.220754463</v>
      </c>
      <c r="J99" s="36">
        <f t="shared" si="4"/>
        <v>558734.22075446323</v>
      </c>
      <c r="K99" s="5">
        <f t="shared" si="5"/>
        <v>5.0299643166681583E-2</v>
      </c>
    </row>
    <row r="100" spans="1:11">
      <c r="A100" s="3">
        <v>40575</v>
      </c>
      <c r="B100" s="105">
        <v>13519418</v>
      </c>
      <c r="C100" s="190">
        <f>+'Purchased Power Model '!C100</f>
        <v>634.19999999999993</v>
      </c>
      <c r="D100" s="190">
        <f>+'Purchased Power Model '!D100</f>
        <v>0</v>
      </c>
      <c r="E100" s="103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3963</v>
      </c>
      <c r="I100" s="193">
        <f t="shared" si="3"/>
        <v>12286554.17913921</v>
      </c>
      <c r="J100" s="36">
        <f t="shared" si="4"/>
        <v>-1232863.8208607901</v>
      </c>
      <c r="K100" s="5">
        <f t="shared" si="5"/>
        <v>-9.1192078006670854E-2</v>
      </c>
    </row>
    <row r="101" spans="1:11">
      <c r="A101" s="3">
        <v>40603</v>
      </c>
      <c r="B101" s="105">
        <v>13897258</v>
      </c>
      <c r="C101" s="190">
        <f>+'Purchased Power Model '!C101</f>
        <v>559.80000000000007</v>
      </c>
      <c r="D101" s="190">
        <f>+'Purchased Power Model '!D101</f>
        <v>0</v>
      </c>
      <c r="E101" s="103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3966</v>
      </c>
      <c r="I101" s="193">
        <f t="shared" si="3"/>
        <v>11356496.246322954</v>
      </c>
      <c r="J101" s="36">
        <f t="shared" si="4"/>
        <v>-2540761.7536770459</v>
      </c>
      <c r="K101" s="5">
        <f t="shared" si="5"/>
        <v>-0.18282468050007031</v>
      </c>
    </row>
    <row r="102" spans="1:11">
      <c r="A102" s="3">
        <v>40634</v>
      </c>
      <c r="B102" s="105">
        <v>11362813</v>
      </c>
      <c r="C102" s="190">
        <f>+'Purchased Power Model '!C102</f>
        <v>350.79999999999995</v>
      </c>
      <c r="D102" s="190">
        <f>+'Purchased Power Model '!D102</f>
        <v>0</v>
      </c>
      <c r="E102" s="103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3969</v>
      </c>
      <c r="I102" s="193">
        <f t="shared" si="3"/>
        <v>11287289.181039523</v>
      </c>
      <c r="J102" s="36">
        <f t="shared" si="4"/>
        <v>-75523.818960476667</v>
      </c>
      <c r="K102" s="5">
        <f t="shared" si="5"/>
        <v>-6.6465776529523691E-3</v>
      </c>
    </row>
    <row r="103" spans="1:11">
      <c r="A103" s="3">
        <v>40664</v>
      </c>
      <c r="B103" s="105">
        <v>10258796</v>
      </c>
      <c r="C103" s="190">
        <f>+'Purchased Power Model '!C103</f>
        <v>157.69999999999996</v>
      </c>
      <c r="D103" s="190">
        <f>+'Purchased Power Model '!D103</f>
        <v>2.8</v>
      </c>
      <c r="E103" s="103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3974</v>
      </c>
      <c r="I103" s="193">
        <f t="shared" si="3"/>
        <v>10725437.604371317</v>
      </c>
      <c r="J103" s="36">
        <f t="shared" si="4"/>
        <v>466641.60437131673</v>
      </c>
      <c r="K103" s="5">
        <f t="shared" si="5"/>
        <v>4.5486975700785623E-2</v>
      </c>
    </row>
    <row r="104" spans="1:11">
      <c r="A104" s="3">
        <v>40695</v>
      </c>
      <c r="B104" s="105">
        <v>10532456</v>
      </c>
      <c r="C104" s="190">
        <f>+'Purchased Power Model '!C104</f>
        <v>26.699999999999996</v>
      </c>
      <c r="D104" s="190">
        <f>+'Purchased Power Model '!D104</f>
        <v>36.900000000000006</v>
      </c>
      <c r="E104" s="103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3812</v>
      </c>
      <c r="I104" s="193">
        <f t="shared" si="3"/>
        <v>10647047.102617159</v>
      </c>
      <c r="J104" s="36">
        <f t="shared" si="4"/>
        <v>114591.10261715949</v>
      </c>
      <c r="K104" s="5">
        <f t="shared" si="5"/>
        <v>1.0879808338829944E-2</v>
      </c>
    </row>
    <row r="105" spans="1:11">
      <c r="A105" s="3">
        <v>40725</v>
      </c>
      <c r="B105" s="105">
        <v>11071076</v>
      </c>
      <c r="C105" s="190">
        <f>+'Purchased Power Model '!C105</f>
        <v>0.2</v>
      </c>
      <c r="D105" s="190">
        <f>+'Purchased Power Model '!D105</f>
        <v>141.19999999999999</v>
      </c>
      <c r="E105" s="103">
        <f>+'Purchased Power Model '!E105</f>
        <v>7.0999999999999994E-2</v>
      </c>
      <c r="F105" s="57">
        <f>+'Purchased Power Model '!F105</f>
        <v>31</v>
      </c>
      <c r="G105" s="57">
        <f>+'Purchased Power Model '!G105</f>
        <v>0</v>
      </c>
      <c r="H105" s="58">
        <v>3811</v>
      </c>
      <c r="I105" s="193">
        <f t="shared" si="3"/>
        <v>10907498.927269867</v>
      </c>
      <c r="J105" s="36">
        <f t="shared" si="4"/>
        <v>-163577.07273013331</v>
      </c>
      <c r="K105" s="5">
        <f t="shared" si="5"/>
        <v>-1.477517386116158E-2</v>
      </c>
    </row>
    <row r="106" spans="1:11">
      <c r="A106" s="3">
        <v>40756</v>
      </c>
      <c r="B106" s="105">
        <v>10992419</v>
      </c>
      <c r="C106" s="190">
        <f>+'Purchased Power Model '!C106</f>
        <v>3.7</v>
      </c>
      <c r="D106" s="190">
        <f>+'Purchased Power Model '!D106</f>
        <v>80.499999999999957</v>
      </c>
      <c r="E106" s="103">
        <f>+'Purchased Power Model '!E106</f>
        <v>7.0999999999999994E-2</v>
      </c>
      <c r="F106" s="57">
        <f>+'Purchased Power Model '!F106</f>
        <v>31</v>
      </c>
      <c r="G106" s="57">
        <f>+'Purchased Power Model '!G106</f>
        <v>0</v>
      </c>
      <c r="H106" s="58">
        <v>3810</v>
      </c>
      <c r="I106" s="193">
        <f t="shared" si="3"/>
        <v>10599041.006876603</v>
      </c>
      <c r="J106" s="36">
        <f t="shared" si="4"/>
        <v>-393377.99312339723</v>
      </c>
      <c r="K106" s="5">
        <f t="shared" si="5"/>
        <v>-3.5786299005104993E-2</v>
      </c>
    </row>
    <row r="107" spans="1:11">
      <c r="A107" s="3">
        <v>40787</v>
      </c>
      <c r="B107" s="105">
        <v>12046598</v>
      </c>
      <c r="C107" s="190">
        <f>+'Purchased Power Model '!C107</f>
        <v>48.900000000000006</v>
      </c>
      <c r="D107" s="190">
        <f>+'Purchased Power Model '!D107</f>
        <v>34.6</v>
      </c>
      <c r="E107" s="103">
        <f>+'Purchased Power Model '!E107</f>
        <v>7.0999999999999994E-2</v>
      </c>
      <c r="F107" s="57">
        <f>+'Purchased Power Model '!F107</f>
        <v>30</v>
      </c>
      <c r="G107" s="57">
        <f>+'Purchased Power Model '!G107</f>
        <v>1</v>
      </c>
      <c r="H107" s="58">
        <v>3807</v>
      </c>
      <c r="I107" s="193">
        <f t="shared" si="3"/>
        <v>10710918.113123037</v>
      </c>
      <c r="J107" s="36">
        <f t="shared" si="4"/>
        <v>-1335679.8868769631</v>
      </c>
      <c r="K107" s="5">
        <f t="shared" si="5"/>
        <v>-0.11087610683754559</v>
      </c>
    </row>
    <row r="108" spans="1:11">
      <c r="A108" s="3">
        <v>40817</v>
      </c>
      <c r="B108" s="105">
        <v>10380233</v>
      </c>
      <c r="C108" s="190">
        <f>+'Purchased Power Model '!C108</f>
        <v>225.29999999999998</v>
      </c>
      <c r="D108" s="190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3810</v>
      </c>
      <c r="I108" s="193">
        <f t="shared" si="3"/>
        <v>10543507.108365675</v>
      </c>
      <c r="J108" s="36">
        <f t="shared" si="4"/>
        <v>163274.10836567543</v>
      </c>
      <c r="K108" s="5">
        <f t="shared" si="5"/>
        <v>1.5729329810388208E-2</v>
      </c>
    </row>
    <row r="109" spans="1:11">
      <c r="A109" s="3">
        <v>40848</v>
      </c>
      <c r="B109" s="105">
        <v>9987001</v>
      </c>
      <c r="C109" s="190">
        <f>+'Purchased Power Model '!C109</f>
        <v>349.69999999999993</v>
      </c>
      <c r="D109" s="190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3811</v>
      </c>
      <c r="I109" s="193">
        <f t="shared" si="3"/>
        <v>11020335.728983931</v>
      </c>
      <c r="J109" s="36">
        <f t="shared" si="4"/>
        <v>1033334.7289839312</v>
      </c>
      <c r="K109" s="5">
        <f t="shared" si="5"/>
        <v>0.10346797091378396</v>
      </c>
    </row>
    <row r="110" spans="1:11">
      <c r="A110" s="3">
        <v>40878</v>
      </c>
      <c r="B110" s="105">
        <v>10539695</v>
      </c>
      <c r="C110" s="190">
        <f>+'Purchased Power Model '!C110</f>
        <v>531.20000000000005</v>
      </c>
      <c r="D110" s="190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3816</v>
      </c>
      <c r="I110" s="193">
        <f t="shared" si="3"/>
        <v>11042155.130399548</v>
      </c>
      <c r="J110" s="36">
        <f t="shared" si="4"/>
        <v>502460.13039954752</v>
      </c>
      <c r="K110" s="5">
        <f t="shared" si="5"/>
        <v>4.767311866230925E-2</v>
      </c>
    </row>
    <row r="111" spans="1:11">
      <c r="A111" s="3">
        <v>40909</v>
      </c>
      <c r="B111" s="105">
        <v>9452959</v>
      </c>
      <c r="C111" s="190">
        <f>+'Purchased Power Model '!C111</f>
        <v>611</v>
      </c>
      <c r="D111" s="190">
        <f>+'Purchased Power Model '!D111</f>
        <v>0</v>
      </c>
      <c r="E111" s="103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3819</v>
      </c>
      <c r="I111" s="193">
        <f t="shared" si="3"/>
        <v>11165033.822376568</v>
      </c>
      <c r="J111" s="36">
        <f t="shared" si="4"/>
        <v>1712074.8223765679</v>
      </c>
      <c r="K111" s="5">
        <f t="shared" si="5"/>
        <v>0.18111522776905811</v>
      </c>
    </row>
    <row r="112" spans="1:11">
      <c r="A112" s="3">
        <v>40940</v>
      </c>
      <c r="B112" s="105">
        <v>14357372</v>
      </c>
      <c r="C112" s="190">
        <f>+'Purchased Power Model '!C112</f>
        <v>536.20000000000005</v>
      </c>
      <c r="D112" s="190">
        <f>+'Purchased Power Model '!D112</f>
        <v>0</v>
      </c>
      <c r="E112" s="103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3835</v>
      </c>
      <c r="I112" s="193">
        <f t="shared" si="3"/>
        <v>11623096.945301384</v>
      </c>
      <c r="J112" s="36">
        <f t="shared" si="4"/>
        <v>-2734275.0546986163</v>
      </c>
      <c r="K112" s="5">
        <f t="shared" si="5"/>
        <v>-0.19044397921141948</v>
      </c>
    </row>
    <row r="113" spans="1:11">
      <c r="A113" s="3">
        <v>40969</v>
      </c>
      <c r="B113" s="105">
        <v>10772984</v>
      </c>
      <c r="C113" s="190">
        <f>+'Purchased Power Model '!C113</f>
        <v>399.39999999999992</v>
      </c>
      <c r="D113" s="190">
        <f>+'Purchased Power Model '!D113</f>
        <v>0</v>
      </c>
      <c r="E113" s="103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3838</v>
      </c>
      <c r="I113" s="193">
        <f t="shared" si="3"/>
        <v>10866416.145754131</v>
      </c>
      <c r="J113" s="36">
        <f t="shared" si="4"/>
        <v>93432.145754130557</v>
      </c>
      <c r="K113" s="5">
        <f t="shared" si="5"/>
        <v>8.6728195042460425E-3</v>
      </c>
    </row>
    <row r="114" spans="1:11">
      <c r="A114" s="3">
        <v>41000</v>
      </c>
      <c r="B114" s="105">
        <v>11133490</v>
      </c>
      <c r="C114" s="190">
        <f>+'Purchased Power Model '!C114</f>
        <v>336.89999999999992</v>
      </c>
      <c r="D114" s="190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3845</v>
      </c>
      <c r="I114" s="193">
        <f t="shared" si="3"/>
        <v>11045235.250910748</v>
      </c>
      <c r="J114" s="36">
        <f t="shared" si="4"/>
        <v>-88254.749089252204</v>
      </c>
      <c r="K114" s="5">
        <f t="shared" si="5"/>
        <v>-7.9269617244235365E-3</v>
      </c>
    </row>
    <row r="115" spans="1:11">
      <c r="A115" s="3">
        <v>41030</v>
      </c>
      <c r="B115" s="105">
        <v>8931520</v>
      </c>
      <c r="C115" s="190">
        <f>+'Purchased Power Model '!C115</f>
        <v>109.30000000000001</v>
      </c>
      <c r="D115" s="190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3864</v>
      </c>
      <c r="I115" s="193">
        <f t="shared" si="3"/>
        <v>10552186.802275743</v>
      </c>
      <c r="J115" s="36">
        <f t="shared" si="4"/>
        <v>1620666.8022757433</v>
      </c>
      <c r="K115" s="5">
        <f t="shared" si="5"/>
        <v>0.18145475823552357</v>
      </c>
    </row>
    <row r="116" spans="1:11">
      <c r="A116" s="3">
        <v>41061</v>
      </c>
      <c r="B116" s="105">
        <v>8356542</v>
      </c>
      <c r="C116" s="190">
        <f>+'Purchased Power Model '!C116</f>
        <v>28.2</v>
      </c>
      <c r="D116" s="190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3865</v>
      </c>
      <c r="I116" s="193">
        <f t="shared" si="3"/>
        <v>10909257.793661572</v>
      </c>
      <c r="J116" s="36">
        <f t="shared" si="4"/>
        <v>2552715.793661572</v>
      </c>
      <c r="K116" s="5">
        <f t="shared" si="5"/>
        <v>0.30547513477004867</v>
      </c>
    </row>
    <row r="117" spans="1:11">
      <c r="A117" s="3">
        <v>41091</v>
      </c>
      <c r="B117" s="105">
        <v>9843844</v>
      </c>
      <c r="C117" s="190">
        <f>+'Purchased Power Model '!C117</f>
        <v>0</v>
      </c>
      <c r="D117" s="190">
        <f>+'Purchased Power Model '!D117</f>
        <v>155.30000000000001</v>
      </c>
      <c r="E117" s="103">
        <f>+'Purchased Power Model '!E117</f>
        <v>9.0999999999999998E-2</v>
      </c>
      <c r="F117" s="57">
        <f>+'Purchased Power Model '!F117</f>
        <v>31</v>
      </c>
      <c r="G117" s="57">
        <f>+'Purchased Power Model '!G117</f>
        <v>0</v>
      </c>
      <c r="H117" s="58">
        <v>3864</v>
      </c>
      <c r="I117" s="193">
        <f t="shared" si="3"/>
        <v>11042134.640649095</v>
      </c>
      <c r="J117" s="36">
        <f t="shared" si="4"/>
        <v>1198290.6406490952</v>
      </c>
      <c r="K117" s="5">
        <f t="shared" si="5"/>
        <v>0.1217299502764464</v>
      </c>
    </row>
    <row r="118" spans="1:11">
      <c r="A118" s="3">
        <v>41122</v>
      </c>
      <c r="B118" s="105">
        <v>12271242</v>
      </c>
      <c r="C118" s="190">
        <f>+'Purchased Power Model '!C118</f>
        <v>4.4000000000000004</v>
      </c>
      <c r="D118" s="190">
        <f>+'Purchased Power Model '!D118</f>
        <v>102.79999999999998</v>
      </c>
      <c r="E118" s="103">
        <f>+'Purchased Power Model '!E118</f>
        <v>9.0999999999999998E-2</v>
      </c>
      <c r="F118" s="57">
        <f>+'Purchased Power Model '!F118</f>
        <v>31</v>
      </c>
      <c r="G118" s="57">
        <f>+'Purchased Power Model '!G118</f>
        <v>0</v>
      </c>
      <c r="H118" s="58">
        <v>3866</v>
      </c>
      <c r="I118" s="193">
        <f t="shared" si="3"/>
        <v>10783041.156400224</v>
      </c>
      <c r="J118" s="36">
        <f t="shared" si="4"/>
        <v>-1488200.8435997758</v>
      </c>
      <c r="K118" s="5">
        <f t="shared" si="5"/>
        <v>-0.12127548650737846</v>
      </c>
    </row>
    <row r="119" spans="1:11">
      <c r="A119" s="3">
        <v>41153</v>
      </c>
      <c r="B119" s="105">
        <v>12813803</v>
      </c>
      <c r="C119" s="190">
        <f>+'Purchased Power Model '!C119</f>
        <v>84</v>
      </c>
      <c r="D119" s="190">
        <f>+'Purchased Power Model '!D119</f>
        <v>24.400000000000002</v>
      </c>
      <c r="E119" s="103">
        <f>+'Purchased Power Model '!E119</f>
        <v>9.0999999999999998E-2</v>
      </c>
      <c r="F119" s="57">
        <f>+'Purchased Power Model '!F119</f>
        <v>30</v>
      </c>
      <c r="G119" s="57">
        <f>+'Purchased Power Model '!G119</f>
        <v>1</v>
      </c>
      <c r="H119" s="58">
        <v>3868</v>
      </c>
      <c r="I119" s="193">
        <f t="shared" si="3"/>
        <v>10792853.843571998</v>
      </c>
      <c r="J119" s="36">
        <f t="shared" si="4"/>
        <v>-2020949.1564280018</v>
      </c>
      <c r="K119" s="5">
        <f t="shared" si="5"/>
        <v>-0.15771657769578648</v>
      </c>
    </row>
    <row r="120" spans="1:11">
      <c r="A120" s="3">
        <v>41183</v>
      </c>
      <c r="B120" s="105">
        <v>11998690</v>
      </c>
      <c r="C120" s="190">
        <f>+'Purchased Power Model '!C120</f>
        <v>228.99999999999994</v>
      </c>
      <c r="D120" s="190">
        <f>+'Purchased Power Model '!D120</f>
        <v>0</v>
      </c>
      <c r="E120" s="103">
        <f>+'Purchased Power Model '!E120</f>
        <v>9.6000000000000002E-2</v>
      </c>
      <c r="F120" s="57">
        <f>+'Purchased Power Model '!F120</f>
        <v>31</v>
      </c>
      <c r="G120" s="57">
        <f>+'Purchased Power Model '!G120</f>
        <v>1</v>
      </c>
      <c r="H120" s="58">
        <v>3870</v>
      </c>
      <c r="I120" s="193">
        <f t="shared" si="3"/>
        <v>10621413.290150296</v>
      </c>
      <c r="J120" s="36">
        <f t="shared" si="4"/>
        <v>-1377276.7098497041</v>
      </c>
      <c r="K120" s="5">
        <f t="shared" si="5"/>
        <v>-0.11478558991437432</v>
      </c>
    </row>
    <row r="121" spans="1:11">
      <c r="A121" s="3">
        <v>41214</v>
      </c>
      <c r="B121" s="105">
        <v>10009126</v>
      </c>
      <c r="C121" s="190">
        <f>+'Purchased Power Model '!C121</f>
        <v>427.89999999999992</v>
      </c>
      <c r="D121" s="190">
        <f>+'Purchased Power Model '!D121</f>
        <v>0</v>
      </c>
      <c r="E121" s="103">
        <f>+'Purchased Power Model '!E121</f>
        <v>9.6000000000000002E-2</v>
      </c>
      <c r="F121" s="57">
        <f>+'Purchased Power Model '!F121</f>
        <v>30</v>
      </c>
      <c r="G121" s="57">
        <f>+'Purchased Power Model '!G121</f>
        <v>1</v>
      </c>
      <c r="H121" s="58">
        <v>3876</v>
      </c>
      <c r="I121" s="193">
        <f t="shared" si="3"/>
        <v>11228064.03651629</v>
      </c>
      <c r="J121" s="36">
        <f t="shared" si="4"/>
        <v>1218938.0365162902</v>
      </c>
      <c r="K121" s="5">
        <f t="shared" si="5"/>
        <v>0.12178266479174008</v>
      </c>
    </row>
    <row r="122" spans="1:11">
      <c r="A122" s="3">
        <v>41244</v>
      </c>
      <c r="B122" s="105">
        <v>11649229</v>
      </c>
      <c r="C122" s="190">
        <f>+'Purchased Power Model '!C122</f>
        <v>451.09999999999997</v>
      </c>
      <c r="D122" s="190">
        <f>+'Purchased Power Model '!D122</f>
        <v>0</v>
      </c>
      <c r="E122" s="103">
        <f>+'Purchased Power Model '!E122</f>
        <v>9.6000000000000002E-2</v>
      </c>
      <c r="F122" s="57">
        <f>+'Purchased Power Model '!F122</f>
        <v>31</v>
      </c>
      <c r="G122" s="57">
        <f>+'Purchased Power Model '!G122</f>
        <v>0</v>
      </c>
      <c r="H122" s="58">
        <v>3885</v>
      </c>
      <c r="I122" s="193">
        <f t="shared" si="3"/>
        <v>11001999.248749321</v>
      </c>
      <c r="J122" s="36">
        <f t="shared" si="4"/>
        <v>-647229.75125067867</v>
      </c>
      <c r="K122" s="5">
        <f t="shared" si="5"/>
        <v>-5.5559878791178255E-2</v>
      </c>
    </row>
    <row r="123" spans="1:11">
      <c r="A123" s="3">
        <v>41275</v>
      </c>
      <c r="B123" s="105">
        <v>11710408</v>
      </c>
      <c r="C123" s="190">
        <f>+'Purchased Power Model '!C123</f>
        <v>615.40000000000009</v>
      </c>
      <c r="D123" s="190">
        <f>+'Purchased Power Model '!D123</f>
        <v>0</v>
      </c>
      <c r="E123" s="103">
        <f>+'Purchased Power Model '!E123</f>
        <v>8.6000110000000005E-2</v>
      </c>
      <c r="F123" s="57">
        <f>+'Purchased Power Model '!F123</f>
        <v>31</v>
      </c>
      <c r="G123" s="57">
        <f>+'Purchased Power Model '!G123</f>
        <v>0</v>
      </c>
      <c r="H123" s="58">
        <v>3896</v>
      </c>
      <c r="I123" s="193">
        <f t="shared" si="3"/>
        <v>11307710.481163975</v>
      </c>
      <c r="J123" s="36">
        <f t="shared" si="4"/>
        <v>-402697.51883602515</v>
      </c>
      <c r="K123" s="5">
        <f t="shared" si="5"/>
        <v>-3.4388000728584792E-2</v>
      </c>
    </row>
    <row r="124" spans="1:11">
      <c r="A124" s="3">
        <v>41306</v>
      </c>
      <c r="B124" s="105">
        <v>11135515</v>
      </c>
      <c r="C124" s="190">
        <f>+'Purchased Power Model '!C124</f>
        <v>611.5</v>
      </c>
      <c r="D124" s="190">
        <f>+'Purchased Power Model '!D124</f>
        <v>0</v>
      </c>
      <c r="E124" s="103">
        <f>+'Purchased Power Model '!E124</f>
        <v>8.6000110000000005E-2</v>
      </c>
      <c r="F124" s="57">
        <f>+'Purchased Power Model '!F124</f>
        <v>28</v>
      </c>
      <c r="G124" s="57">
        <f>+'Purchased Power Model '!G124</f>
        <v>0</v>
      </c>
      <c r="H124" s="58">
        <v>3895</v>
      </c>
      <c r="I124" s="193">
        <f t="shared" si="3"/>
        <v>12121818.908572927</v>
      </c>
      <c r="J124" s="36">
        <f t="shared" si="4"/>
        <v>986303.90857292712</v>
      </c>
      <c r="K124" s="5">
        <f t="shared" si="5"/>
        <v>8.8572814869624539E-2</v>
      </c>
    </row>
    <row r="125" spans="1:11">
      <c r="A125" s="3">
        <v>41334</v>
      </c>
      <c r="B125" s="105">
        <v>12239097</v>
      </c>
      <c r="C125" s="190">
        <f>+'Purchased Power Model '!C125</f>
        <v>545</v>
      </c>
      <c r="D125" s="190">
        <f>+'Purchased Power Model '!D125</f>
        <v>0</v>
      </c>
      <c r="E125" s="103">
        <f>+'Purchased Power Model '!E125</f>
        <v>8.6000110000000005E-2</v>
      </c>
      <c r="F125" s="57">
        <f>+'Purchased Power Model '!F125</f>
        <v>31</v>
      </c>
      <c r="G125" s="57">
        <f>+'Purchased Power Model '!G125</f>
        <v>1</v>
      </c>
      <c r="H125" s="58">
        <v>3902</v>
      </c>
      <c r="I125" s="193">
        <f t="shared" si="3"/>
        <v>11212162.707095264</v>
      </c>
      <c r="J125" s="36">
        <f t="shared" si="4"/>
        <v>-1026934.2929047365</v>
      </c>
      <c r="K125" s="5">
        <f t="shared" si="5"/>
        <v>-8.3906050659189685E-2</v>
      </c>
    </row>
    <row r="126" spans="1:11">
      <c r="A126" s="3">
        <v>41365</v>
      </c>
      <c r="B126" s="105">
        <v>11909221</v>
      </c>
      <c r="C126" s="190">
        <f>+'Purchased Power Model '!C126</f>
        <v>366.49999999999994</v>
      </c>
      <c r="D126" s="190">
        <f>+'Purchased Power Model '!D126</f>
        <v>0</v>
      </c>
      <c r="E126" s="103">
        <f>+'Purchased Power Model '!E126</f>
        <v>7.8295169999999997E-2</v>
      </c>
      <c r="F126" s="57">
        <f>+'Purchased Power Model '!F126</f>
        <v>30</v>
      </c>
      <c r="G126" s="57">
        <f>+'Purchased Power Model '!G126</f>
        <v>1</v>
      </c>
      <c r="H126" s="58">
        <v>3913</v>
      </c>
      <c r="I126" s="193">
        <f t="shared" si="3"/>
        <v>11234154.170035765</v>
      </c>
      <c r="J126" s="36">
        <f t="shared" si="4"/>
        <v>-675066.82996423542</v>
      </c>
      <c r="K126" s="5">
        <f t="shared" si="5"/>
        <v>-5.6684381788215651E-2</v>
      </c>
    </row>
    <row r="127" spans="1:11">
      <c r="A127" s="3">
        <v>41395</v>
      </c>
      <c r="B127" s="105">
        <v>10706718</v>
      </c>
      <c r="C127" s="190">
        <f>+'Purchased Power Model '!C127</f>
        <v>133.4</v>
      </c>
      <c r="D127" s="190">
        <f>+'Purchased Power Model '!D127</f>
        <v>3</v>
      </c>
      <c r="E127" s="103">
        <f>+'Purchased Power Model '!E127</f>
        <v>7.8295169999999997E-2</v>
      </c>
      <c r="F127" s="57">
        <f>+'Purchased Power Model '!F127</f>
        <v>31</v>
      </c>
      <c r="G127" s="57">
        <f>+'Purchased Power Model '!G127</f>
        <v>1</v>
      </c>
      <c r="H127" s="58">
        <v>3916</v>
      </c>
      <c r="I127" s="193">
        <f t="shared" si="3"/>
        <v>10604937.19266849</v>
      </c>
      <c r="J127" s="36">
        <f t="shared" si="4"/>
        <v>-101780.80733150989</v>
      </c>
      <c r="K127" s="5">
        <f t="shared" si="5"/>
        <v>-9.5062564766822E-3</v>
      </c>
    </row>
    <row r="128" spans="1:11">
      <c r="A128" s="3">
        <v>41426</v>
      </c>
      <c r="B128" s="105">
        <v>10139279</v>
      </c>
      <c r="C128" s="190">
        <f>+'Purchased Power Model '!C128</f>
        <v>42.900000000000006</v>
      </c>
      <c r="D128" s="190">
        <f>+'Purchased Power Model '!D128</f>
        <v>32.200000000000003</v>
      </c>
      <c r="E128" s="103">
        <f>+'Purchased Power Model '!E128</f>
        <v>7.8295169999999997E-2</v>
      </c>
      <c r="F128" s="57">
        <f>+'Purchased Power Model '!F128</f>
        <v>30</v>
      </c>
      <c r="G128" s="57">
        <f>+'Purchased Power Model '!G128</f>
        <v>0</v>
      </c>
      <c r="H128" s="58">
        <v>3914</v>
      </c>
      <c r="I128" s="193">
        <f t="shared" si="3"/>
        <v>10872692.159451062</v>
      </c>
      <c r="J128" s="36">
        <f t="shared" si="4"/>
        <v>733413.15945106186</v>
      </c>
      <c r="K128" s="5">
        <f t="shared" si="5"/>
        <v>7.2333857215198624E-2</v>
      </c>
    </row>
    <row r="129" spans="1:11">
      <c r="A129" s="3">
        <v>41456</v>
      </c>
      <c r="B129" s="105">
        <v>10246768</v>
      </c>
      <c r="C129" s="190">
        <f>+'Purchased Power Model '!C129</f>
        <v>4.4000000000000004</v>
      </c>
      <c r="D129" s="190">
        <f>+'Purchased Power Model '!D129</f>
        <v>109.99999999999999</v>
      </c>
      <c r="E129" s="103">
        <f>+'Purchased Power Model '!E129</f>
        <v>6.7434110000000005E-2</v>
      </c>
      <c r="F129" s="57">
        <f>+'Purchased Power Model '!F129</f>
        <v>31</v>
      </c>
      <c r="G129" s="57">
        <f>+'Purchased Power Model '!G129</f>
        <v>0</v>
      </c>
      <c r="H129" s="58">
        <v>3908</v>
      </c>
      <c r="I129" s="193">
        <f t="shared" si="3"/>
        <v>10946242.258882187</v>
      </c>
      <c r="J129" s="36">
        <f t="shared" si="4"/>
        <v>699474.25888218731</v>
      </c>
      <c r="K129" s="5">
        <f t="shared" si="5"/>
        <v>6.8262915573201938E-2</v>
      </c>
    </row>
    <row r="130" spans="1:11">
      <c r="A130" s="3">
        <v>41487</v>
      </c>
      <c r="B130" s="105">
        <v>11967647</v>
      </c>
      <c r="C130" s="190">
        <f>+'Purchased Power Model '!C130</f>
        <v>11</v>
      </c>
      <c r="D130" s="190">
        <f>+'Purchased Power Model '!D130</f>
        <v>57.899999999999991</v>
      </c>
      <c r="E130" s="103">
        <f>+'Purchased Power Model '!E130</f>
        <v>6.7434110000000005E-2</v>
      </c>
      <c r="F130" s="57">
        <f>+'Purchased Power Model '!F130</f>
        <v>31</v>
      </c>
      <c r="G130" s="57">
        <f>+'Purchased Power Model '!G130</f>
        <v>0</v>
      </c>
      <c r="H130" s="58">
        <v>3911</v>
      </c>
      <c r="I130" s="193">
        <f t="shared" si="3"/>
        <v>10694669.711425837</v>
      </c>
      <c r="J130" s="36">
        <f t="shared" si="4"/>
        <v>-1272977.2885741629</v>
      </c>
      <c r="K130" s="5">
        <f t="shared" si="5"/>
        <v>-0.10636821829505523</v>
      </c>
    </row>
    <row r="131" spans="1:11">
      <c r="A131" s="3">
        <v>41518</v>
      </c>
      <c r="B131" s="105">
        <v>11151803</v>
      </c>
      <c r="C131" s="190">
        <f>+'Purchased Power Model '!C131</f>
        <v>96.600000000000009</v>
      </c>
      <c r="D131" s="190">
        <f>+'Purchased Power Model '!D131</f>
        <v>15.700000000000001</v>
      </c>
      <c r="E131" s="103">
        <f>+'Purchased Power Model '!E131</f>
        <v>6.7434110000000005E-2</v>
      </c>
      <c r="F131" s="57">
        <f>+'Purchased Power Model '!F131</f>
        <v>30</v>
      </c>
      <c r="G131" s="57">
        <f>+'Purchased Power Model '!G131</f>
        <v>1</v>
      </c>
      <c r="H131" s="58">
        <v>3914</v>
      </c>
      <c r="I131" s="193">
        <f t="shared" si="3"/>
        <v>10902265.869063009</v>
      </c>
      <c r="J131" s="36">
        <f t="shared" si="4"/>
        <v>-249537.13093699142</v>
      </c>
      <c r="K131" s="5">
        <f t="shared" si="5"/>
        <v>-2.2376393390108437E-2</v>
      </c>
    </row>
    <row r="132" spans="1:11">
      <c r="A132" s="3">
        <v>41548</v>
      </c>
      <c r="B132" s="105">
        <v>10054279</v>
      </c>
      <c r="C132" s="190">
        <f>+'Purchased Power Model '!C132</f>
        <v>221</v>
      </c>
      <c r="D132" s="190">
        <f>+'Purchased Power Model '!D132</f>
        <v>3</v>
      </c>
      <c r="E132" s="103">
        <f>+'Purchased Power Model '!E132</f>
        <v>7.5499999999999998E-2</v>
      </c>
      <c r="F132" s="57">
        <f>+'Purchased Power Model '!F132</f>
        <v>31</v>
      </c>
      <c r="G132" s="57">
        <f>+'Purchased Power Model '!G132</f>
        <v>1</v>
      </c>
      <c r="H132" s="58">
        <v>3914</v>
      </c>
      <c r="I132" s="193">
        <f t="shared" ref="I132:I195" si="6">$N$18+C132*$N$19+D132*$N$20+E132*$N$21+F132*$N$22+G132*$N$23+H132*$N$24</f>
        <v>10747958.159652293</v>
      </c>
      <c r="J132" s="36">
        <f t="shared" ref="J132:J133" si="7">I132-B132</f>
        <v>693679.15965229273</v>
      </c>
      <c r="K132" s="5">
        <f t="shared" ref="K132:K133" si="8">J132/B132</f>
        <v>6.899342654528412E-2</v>
      </c>
    </row>
    <row r="133" spans="1:11">
      <c r="A133" s="3">
        <v>41579</v>
      </c>
      <c r="B133" s="105">
        <v>10066610</v>
      </c>
      <c r="C133" s="190">
        <f>+'Purchased Power Model '!C133</f>
        <v>458.6</v>
      </c>
      <c r="D133" s="190">
        <f>+'Purchased Power Model '!D133</f>
        <v>0</v>
      </c>
      <c r="E133" s="103">
        <f>+'Purchased Power Model '!E133</f>
        <v>7.5499999999999998E-2</v>
      </c>
      <c r="F133" s="57">
        <f>+'Purchased Power Model '!F133</f>
        <v>30</v>
      </c>
      <c r="G133" s="57">
        <f>+'Purchased Power Model '!G133</f>
        <v>1</v>
      </c>
      <c r="H133" s="58">
        <v>3919</v>
      </c>
      <c r="I133" s="193">
        <f t="shared" si="6"/>
        <v>11399737.739877932</v>
      </c>
      <c r="J133" s="36">
        <f t="shared" si="7"/>
        <v>1333127.7398779318</v>
      </c>
      <c r="K133" s="5">
        <f t="shared" si="8"/>
        <v>0.13243065340545943</v>
      </c>
    </row>
    <row r="134" spans="1:11">
      <c r="A134" s="3">
        <v>41609</v>
      </c>
      <c r="B134" s="105">
        <v>11054783</v>
      </c>
      <c r="C134" s="190">
        <f>+'Purchased Power Model '!C134</f>
        <v>472.8</v>
      </c>
      <c r="D134" s="190">
        <f ca="1">+'Purchased Power Model '!D134</f>
        <v>0</v>
      </c>
      <c r="E134" s="103">
        <f>+'Purchased Power Model '!E134</f>
        <v>7.5499999999999998E-2</v>
      </c>
      <c r="F134" s="57">
        <f>+'Purchased Power Model '!F134</f>
        <v>31</v>
      </c>
      <c r="G134" s="57">
        <f>+'Purchased Power Model '!G134</f>
        <v>0</v>
      </c>
      <c r="H134" s="58">
        <v>3924</v>
      </c>
      <c r="I134" s="193">
        <f t="shared" ca="1" si="6"/>
        <v>11151495.561851948</v>
      </c>
      <c r="J134" s="36">
        <f t="shared" ref="J134" ca="1" si="9">I134-B134</f>
        <v>96712.5618519485</v>
      </c>
      <c r="K134" s="5">
        <f t="shared" ref="K134" ca="1" si="10">J134/B134</f>
        <v>8.748481254851271E-3</v>
      </c>
    </row>
    <row r="135" spans="1:11">
      <c r="A135" s="3">
        <v>41640</v>
      </c>
      <c r="C135" s="188">
        <f>+'Purchased Power Model '!C135</f>
        <v>552.13385193331999</v>
      </c>
      <c r="D135" s="188">
        <f ca="1">+'Purchased Power Model '!D135</f>
        <v>0</v>
      </c>
      <c r="E135" s="103">
        <f>+'Purchased Power Model '!E135</f>
        <v>7.5499999999999998E-2</v>
      </c>
      <c r="F135" s="57">
        <f>+'Purchased Power Model '!F135</f>
        <v>31</v>
      </c>
      <c r="G135" s="57">
        <f>+'Purchased Power Model '!G135</f>
        <v>0</v>
      </c>
      <c r="H135" s="191"/>
      <c r="I135" s="193">
        <f t="shared" ca="1" si="6"/>
        <v>3775623.4179769438</v>
      </c>
      <c r="J135" s="36"/>
      <c r="K135" s="5"/>
    </row>
    <row r="136" spans="1:11">
      <c r="A136" s="3">
        <v>41671</v>
      </c>
      <c r="C136" s="188">
        <f>+'Purchased Power Model '!C136</f>
        <v>548.63479112321284</v>
      </c>
      <c r="D136" s="188">
        <f ca="1">+'Purchased Power Model '!D136</f>
        <v>0</v>
      </c>
      <c r="E136" s="103">
        <f>+'Purchased Power Model '!E136</f>
        <v>7.5499999999999998E-2</v>
      </c>
      <c r="F136" s="57">
        <f>+'Purchased Power Model '!F136</f>
        <v>28</v>
      </c>
      <c r="G136" s="57">
        <f>+'Purchased Power Model '!G136</f>
        <v>0</v>
      </c>
      <c r="H136" s="191"/>
      <c r="I136" s="193">
        <f t="shared" ca="1" si="6"/>
        <v>4592291.3735671397</v>
      </c>
      <c r="J136" s="36"/>
      <c r="K136" s="5"/>
    </row>
    <row r="137" spans="1:11">
      <c r="A137" s="3">
        <v>41699</v>
      </c>
      <c r="C137" s="188">
        <f>+'Purchased Power Model '!C137</f>
        <v>488.97131833548809</v>
      </c>
      <c r="D137" s="188">
        <f ca="1">+'Purchased Power Model '!D137</f>
        <v>0</v>
      </c>
      <c r="E137" s="103">
        <f>+'Purchased Power Model '!E137</f>
        <v>7.5499999999999998E-2</v>
      </c>
      <c r="F137" s="57">
        <f>+'Purchased Power Model '!F137</f>
        <v>31</v>
      </c>
      <c r="G137" s="57">
        <f>+'Purchased Power Model '!G137</f>
        <v>1</v>
      </c>
      <c r="H137" s="191"/>
      <c r="I137" s="193">
        <f t="shared" ca="1" si="6"/>
        <v>3680284.7105232207</v>
      </c>
      <c r="J137" s="36"/>
      <c r="K137" s="5"/>
    </row>
    <row r="138" spans="1:11">
      <c r="A138" s="3">
        <v>41730</v>
      </c>
      <c r="C138" s="188">
        <f>+'Purchased Power Model '!C138</f>
        <v>328.82199664212175</v>
      </c>
      <c r="D138" s="188">
        <f ca="1">+'Purchased Power Model '!D138</f>
        <v>0</v>
      </c>
      <c r="E138" s="103">
        <f>+'Purchased Power Model '!E138</f>
        <v>7.5499999999999998E-2</v>
      </c>
      <c r="F138" s="57">
        <f>+'Purchased Power Model '!F138</f>
        <v>30</v>
      </c>
      <c r="G138" s="57">
        <f>+'Purchased Power Model '!G138</f>
        <v>1</v>
      </c>
      <c r="H138" s="191"/>
      <c r="I138" s="193">
        <f t="shared" ca="1" si="6"/>
        <v>3695871.430129013</v>
      </c>
      <c r="J138" s="36"/>
      <c r="K138" s="5"/>
    </row>
    <row r="139" spans="1:11">
      <c r="A139" s="3">
        <v>41760</v>
      </c>
      <c r="C139" s="188">
        <f>+'Purchased Power Model '!C139</f>
        <v>119.68582360725524</v>
      </c>
      <c r="D139" s="188">
        <f ca="1">+'Purchased Power Model '!D139</f>
        <v>3.6853840478727715</v>
      </c>
      <c r="E139" s="103">
        <f>+'Purchased Power Model '!E139</f>
        <v>7.5499999999999998E-2</v>
      </c>
      <c r="F139" s="57">
        <f>+'Purchased Power Model '!F139</f>
        <v>31</v>
      </c>
      <c r="G139" s="57">
        <f>+'Purchased Power Model '!G139</f>
        <v>1</v>
      </c>
      <c r="H139" s="191"/>
      <c r="I139" s="193">
        <f t="shared" ca="1" si="6"/>
        <v>3103125.8594896113</v>
      </c>
      <c r="J139" s="36"/>
      <c r="K139" s="5"/>
    </row>
    <row r="140" spans="1:11">
      <c r="A140" s="3">
        <v>41791</v>
      </c>
      <c r="C140" s="188">
        <f>+'Purchased Power Model '!C140</f>
        <v>38.489668911178789</v>
      </c>
      <c r="D140" s="188">
        <f ca="1">+'Purchased Power Model '!D140</f>
        <v>39.55645544716775</v>
      </c>
      <c r="E140" s="103">
        <f>+'Purchased Power Model '!E140</f>
        <v>7.5499999999999998E-2</v>
      </c>
      <c r="F140" s="57">
        <f>+'Purchased Power Model '!F140</f>
        <v>30</v>
      </c>
      <c r="G140" s="57">
        <f>+'Purchased Power Model '!G140</f>
        <v>0</v>
      </c>
      <c r="H140" s="191"/>
      <c r="I140" s="193">
        <f t="shared" ca="1" si="6"/>
        <v>3424035.0630619098</v>
      </c>
      <c r="J140" s="36"/>
      <c r="K140" s="5"/>
    </row>
    <row r="141" spans="1:11">
      <c r="A141" s="3">
        <v>41821</v>
      </c>
      <c r="C141" s="188">
        <f>+'Purchased Power Model '!C141</f>
        <v>3.9476583498644913</v>
      </c>
      <c r="D141" s="188">
        <f ca="1">+'Purchased Power Model '!D141</f>
        <v>135.1307484220016</v>
      </c>
      <c r="E141" s="103">
        <f>+'Purchased Power Model '!E141</f>
        <v>7.5499999999999998E-2</v>
      </c>
      <c r="F141" s="57">
        <f>+'Purchased Power Model '!F141</f>
        <v>31</v>
      </c>
      <c r="G141" s="57">
        <f>+'Purchased Power Model '!G141</f>
        <v>0</v>
      </c>
      <c r="H141" s="191"/>
      <c r="I141" s="193">
        <f t="shared" ca="1" si="6"/>
        <v>3585733.4268559441</v>
      </c>
      <c r="J141" s="36"/>
      <c r="K141" s="5"/>
    </row>
    <row r="142" spans="1:11">
      <c r="A142" s="3">
        <v>41852</v>
      </c>
      <c r="C142" s="188">
        <f>+'Purchased Power Model '!C142</f>
        <v>9.8691458746612266</v>
      </c>
      <c r="D142" s="188">
        <f ca="1">+'Purchased Power Model '!D142</f>
        <v>71.127912123944469</v>
      </c>
      <c r="E142" s="103">
        <f>+'Purchased Power Model '!E142</f>
        <v>7.5499999999999998E-2</v>
      </c>
      <c r="F142" s="57">
        <f>+'Purchased Power Model '!F142</f>
        <v>31</v>
      </c>
      <c r="G142" s="57">
        <f>+'Purchased Power Model '!G142</f>
        <v>0</v>
      </c>
      <c r="H142" s="191"/>
      <c r="I142" s="193">
        <f t="shared" ca="1" si="6"/>
        <v>3266109.3542362731</v>
      </c>
      <c r="J142" s="36"/>
      <c r="K142" s="5"/>
    </row>
    <row r="143" spans="1:11">
      <c r="A143" s="3">
        <v>41883</v>
      </c>
      <c r="C143" s="188">
        <f>+'Purchased Power Model '!C143</f>
        <v>86.669044681115878</v>
      </c>
      <c r="D143" s="188">
        <f ca="1">+'Purchased Power Model '!D143</f>
        <v>19.286843183867507</v>
      </c>
      <c r="E143" s="103">
        <f>+'Purchased Power Model '!E143</f>
        <v>7.5499999999999998E-2</v>
      </c>
      <c r="F143" s="57">
        <f>+'Purchased Power Model '!F143</f>
        <v>30</v>
      </c>
      <c r="G143" s="57">
        <f>+'Purchased Power Model '!G143</f>
        <v>1</v>
      </c>
      <c r="H143" s="191"/>
      <c r="I143" s="193">
        <f t="shared" ca="1" si="6"/>
        <v>3404176.6714420235</v>
      </c>
      <c r="J143" s="36"/>
      <c r="K143" s="5"/>
    </row>
    <row r="144" spans="1:11">
      <c r="A144" s="3">
        <v>41913</v>
      </c>
      <c r="C144" s="188">
        <f>+'Purchased Power Model '!C144</f>
        <v>198.2801125727392</v>
      </c>
      <c r="D144" s="188">
        <f ca="1">+'Purchased Power Model '!D144</f>
        <v>3.6853840478727715</v>
      </c>
      <c r="E144" s="103">
        <f>+'Purchased Power Model '!E144</f>
        <v>7.5499999999999998E-2</v>
      </c>
      <c r="F144" s="57">
        <f>+'Purchased Power Model '!F144</f>
        <v>31</v>
      </c>
      <c r="G144" s="57">
        <f>+'Purchased Power Model '!G144</f>
        <v>1</v>
      </c>
      <c r="H144" s="191"/>
      <c r="I144" s="193">
        <f t="shared" ca="1" si="6"/>
        <v>3229995.5415763287</v>
      </c>
      <c r="J144" s="36"/>
      <c r="K144" s="5"/>
    </row>
    <row r="145" spans="1:11">
      <c r="A145" s="3">
        <v>41944</v>
      </c>
      <c r="C145" s="188">
        <f>+'Purchased Power Model '!C145</f>
        <v>411.45366346542176</v>
      </c>
      <c r="D145" s="188">
        <f ca="1">+'Purchased Power Model '!D145</f>
        <v>0</v>
      </c>
      <c r="E145" s="103">
        <f>+'Purchased Power Model '!E145</f>
        <v>7.5499999999999998E-2</v>
      </c>
      <c r="F145" s="57">
        <f>+'Purchased Power Model '!F145</f>
        <v>30</v>
      </c>
      <c r="G145" s="57">
        <f>+'Purchased Power Model '!G145</f>
        <v>1</v>
      </c>
      <c r="H145" s="191"/>
      <c r="I145" s="193">
        <f t="shared" ca="1" si="6"/>
        <v>3829258.3904051175</v>
      </c>
      <c r="J145" s="36"/>
      <c r="K145" s="5"/>
    </row>
    <row r="146" spans="1:11">
      <c r="A146" s="3">
        <v>41974</v>
      </c>
      <c r="C146" s="188">
        <f>+'Purchased Power Model '!C146</f>
        <v>424.19383359452985</v>
      </c>
      <c r="D146" s="188">
        <f ca="1">+'Purchased Power Model '!D146</f>
        <v>0</v>
      </c>
      <c r="E146" s="103">
        <f>+'Purchased Power Model '!E146</f>
        <v>7.5499999999999998E-2</v>
      </c>
      <c r="F146" s="57">
        <f>+'Purchased Power Model '!F146</f>
        <v>31</v>
      </c>
      <c r="G146" s="57">
        <f>+'Purchased Power Model '!G146</f>
        <v>0</v>
      </c>
      <c r="H146" s="191"/>
      <c r="I146" s="193">
        <f t="shared" ca="1" si="6"/>
        <v>3569098.113575507</v>
      </c>
      <c r="J146" s="36"/>
      <c r="K146" s="5"/>
    </row>
    <row r="147" spans="1:11">
      <c r="A147" s="3">
        <v>42005</v>
      </c>
      <c r="C147" s="188">
        <f>+'Purchased Power Model '!C147</f>
        <v>545.6611483841823</v>
      </c>
      <c r="D147" s="188">
        <f ca="1">+'Purchased Power Model '!D147</f>
        <v>0</v>
      </c>
      <c r="E147" s="103">
        <f>+'Purchased Power Model '!E147</f>
        <v>7.5499999999999998E-2</v>
      </c>
      <c r="F147" s="57">
        <f>+'Purchased Power Model '!F147</f>
        <v>31</v>
      </c>
      <c r="G147" s="57">
        <f>+'Purchased Power Model '!G147</f>
        <v>0</v>
      </c>
      <c r="H147" s="191"/>
      <c r="I147" s="193">
        <f t="shared" ca="1" si="6"/>
        <v>3765174.9508894533</v>
      </c>
      <c r="J147" s="36"/>
      <c r="K147" s="5"/>
    </row>
    <row r="148" spans="1:11">
      <c r="A148" s="3">
        <v>42036</v>
      </c>
      <c r="C148" s="188">
        <f>+'Purchased Power Model '!C148</f>
        <v>542.20310730732444</v>
      </c>
      <c r="D148" s="188">
        <f ca="1">+'Purchased Power Model '!D148</f>
        <v>0</v>
      </c>
      <c r="E148" s="103">
        <f>+'Purchased Power Model '!E148</f>
        <v>7.5499999999999998E-2</v>
      </c>
      <c r="F148" s="57">
        <f>+'Purchased Power Model '!F148</f>
        <v>28</v>
      </c>
      <c r="G148" s="57">
        <f>+'Purchased Power Model '!G148</f>
        <v>0</v>
      </c>
      <c r="H148" s="191"/>
      <c r="I148" s="193">
        <f t="shared" ca="1" si="6"/>
        <v>4581909.1219844259</v>
      </c>
      <c r="J148" s="36"/>
      <c r="K148" s="5"/>
    </row>
    <row r="149" spans="1:11">
      <c r="A149" s="3">
        <v>42064</v>
      </c>
      <c r="C149" s="188">
        <f>+'Purchased Power Model '!C149</f>
        <v>483.23907356090245</v>
      </c>
      <c r="D149" s="188">
        <f ca="1">+'Purchased Power Model '!D149</f>
        <v>0</v>
      </c>
      <c r="E149" s="103">
        <f>+'Purchased Power Model '!E149</f>
        <v>7.5499999999999998E-2</v>
      </c>
      <c r="F149" s="57">
        <f>+'Purchased Power Model '!F149</f>
        <v>31</v>
      </c>
      <c r="G149" s="57">
        <f>+'Purchased Power Model '!G149</f>
        <v>1</v>
      </c>
      <c r="H149" s="191"/>
      <c r="I149" s="193">
        <f t="shared" ca="1" si="6"/>
        <v>3671031.5181886693</v>
      </c>
      <c r="J149" s="36"/>
      <c r="K149" s="5"/>
    </row>
    <row r="150" spans="1:11">
      <c r="A150" s="3">
        <v>42095</v>
      </c>
      <c r="C150" s="188">
        <f>+'Purchased Power Model '!C150</f>
        <v>324.96719350471687</v>
      </c>
      <c r="D150" s="188">
        <f ca="1">+'Purchased Power Model '!D150</f>
        <v>0</v>
      </c>
      <c r="E150" s="103">
        <f>+'Purchased Power Model '!E150</f>
        <v>7.5499999999999998E-2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3">
        <f t="shared" ca="1" si="6"/>
        <v>3689648.8705132091</v>
      </c>
      <c r="J150" s="36"/>
      <c r="K150" s="5"/>
    </row>
    <row r="151" spans="1:11">
      <c r="A151" s="3">
        <v>42125</v>
      </c>
      <c r="C151" s="188">
        <f>+'Purchased Power Model '!C151</f>
        <v>118.28273837252181</v>
      </c>
      <c r="D151" s="188">
        <f ca="1">+'Purchased Power Model '!D151</f>
        <v>3.7719239281908306</v>
      </c>
      <c r="E151" s="103">
        <f>+'Purchased Power Model '!E151</f>
        <v>7.5499999999999998E-2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3">
        <f t="shared" ca="1" si="6"/>
        <v>3101306.0461145854</v>
      </c>
      <c r="J151" s="36"/>
      <c r="K151" s="5"/>
    </row>
    <row r="152" spans="1:11">
      <c r="A152" s="3">
        <v>42156</v>
      </c>
      <c r="C152" s="188">
        <f>+'Purchased Power Model '!C152</f>
        <v>38.038451845436171</v>
      </c>
      <c r="D152" s="188">
        <f ca="1">+'Purchased Power Model '!D152</f>
        <v>40.485316829248255</v>
      </c>
      <c r="E152" s="103">
        <f>+'Purchased Power Model '!E152</f>
        <v>7.5499999999999998E-2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3">
        <f t="shared" ca="1" si="6"/>
        <v>3428084.0611276273</v>
      </c>
      <c r="J152" s="36"/>
      <c r="K152" s="5"/>
    </row>
    <row r="153" spans="1:11">
      <c r="A153" s="3">
        <v>42186</v>
      </c>
      <c r="C153" s="188">
        <f>+'Purchased Power Model '!C153</f>
        <v>3.9013796764549924</v>
      </c>
      <c r="D153" s="188">
        <f ca="1">+'Purchased Power Model '!D153</f>
        <v>138.30387736699711</v>
      </c>
      <c r="E153" s="103">
        <f>+'Purchased Power Model '!E153</f>
        <v>7.5499999999999998E-2</v>
      </c>
      <c r="F153" s="57">
        <f>+'Purchased Power Model '!F153</f>
        <v>31</v>
      </c>
      <c r="G153" s="57">
        <f>+'Purchased Power Model '!G153</f>
        <v>0</v>
      </c>
      <c r="H153" s="191"/>
      <c r="I153" s="193">
        <f t="shared" ca="1" si="6"/>
        <v>3601978.9255382847</v>
      </c>
      <c r="J153" s="36"/>
      <c r="K153" s="5"/>
    </row>
    <row r="154" spans="1:11">
      <c r="A154" s="3">
        <v>42217</v>
      </c>
      <c r="C154" s="188">
        <f>+'Purchased Power Model '!C154</f>
        <v>9.753449191137479</v>
      </c>
      <c r="D154" s="188">
        <f ca="1">+'Purchased Power Model '!D154</f>
        <v>72.798131814083021</v>
      </c>
      <c r="E154" s="103">
        <f>+'Purchased Power Model '!E154</f>
        <v>7.5499999999999998E-2</v>
      </c>
      <c r="F154" s="57">
        <f>+'Purchased Power Model '!F154</f>
        <v>31</v>
      </c>
      <c r="G154" s="57">
        <f>+'Purchased Power Model '!G154</f>
        <v>0</v>
      </c>
      <c r="H154" s="191"/>
      <c r="I154" s="193">
        <f t="shared" ca="1" si="6"/>
        <v>3274512.9541399423</v>
      </c>
      <c r="J154" s="36"/>
      <c r="K154" s="5"/>
    </row>
    <row r="155" spans="1:11">
      <c r="A155" s="3">
        <v>42248</v>
      </c>
      <c r="C155" s="188">
        <f>+'Purchased Power Model '!C155</f>
        <v>85.653017442170963</v>
      </c>
      <c r="D155" s="188">
        <f ca="1">+'Purchased Power Model '!D155</f>
        <v>19.739735224198682</v>
      </c>
      <c r="E155" s="103">
        <f>+'Purchased Power Model '!E155</f>
        <v>7.5499999999999998E-2</v>
      </c>
      <c r="F155" s="57">
        <f>+'Purchased Power Model '!F155</f>
        <v>30</v>
      </c>
      <c r="G155" s="57">
        <f>+'Purchased Power Model '!G155</f>
        <v>1</v>
      </c>
      <c r="H155" s="191"/>
      <c r="I155" s="193">
        <f t="shared" ca="1" si="6"/>
        <v>3404865.90243877</v>
      </c>
      <c r="J155" s="36"/>
      <c r="K155" s="5"/>
    </row>
    <row r="156" spans="1:11">
      <c r="A156" s="3">
        <v>42278</v>
      </c>
      <c r="C156" s="188">
        <f>+'Purchased Power Model '!C156</f>
        <v>195.95566102194391</v>
      </c>
      <c r="D156" s="188">
        <f ca="1">+'Purchased Power Model '!D156</f>
        <v>3.7719239281908306</v>
      </c>
      <c r="E156" s="103">
        <f>+'Purchased Power Model '!E156</f>
        <v>7.5499999999999998E-2</v>
      </c>
      <c r="F156" s="57">
        <f>+'Purchased Power Model '!F156</f>
        <v>31</v>
      </c>
      <c r="G156" s="57">
        <f>+'Purchased Power Model '!G156</f>
        <v>1</v>
      </c>
      <c r="H156" s="191"/>
      <c r="I156" s="193">
        <f t="shared" ca="1" si="6"/>
        <v>3226688.4260939499</v>
      </c>
      <c r="J156" s="36"/>
      <c r="K156" s="5"/>
    </row>
    <row r="157" spans="1:11">
      <c r="A157" s="3">
        <v>42309</v>
      </c>
      <c r="C157" s="188">
        <f>+'Purchased Power Model '!C157</f>
        <v>406.63016355051349</v>
      </c>
      <c r="D157" s="188">
        <f ca="1">+'Purchased Power Model '!D157</f>
        <v>0</v>
      </c>
      <c r="E157" s="103">
        <f>+'Purchased Power Model '!E157</f>
        <v>7.5499999999999998E-2</v>
      </c>
      <c r="F157" s="57">
        <f>+'Purchased Power Model '!F157</f>
        <v>30</v>
      </c>
      <c r="G157" s="57">
        <f>+'Purchased Power Model '!G157</f>
        <v>1</v>
      </c>
      <c r="H157" s="191"/>
      <c r="I157" s="193">
        <f t="shared" ca="1" si="6"/>
        <v>3821472.1261764457</v>
      </c>
      <c r="J157" s="36"/>
      <c r="K157" s="5"/>
    </row>
    <row r="158" spans="1:11">
      <c r="A158" s="3">
        <v>42339</v>
      </c>
      <c r="C158" s="188">
        <f>+'Purchased Power Model '!C158</f>
        <v>419.22097977907276</v>
      </c>
      <c r="D158" s="188">
        <f ca="1">+'Purchased Power Model '!D158</f>
        <v>0</v>
      </c>
      <c r="E158" s="103">
        <f>+'Purchased Power Model '!E158</f>
        <v>7.5499999999999998E-2</v>
      </c>
      <c r="F158" s="57">
        <f>+'Purchased Power Model '!F158</f>
        <v>31</v>
      </c>
      <c r="G158" s="57">
        <f>+'Purchased Power Model '!G158</f>
        <v>0</v>
      </c>
      <c r="H158" s="191"/>
      <c r="I158" s="193">
        <f t="shared" ca="1" si="6"/>
        <v>3561070.7569961008</v>
      </c>
      <c r="J158" s="36"/>
      <c r="K158" s="5"/>
    </row>
    <row r="159" spans="1:11">
      <c r="A159" s="3">
        <v>42370</v>
      </c>
      <c r="C159" s="188">
        <f>+'Purchased Power Model '!C159</f>
        <v>539.18844483504199</v>
      </c>
      <c r="D159" s="188">
        <f ca="1">+'Purchased Power Model '!D159</f>
        <v>0</v>
      </c>
      <c r="E159" s="103">
        <f>+'Purchased Power Model '!E159</f>
        <v>7.5499999999999998E-2</v>
      </c>
      <c r="F159" s="57">
        <f>+'Purchased Power Model '!F159</f>
        <v>31</v>
      </c>
      <c r="G159" s="57">
        <f>+'Purchased Power Model '!G159</f>
        <v>0</v>
      </c>
      <c r="H159" s="191"/>
      <c r="I159" s="193">
        <f t="shared" ca="1" si="6"/>
        <v>3754726.4838019572</v>
      </c>
      <c r="J159" s="36"/>
      <c r="K159" s="5"/>
    </row>
    <row r="160" spans="1:11">
      <c r="A160" s="3">
        <v>42401</v>
      </c>
      <c r="C160" s="188">
        <f>+'Purchased Power Model '!C160</f>
        <v>535.77142349143355</v>
      </c>
      <c r="D160" s="188">
        <f ca="1">+'Purchased Power Model '!D160</f>
        <v>0</v>
      </c>
      <c r="E160" s="103">
        <f>+'Purchased Power Model '!E160</f>
        <v>7.5499999999999998E-2</v>
      </c>
      <c r="F160" s="57">
        <f>+'Purchased Power Model '!F160</f>
        <v>29</v>
      </c>
      <c r="G160" s="57">
        <f>+'Purchased Power Model '!G160</f>
        <v>0</v>
      </c>
      <c r="H160" s="191"/>
      <c r="I160" s="193">
        <f t="shared" ca="1" si="6"/>
        <v>4297421.4492836008</v>
      </c>
      <c r="J160" s="36"/>
      <c r="K160" s="5"/>
    </row>
    <row r="161" spans="1:11">
      <c r="A161" s="3">
        <v>42430</v>
      </c>
      <c r="C161" s="188">
        <f>+'Purchased Power Model '!C161</f>
        <v>477.50682878631443</v>
      </c>
      <c r="D161" s="188">
        <f ca="1">+'Purchased Power Model '!D161</f>
        <v>0</v>
      </c>
      <c r="E161" s="103">
        <f>+'Purchased Power Model '!E161</f>
        <v>7.5499999999999998E-2</v>
      </c>
      <c r="F161" s="57">
        <f>+'Purchased Power Model '!F161</f>
        <v>31</v>
      </c>
      <c r="G161" s="57">
        <f>+'Purchased Power Model '!G161</f>
        <v>1</v>
      </c>
      <c r="H161" s="191"/>
      <c r="I161" s="193">
        <f t="shared" ca="1" si="6"/>
        <v>3661778.3258541143</v>
      </c>
      <c r="J161" s="36"/>
      <c r="K161" s="5"/>
    </row>
    <row r="162" spans="1:11">
      <c r="A162" s="3">
        <v>42461</v>
      </c>
      <c r="C162" s="188">
        <f>+'Purchased Power Model '!C162</f>
        <v>321.11239036731047</v>
      </c>
      <c r="D162" s="188">
        <f ca="1">+'Purchased Power Model '!D162</f>
        <v>0</v>
      </c>
      <c r="E162" s="103">
        <f>+'Purchased Power Model '!E162</f>
        <v>7.5499999999999998E-2</v>
      </c>
      <c r="F162" s="57">
        <f>+'Purchased Power Model '!F162</f>
        <v>30</v>
      </c>
      <c r="G162" s="57">
        <f>+'Purchased Power Model '!G162</f>
        <v>1</v>
      </c>
      <c r="H162" s="191"/>
      <c r="I162" s="193">
        <f t="shared" ca="1" si="6"/>
        <v>3683426.3108974034</v>
      </c>
      <c r="J162" s="36"/>
      <c r="K162" s="5"/>
    </row>
    <row r="163" spans="1:11">
      <c r="A163" s="3">
        <v>42491</v>
      </c>
      <c r="C163" s="188">
        <f>+'Purchased Power Model '!C163</f>
        <v>116.8796531377878</v>
      </c>
      <c r="D163" s="188">
        <f ca="1">+'Purchased Power Model '!D163</f>
        <v>3.8584638085088909</v>
      </c>
      <c r="E163" s="103">
        <f>+'Purchased Power Model '!E163</f>
        <v>7.5499999999999998E-2</v>
      </c>
      <c r="F163" s="57">
        <f>+'Purchased Power Model '!F163</f>
        <v>31</v>
      </c>
      <c r="G163" s="57">
        <f>+'Purchased Power Model '!G163</f>
        <v>1</v>
      </c>
      <c r="H163" s="191"/>
      <c r="I163" s="193">
        <f t="shared" ca="1" si="6"/>
        <v>3099486.2327395594</v>
      </c>
      <c r="J163" s="36"/>
      <c r="K163" s="5"/>
    </row>
    <row r="164" spans="1:11">
      <c r="A164" s="3">
        <v>42522</v>
      </c>
      <c r="C164" s="188">
        <f>+'Purchased Power Model '!C164</f>
        <v>37.587234779693375</v>
      </c>
      <c r="D164" s="188">
        <f ca="1">+'Purchased Power Model '!D164</f>
        <v>41.414178211328768</v>
      </c>
      <c r="E164" s="103">
        <f>+'Purchased Power Model '!E164</f>
        <v>7.5499999999999998E-2</v>
      </c>
      <c r="F164" s="57">
        <f>+'Purchased Power Model '!F164</f>
        <v>30</v>
      </c>
      <c r="G164" s="57">
        <f>+'Purchased Power Model '!G164</f>
        <v>0</v>
      </c>
      <c r="H164" s="191"/>
      <c r="I164" s="193">
        <f t="shared" ca="1" si="6"/>
        <v>3432133.0591933411</v>
      </c>
      <c r="J164" s="36"/>
      <c r="K164" s="5"/>
    </row>
    <row r="165" spans="1:11">
      <c r="A165" s="3">
        <v>42552</v>
      </c>
      <c r="C165" s="188">
        <f>+'Purchased Power Model '!C165</f>
        <v>3.8551010030454749</v>
      </c>
      <c r="D165" s="188">
        <f ca="1">+'Purchased Power Model '!D165</f>
        <v>141.47700631199265</v>
      </c>
      <c r="E165" s="103">
        <f>+'Purchased Power Model '!E165</f>
        <v>7.5499999999999998E-2</v>
      </c>
      <c r="F165" s="57">
        <f>+'Purchased Power Model '!F165</f>
        <v>31</v>
      </c>
      <c r="G165" s="57">
        <f>+'Purchased Power Model '!G165</f>
        <v>0</v>
      </c>
      <c r="H165" s="191"/>
      <c r="I165" s="193">
        <f t="shared" ca="1" si="6"/>
        <v>3618224.4242206253</v>
      </c>
      <c r="J165" s="36"/>
      <c r="K165" s="5"/>
    </row>
    <row r="166" spans="1:11">
      <c r="A166" s="3">
        <v>42583</v>
      </c>
      <c r="C166" s="188">
        <f>+'Purchased Power Model '!C166</f>
        <v>9.6377525076136852</v>
      </c>
      <c r="D166" s="188">
        <f ca="1">+'Purchased Power Model '!D166</f>
        <v>74.468351504221573</v>
      </c>
      <c r="E166" s="103">
        <f>+'Purchased Power Model '!E166</f>
        <v>7.5499999999999998E-2</v>
      </c>
      <c r="F166" s="57">
        <f>+'Purchased Power Model '!F166</f>
        <v>31</v>
      </c>
      <c r="G166" s="57">
        <f>+'Purchased Power Model '!G166</f>
        <v>0</v>
      </c>
      <c r="H166" s="191"/>
      <c r="I166" s="193">
        <f t="shared" ca="1" si="6"/>
        <v>3282916.5540436115</v>
      </c>
      <c r="J166" s="36"/>
      <c r="K166" s="5"/>
    </row>
    <row r="167" spans="1:11">
      <c r="A167" s="3">
        <v>42614</v>
      </c>
      <c r="C167" s="188">
        <f>+'Purchased Power Model '!C167</f>
        <v>84.636990203225636</v>
      </c>
      <c r="D167" s="188">
        <f ca="1">+'Purchased Power Model '!D167</f>
        <v>20.192627264529865</v>
      </c>
      <c r="E167" s="103">
        <f>+'Purchased Power Model '!E167</f>
        <v>7.5499999999999998E-2</v>
      </c>
      <c r="F167" s="57">
        <f>+'Purchased Power Model '!F167</f>
        <v>30</v>
      </c>
      <c r="G167" s="57">
        <f>+'Purchased Power Model '!G167</f>
        <v>1</v>
      </c>
      <c r="H167" s="191"/>
      <c r="I167" s="193">
        <f t="shared" ca="1" si="6"/>
        <v>3405555.1334355166</v>
      </c>
      <c r="J167" s="36"/>
      <c r="K167" s="5"/>
    </row>
    <row r="168" spans="1:11">
      <c r="A168" s="3">
        <v>42644</v>
      </c>
      <c r="C168" s="188">
        <f>+'Purchased Power Model '!C168</f>
        <v>193.63120947114768</v>
      </c>
      <c r="D168" s="188">
        <f ca="1">+'Purchased Power Model '!D168</f>
        <v>3.8584638085088909</v>
      </c>
      <c r="E168" s="103">
        <f>+'Purchased Power Model '!E168</f>
        <v>7.5499999999999998E-2</v>
      </c>
      <c r="F168" s="57">
        <f>+'Purchased Power Model '!F168</f>
        <v>31</v>
      </c>
      <c r="G168" s="57">
        <f>+'Purchased Power Model '!G168</f>
        <v>1</v>
      </c>
      <c r="H168" s="191"/>
      <c r="I168" s="193">
        <f t="shared" ca="1" si="6"/>
        <v>3223381.310611573</v>
      </c>
      <c r="J168" s="36"/>
      <c r="K168" s="5"/>
    </row>
    <row r="169" spans="1:11">
      <c r="A169" s="3">
        <v>42675</v>
      </c>
      <c r="C169" s="188">
        <f>+'Purchased Power Model '!C169</f>
        <v>401.80666363560329</v>
      </c>
      <c r="D169" s="188">
        <f ca="1">+'Purchased Power Model '!D169</f>
        <v>0</v>
      </c>
      <c r="E169" s="103">
        <f>+'Purchased Power Model '!E169</f>
        <v>7.5499999999999998E-2</v>
      </c>
      <c r="F169" s="57">
        <f>+'Purchased Power Model '!F169</f>
        <v>30</v>
      </c>
      <c r="G169" s="57">
        <f>+'Purchased Power Model '!G169</f>
        <v>1</v>
      </c>
      <c r="H169" s="191"/>
      <c r="I169" s="193">
        <f t="shared" ca="1" si="6"/>
        <v>3813685.861947774</v>
      </c>
      <c r="J169" s="36"/>
      <c r="K169" s="5"/>
    </row>
    <row r="170" spans="1:11">
      <c r="A170" s="3">
        <v>42705</v>
      </c>
      <c r="C170" s="188">
        <f>+'Purchased Power Model '!C170</f>
        <v>414.24812596361369</v>
      </c>
      <c r="D170" s="188">
        <f ca="1">+'Purchased Power Model '!D170</f>
        <v>0</v>
      </c>
      <c r="E170" s="103">
        <f>+'Purchased Power Model '!E170</f>
        <v>7.5499999999999998E-2</v>
      </c>
      <c r="F170" s="57">
        <f>+'Purchased Power Model '!F170</f>
        <v>31</v>
      </c>
      <c r="G170" s="57">
        <f>+'Purchased Power Model '!G170</f>
        <v>0</v>
      </c>
      <c r="H170" s="191"/>
      <c r="I170" s="193">
        <f t="shared" ca="1" si="6"/>
        <v>3553043.4004166927</v>
      </c>
      <c r="J170" s="36"/>
      <c r="K170" s="5"/>
    </row>
    <row r="171" spans="1:11">
      <c r="A171" s="3">
        <v>42736</v>
      </c>
      <c r="C171" s="188">
        <f>+'Purchased Power Model '!C171</f>
        <v>532.7157412859018</v>
      </c>
      <c r="D171" s="188">
        <f ca="1">+'Purchased Power Model '!D171</f>
        <v>0</v>
      </c>
      <c r="E171" s="103">
        <f>+'Purchased Power Model '!E171</f>
        <v>7.5499999999999998E-2</v>
      </c>
      <c r="F171" s="57">
        <f>+'Purchased Power Model '!F171</f>
        <v>31</v>
      </c>
      <c r="G171" s="57">
        <f>+'Purchased Power Model '!G171</f>
        <v>0</v>
      </c>
      <c r="H171" s="191"/>
      <c r="I171" s="193">
        <f t="shared" ca="1" si="6"/>
        <v>3744278.0167144611</v>
      </c>
      <c r="J171" s="36"/>
      <c r="K171" s="5"/>
    </row>
    <row r="172" spans="1:11">
      <c r="A172" s="3">
        <v>42767</v>
      </c>
      <c r="C172" s="188">
        <f>+'Purchased Power Model '!C172</f>
        <v>529.33973967554266</v>
      </c>
      <c r="D172" s="188">
        <f ca="1">+'Purchased Power Model '!D172</f>
        <v>0</v>
      </c>
      <c r="E172" s="103">
        <f>+'Purchased Power Model '!E172</f>
        <v>7.5499999999999998E-2</v>
      </c>
      <c r="F172" s="57">
        <f>+'Purchased Power Model '!F172</f>
        <v>28</v>
      </c>
      <c r="G172" s="57">
        <f>+'Purchased Power Model '!G172</f>
        <v>0</v>
      </c>
      <c r="H172" s="191"/>
      <c r="I172" s="193">
        <f t="shared" ca="1" si="6"/>
        <v>4561144.6188189946</v>
      </c>
      <c r="J172" s="36"/>
      <c r="K172" s="5"/>
    </row>
    <row r="173" spans="1:11">
      <c r="A173" s="3">
        <v>42795</v>
      </c>
      <c r="C173" s="188">
        <f>+'Purchased Power Model '!C173</f>
        <v>471.77458401172646</v>
      </c>
      <c r="D173" s="188">
        <f ca="1">+'Purchased Power Model '!D173</f>
        <v>0</v>
      </c>
      <c r="E173" s="103">
        <f>+'Purchased Power Model '!E173</f>
        <v>7.5499999999999998E-2</v>
      </c>
      <c r="F173" s="57">
        <f>+'Purchased Power Model '!F173</f>
        <v>31</v>
      </c>
      <c r="G173" s="57">
        <f>+'Purchased Power Model '!G173</f>
        <v>1</v>
      </c>
      <c r="H173" s="191"/>
      <c r="I173" s="193">
        <f t="shared" ca="1" si="6"/>
        <v>3652525.1335195592</v>
      </c>
      <c r="J173" s="36"/>
      <c r="K173" s="5"/>
    </row>
    <row r="174" spans="1:11">
      <c r="A174" s="3">
        <v>42826</v>
      </c>
      <c r="C174" s="188">
        <f>+'Purchased Power Model '!C174</f>
        <v>317.25758722990406</v>
      </c>
      <c r="D174" s="188">
        <f ca="1">+'Purchased Power Model '!D174</f>
        <v>0</v>
      </c>
      <c r="E174" s="103">
        <f>+'Purchased Power Model '!E174</f>
        <v>7.5499999999999998E-2</v>
      </c>
      <c r="F174" s="57">
        <f>+'Purchased Power Model '!F174</f>
        <v>30</v>
      </c>
      <c r="G174" s="57">
        <f>+'Purchased Power Model '!G174</f>
        <v>1</v>
      </c>
      <c r="H174" s="191"/>
      <c r="I174" s="193">
        <f t="shared" ca="1" si="6"/>
        <v>3677203.7512815958</v>
      </c>
      <c r="J174" s="36"/>
      <c r="K174" s="5"/>
    </row>
    <row r="175" spans="1:11">
      <c r="A175" s="3">
        <v>42856</v>
      </c>
      <c r="C175" s="188">
        <f>+'Purchased Power Model '!C175</f>
        <v>115.47656790305378</v>
      </c>
      <c r="D175" s="188">
        <f ca="1">+'Purchased Power Model '!D175</f>
        <v>3.9450036888269517</v>
      </c>
      <c r="E175" s="103">
        <f>+'Purchased Power Model '!E175</f>
        <v>7.5499999999999998E-2</v>
      </c>
      <c r="F175" s="57">
        <f>+'Purchased Power Model '!F175</f>
        <v>31</v>
      </c>
      <c r="G175" s="57">
        <f>+'Purchased Power Model '!G175</f>
        <v>1</v>
      </c>
      <c r="H175" s="191"/>
      <c r="I175" s="193">
        <f t="shared" ca="1" si="6"/>
        <v>3097666.4193645334</v>
      </c>
      <c r="J175" s="36"/>
      <c r="K175" s="5"/>
    </row>
    <row r="176" spans="1:11">
      <c r="A176" s="3">
        <v>42887</v>
      </c>
      <c r="C176" s="188">
        <f>+'Purchased Power Model '!C176</f>
        <v>37.136017713950579</v>
      </c>
      <c r="D176" s="188">
        <f ca="1">+'Purchased Power Model '!D176</f>
        <v>42.343039593409287</v>
      </c>
      <c r="E176" s="103">
        <f>+'Purchased Power Model '!E176</f>
        <v>7.5499999999999998E-2</v>
      </c>
      <c r="F176" s="57">
        <f>+'Purchased Power Model '!F176</f>
        <v>30</v>
      </c>
      <c r="G176" s="57">
        <f>+'Purchased Power Model '!G176</f>
        <v>0</v>
      </c>
      <c r="H176" s="191"/>
      <c r="I176" s="193">
        <f t="shared" ca="1" si="6"/>
        <v>3436182.0572590567</v>
      </c>
      <c r="J176" s="36"/>
      <c r="K176" s="5"/>
    </row>
    <row r="177" spans="1:11">
      <c r="A177" s="3">
        <v>42917</v>
      </c>
      <c r="C177" s="188">
        <f>+'Purchased Power Model '!C177</f>
        <v>3.8088223296359573</v>
      </c>
      <c r="D177" s="188">
        <f ca="1">+'Purchased Power Model '!D177</f>
        <v>144.65013525698822</v>
      </c>
      <c r="E177" s="103">
        <f>+'Purchased Power Model '!E177</f>
        <v>7.5499999999999998E-2</v>
      </c>
      <c r="F177" s="57">
        <f>+'Purchased Power Model '!F177</f>
        <v>31</v>
      </c>
      <c r="G177" s="57">
        <f>+'Purchased Power Model '!G177</f>
        <v>0</v>
      </c>
      <c r="H177" s="191"/>
      <c r="I177" s="193">
        <f t="shared" ca="1" si="6"/>
        <v>3634469.9229029659</v>
      </c>
      <c r="J177" s="36"/>
      <c r="K177" s="5"/>
    </row>
    <row r="178" spans="1:11">
      <c r="A178" s="3">
        <v>42948</v>
      </c>
      <c r="C178" s="188">
        <f>+'Purchased Power Model '!C178</f>
        <v>9.5220558240898914</v>
      </c>
      <c r="D178" s="188">
        <f ca="1">+'Purchased Power Model '!D178</f>
        <v>76.138571194360154</v>
      </c>
      <c r="E178" s="103">
        <f>+'Purchased Power Model '!E178</f>
        <v>7.5499999999999998E-2</v>
      </c>
      <c r="F178" s="57">
        <f>+'Purchased Power Model '!F178</f>
        <v>31</v>
      </c>
      <c r="G178" s="57">
        <f>+'Purchased Power Model '!G178</f>
        <v>0</v>
      </c>
      <c r="H178" s="191"/>
      <c r="I178" s="193">
        <f t="shared" ca="1" si="6"/>
        <v>3291320.1539472807</v>
      </c>
      <c r="J178" s="36"/>
      <c r="K178" s="5"/>
    </row>
    <row r="179" spans="1:11">
      <c r="A179" s="3">
        <v>42979</v>
      </c>
      <c r="C179" s="188">
        <f>+'Purchased Power Model '!C179</f>
        <v>83.620962964280309</v>
      </c>
      <c r="D179" s="188">
        <f ca="1">+'Purchased Power Model '!D179</f>
        <v>20.64551930486105</v>
      </c>
      <c r="E179" s="103">
        <f>+'Purchased Power Model '!E179</f>
        <v>7.5499999999999998E-2</v>
      </c>
      <c r="F179" s="57">
        <f>+'Purchased Power Model '!F179</f>
        <v>30</v>
      </c>
      <c r="G179" s="57">
        <f>+'Purchased Power Model '!G179</f>
        <v>1</v>
      </c>
      <c r="H179" s="191"/>
      <c r="I179" s="193">
        <f t="shared" ca="1" si="6"/>
        <v>3406244.3644322632</v>
      </c>
      <c r="J179" s="36"/>
      <c r="K179" s="5"/>
    </row>
    <row r="180" spans="1:11">
      <c r="A180" s="3">
        <v>43009</v>
      </c>
      <c r="C180" s="188">
        <f>+'Purchased Power Model '!C180</f>
        <v>191.30675792035146</v>
      </c>
      <c r="D180" s="188">
        <f ca="1">+'Purchased Power Model '!D180</f>
        <v>3.9450036888269517</v>
      </c>
      <c r="E180" s="103">
        <f>+'Purchased Power Model '!E180</f>
        <v>7.5499999999999998E-2</v>
      </c>
      <c r="F180" s="57">
        <f>+'Purchased Power Model '!F180</f>
        <v>31</v>
      </c>
      <c r="G180" s="57">
        <f>+'Purchased Power Model '!G180</f>
        <v>1</v>
      </c>
      <c r="H180" s="191"/>
      <c r="I180" s="193">
        <f t="shared" ca="1" si="6"/>
        <v>3220074.1951291943</v>
      </c>
      <c r="J180" s="36"/>
      <c r="K180" s="5"/>
    </row>
    <row r="181" spans="1:11">
      <c r="A181" s="3">
        <v>43040</v>
      </c>
      <c r="C181" s="188">
        <f>+'Purchased Power Model '!C181</f>
        <v>396.98316372069308</v>
      </c>
      <c r="D181" s="188">
        <f ca="1">+'Purchased Power Model '!D181</f>
        <v>0</v>
      </c>
      <c r="E181" s="103">
        <f>+'Purchased Power Model '!E181</f>
        <v>7.5499999999999998E-2</v>
      </c>
      <c r="F181" s="57">
        <f>+'Purchased Power Model '!F181</f>
        <v>30</v>
      </c>
      <c r="G181" s="57">
        <f>+'Purchased Power Model '!G181</f>
        <v>1</v>
      </c>
      <c r="H181" s="191"/>
      <c r="I181" s="193">
        <f t="shared" ca="1" si="6"/>
        <v>3805899.5977191003</v>
      </c>
      <c r="J181" s="36"/>
      <c r="K181" s="5"/>
    </row>
    <row r="182" spans="1:11">
      <c r="A182" s="3">
        <v>43070</v>
      </c>
      <c r="C182" s="188">
        <f>+'Purchased Power Model '!C182</f>
        <v>409.27527214815461</v>
      </c>
      <c r="D182" s="188">
        <f ca="1">+'Purchased Power Model '!D182</f>
        <v>0</v>
      </c>
      <c r="E182" s="103">
        <f>+'Purchased Power Model '!E182</f>
        <v>7.5499999999999998E-2</v>
      </c>
      <c r="F182" s="57">
        <f>+'Purchased Power Model '!F182</f>
        <v>31</v>
      </c>
      <c r="G182" s="57">
        <f>+'Purchased Power Model '!G182</f>
        <v>0</v>
      </c>
      <c r="H182" s="191"/>
      <c r="I182" s="193">
        <f t="shared" ca="1" si="6"/>
        <v>3545016.0438372847</v>
      </c>
      <c r="J182" s="36"/>
      <c r="K182" s="5"/>
    </row>
    <row r="183" spans="1:11">
      <c r="A183" s="3">
        <v>43101</v>
      </c>
      <c r="C183" s="188">
        <f>+'Purchased Power Model '!C183</f>
        <v>526.24303773676161</v>
      </c>
      <c r="D183" s="188">
        <f ca="1">+'Purchased Power Model '!D183</f>
        <v>0</v>
      </c>
      <c r="E183" s="103">
        <f>+'Purchased Power Model '!E183</f>
        <v>7.5499999999999998E-2</v>
      </c>
      <c r="F183" s="57">
        <f>+'Purchased Power Model '!F183</f>
        <v>31</v>
      </c>
      <c r="G183" s="57">
        <f>+'Purchased Power Model '!G183</f>
        <v>0</v>
      </c>
      <c r="H183" s="191"/>
      <c r="I183" s="193">
        <f t="shared" ca="1" si="6"/>
        <v>3733829.5496269651</v>
      </c>
      <c r="J183" s="36"/>
      <c r="K183" s="5"/>
    </row>
    <row r="184" spans="1:11">
      <c r="A184" s="3">
        <v>43132</v>
      </c>
      <c r="C184" s="188">
        <f>+'Purchased Power Model '!C184</f>
        <v>522.90805585965177</v>
      </c>
      <c r="D184" s="188">
        <f ca="1">+'Purchased Power Model '!D184</f>
        <v>0</v>
      </c>
      <c r="E184" s="103">
        <f>+'Purchased Power Model '!E184</f>
        <v>7.5499999999999998E-2</v>
      </c>
      <c r="F184" s="57">
        <f>+'Purchased Power Model '!F184</f>
        <v>28</v>
      </c>
      <c r="G184" s="57">
        <f>+'Purchased Power Model '!G184</f>
        <v>0</v>
      </c>
      <c r="H184" s="191"/>
      <c r="I184" s="193">
        <f t="shared" ca="1" si="6"/>
        <v>4550762.3672362771</v>
      </c>
      <c r="J184" s="36"/>
      <c r="K184" s="5"/>
    </row>
    <row r="185" spans="1:11">
      <c r="A185" s="3">
        <v>43160</v>
      </c>
      <c r="C185" s="188">
        <f>+'Purchased Power Model '!C185</f>
        <v>466.04233923713849</v>
      </c>
      <c r="D185" s="188">
        <f ca="1">+'Purchased Power Model '!D185</f>
        <v>0</v>
      </c>
      <c r="E185" s="103">
        <f>+'Purchased Power Model '!E185</f>
        <v>7.5499999999999998E-2</v>
      </c>
      <c r="F185" s="57">
        <f>+'Purchased Power Model '!F185</f>
        <v>31</v>
      </c>
      <c r="G185" s="57">
        <f>+'Purchased Power Model '!G185</f>
        <v>1</v>
      </c>
      <c r="H185" s="191"/>
      <c r="I185" s="193">
        <f t="shared" ca="1" si="6"/>
        <v>3643271.9411850041</v>
      </c>
      <c r="J185" s="36"/>
      <c r="K185" s="5"/>
    </row>
    <row r="186" spans="1:11">
      <c r="A186" s="3">
        <v>43191</v>
      </c>
      <c r="C186" s="188">
        <f>+'Purchased Power Model '!C186</f>
        <v>313.40278409249765</v>
      </c>
      <c r="D186" s="188">
        <f ca="1">+'Purchased Power Model '!D186</f>
        <v>0</v>
      </c>
      <c r="E186" s="103">
        <f>+'Purchased Power Model '!E186</f>
        <v>7.5499999999999998E-2</v>
      </c>
      <c r="F186" s="57">
        <f>+'Purchased Power Model '!F186</f>
        <v>30</v>
      </c>
      <c r="G186" s="57">
        <f>+'Purchased Power Model '!G186</f>
        <v>1</v>
      </c>
      <c r="H186" s="191"/>
      <c r="I186" s="193">
        <f t="shared" ca="1" si="6"/>
        <v>3670981.19166579</v>
      </c>
      <c r="J186" s="36"/>
      <c r="K186" s="5"/>
    </row>
    <row r="187" spans="1:11">
      <c r="A187" s="3">
        <v>43221</v>
      </c>
      <c r="C187" s="188">
        <f>+'Purchased Power Model '!C187</f>
        <v>114.07348266831977</v>
      </c>
      <c r="D187" s="188">
        <f ca="1">+'Purchased Power Model '!D187</f>
        <v>4.0315435691450112</v>
      </c>
      <c r="E187" s="103">
        <f>+'Purchased Power Model '!E187</f>
        <v>7.5499999999999998E-2</v>
      </c>
      <c r="F187" s="57">
        <f>+'Purchased Power Model '!F187</f>
        <v>31</v>
      </c>
      <c r="G187" s="57">
        <f>+'Purchased Power Model '!G187</f>
        <v>1</v>
      </c>
      <c r="H187" s="191"/>
      <c r="I187" s="193">
        <f t="shared" ca="1" si="6"/>
        <v>3095846.6059895074</v>
      </c>
      <c r="J187" s="36"/>
      <c r="K187" s="5"/>
    </row>
    <row r="188" spans="1:11">
      <c r="A188" s="3">
        <v>43252</v>
      </c>
      <c r="C188" s="188">
        <f>+'Purchased Power Model '!C188</f>
        <v>36.684800648207784</v>
      </c>
      <c r="D188" s="188">
        <f ca="1">+'Purchased Power Model '!D188</f>
        <v>43.271900975489793</v>
      </c>
      <c r="E188" s="103">
        <f>+'Purchased Power Model '!E188</f>
        <v>7.5499999999999998E-2</v>
      </c>
      <c r="F188" s="57">
        <f>+'Purchased Power Model '!F188</f>
        <v>30</v>
      </c>
      <c r="G188" s="57">
        <f>+'Purchased Power Model '!G188</f>
        <v>0</v>
      </c>
      <c r="H188" s="191"/>
      <c r="I188" s="193">
        <f t="shared" ca="1" si="6"/>
        <v>3440231.0553247705</v>
      </c>
      <c r="J188" s="36"/>
      <c r="K188" s="5"/>
    </row>
    <row r="189" spans="1:11">
      <c r="A189" s="3">
        <v>43282</v>
      </c>
      <c r="C189" s="188">
        <f>+'Purchased Power Model '!C189</f>
        <v>3.7625436562264398</v>
      </c>
      <c r="D189" s="188">
        <f ca="1">+'Purchased Power Model '!D189</f>
        <v>147.82326420198373</v>
      </c>
      <c r="E189" s="103">
        <f>+'Purchased Power Model '!E189</f>
        <v>7.5499999999999998E-2</v>
      </c>
      <c r="F189" s="57">
        <f>+'Purchased Power Model '!F189</f>
        <v>31</v>
      </c>
      <c r="G189" s="57">
        <f>+'Purchased Power Model '!G189</f>
        <v>0</v>
      </c>
      <c r="H189" s="191"/>
      <c r="I189" s="193">
        <f t="shared" ca="1" si="6"/>
        <v>3650715.4215853065</v>
      </c>
      <c r="J189" s="36"/>
      <c r="K189" s="5"/>
    </row>
    <row r="190" spans="1:11">
      <c r="A190" s="3">
        <v>43313</v>
      </c>
      <c r="C190" s="188">
        <f>+'Purchased Power Model '!C190</f>
        <v>9.4063591405660976</v>
      </c>
      <c r="D190" s="188">
        <f ca="1">+'Purchased Power Model '!D190</f>
        <v>77.808790884498691</v>
      </c>
      <c r="E190" s="103">
        <f>+'Purchased Power Model '!E190</f>
        <v>7.5499999999999998E-2</v>
      </c>
      <c r="F190" s="57">
        <f>+'Purchased Power Model '!F190</f>
        <v>31</v>
      </c>
      <c r="G190" s="57">
        <f>+'Purchased Power Model '!G190</f>
        <v>0</v>
      </c>
      <c r="H190" s="191"/>
      <c r="I190" s="193">
        <f t="shared" ca="1" si="6"/>
        <v>3299723.7538509499</v>
      </c>
      <c r="J190" s="36"/>
      <c r="K190" s="5"/>
    </row>
    <row r="191" spans="1:11">
      <c r="A191" s="3">
        <v>43344</v>
      </c>
      <c r="C191" s="188">
        <f>+'Purchased Power Model '!C191</f>
        <v>82.604935725334997</v>
      </c>
      <c r="D191" s="188">
        <f ca="1">+'Purchased Power Model '!D191</f>
        <v>21.098411345192229</v>
      </c>
      <c r="E191" s="103">
        <f>+'Purchased Power Model '!E191</f>
        <v>7.5499999999999998E-2</v>
      </c>
      <c r="F191" s="57">
        <f>+'Purchased Power Model '!F191</f>
        <v>30</v>
      </c>
      <c r="G191" s="57">
        <f>+'Purchased Power Model '!G191</f>
        <v>1</v>
      </c>
      <c r="H191" s="191"/>
      <c r="I191" s="193">
        <f t="shared" ca="1" si="6"/>
        <v>3406933.5954290079</v>
      </c>
      <c r="J191" s="36"/>
      <c r="K191" s="5"/>
    </row>
    <row r="192" spans="1:11">
      <c r="A192" s="3">
        <v>43374</v>
      </c>
      <c r="C192" s="188">
        <f>+'Purchased Power Model '!C192</f>
        <v>188.98230636955523</v>
      </c>
      <c r="D192" s="188">
        <f ca="1">+'Purchased Power Model '!D192</f>
        <v>4.0315435691450112</v>
      </c>
      <c r="E192" s="103">
        <f>+'Purchased Power Model '!E192</f>
        <v>7.5499999999999998E-2</v>
      </c>
      <c r="F192" s="57">
        <f>+'Purchased Power Model '!F192</f>
        <v>31</v>
      </c>
      <c r="G192" s="57">
        <f>+'Purchased Power Model '!G192</f>
        <v>1</v>
      </c>
      <c r="H192" s="191"/>
      <c r="I192" s="193">
        <f t="shared" ca="1" si="6"/>
        <v>3216767.0796468155</v>
      </c>
      <c r="J192" s="36"/>
      <c r="K192" s="5"/>
    </row>
    <row r="193" spans="1:11">
      <c r="A193" s="3">
        <v>43405</v>
      </c>
      <c r="C193" s="188">
        <f>+'Purchased Power Model '!C193</f>
        <v>392.15966380578294</v>
      </c>
      <c r="D193" s="188">
        <f ca="1">+'Purchased Power Model '!D193</f>
        <v>0</v>
      </c>
      <c r="E193" s="103">
        <f>+'Purchased Power Model '!E193</f>
        <v>7.5499999999999998E-2</v>
      </c>
      <c r="F193" s="57">
        <f>+'Purchased Power Model '!F193</f>
        <v>30</v>
      </c>
      <c r="G193" s="57">
        <f>+'Purchased Power Model '!G193</f>
        <v>1</v>
      </c>
      <c r="H193" s="191"/>
      <c r="I193" s="193">
        <f t="shared" ca="1" si="6"/>
        <v>3798113.3334904267</v>
      </c>
      <c r="J193" s="36"/>
      <c r="K193" s="5"/>
    </row>
    <row r="194" spans="1:11">
      <c r="A194" s="3">
        <v>43435</v>
      </c>
      <c r="C194" s="188">
        <f>+'Purchased Power Model '!C194</f>
        <v>404.30241833269554</v>
      </c>
      <c r="D194" s="188">
        <f ca="1">+'Purchased Power Model '!D194</f>
        <v>0</v>
      </c>
      <c r="E194" s="103">
        <f>+'Purchased Power Model '!E194</f>
        <v>7.5499999999999998E-2</v>
      </c>
      <c r="F194" s="57">
        <f>+'Purchased Power Model '!F194</f>
        <v>31</v>
      </c>
      <c r="G194" s="57">
        <f>+'Purchased Power Model '!G194</f>
        <v>0</v>
      </c>
      <c r="H194" s="191"/>
      <c r="I194" s="193">
        <f t="shared" ca="1" si="6"/>
        <v>3536988.6872578766</v>
      </c>
      <c r="J194" s="36"/>
      <c r="K194" s="5"/>
    </row>
    <row r="195" spans="1:11">
      <c r="A195" s="3">
        <v>43466</v>
      </c>
      <c r="C195" s="188">
        <f>+'Purchased Power Model '!C195</f>
        <v>519.7703341876213</v>
      </c>
      <c r="D195" s="188">
        <f ca="1">+'Purchased Power Model '!D195</f>
        <v>0</v>
      </c>
      <c r="E195" s="103">
        <f>+'Purchased Power Model '!E195</f>
        <v>7.5499999999999998E-2</v>
      </c>
      <c r="F195" s="57">
        <f>+'Purchased Power Model '!F195</f>
        <v>31</v>
      </c>
      <c r="G195" s="57">
        <f>+'Purchased Power Model '!G195</f>
        <v>0</v>
      </c>
      <c r="H195" s="191"/>
      <c r="I195" s="193">
        <f t="shared" ca="1" si="6"/>
        <v>3723381.082539469</v>
      </c>
      <c r="J195" s="36"/>
      <c r="K195" s="5"/>
    </row>
    <row r="196" spans="1:11">
      <c r="A196" s="3">
        <v>43497</v>
      </c>
      <c r="C196" s="188">
        <f>+'Purchased Power Model '!C196</f>
        <v>516.47637204376076</v>
      </c>
      <c r="D196" s="188">
        <f ca="1">+'Purchased Power Model '!D196</f>
        <v>0</v>
      </c>
      <c r="E196" s="103">
        <f>+'Purchased Power Model '!E196</f>
        <v>7.5499999999999998E-2</v>
      </c>
      <c r="F196" s="57">
        <f>+'Purchased Power Model '!F196</f>
        <v>28</v>
      </c>
      <c r="G196" s="57">
        <f>+'Purchased Power Model '!G196</f>
        <v>0</v>
      </c>
      <c r="H196" s="191"/>
      <c r="I196" s="193">
        <f t="shared" ref="I196:I206" ca="1" si="11">$N$18+C196*$N$19+D196*$N$20+E196*$N$21+F196*$N$22+G196*$N$23+H196*$N$24</f>
        <v>4540380.1156535614</v>
      </c>
      <c r="J196" s="36"/>
      <c r="K196" s="5"/>
    </row>
    <row r="197" spans="1:11">
      <c r="A197" s="3">
        <v>43525</v>
      </c>
      <c r="C197" s="188">
        <f>+'Purchased Power Model '!C197</f>
        <v>460.31009446255047</v>
      </c>
      <c r="D197" s="188">
        <f ca="1">+'Purchased Power Model '!D197</f>
        <v>0</v>
      </c>
      <c r="E197" s="103">
        <f>+'Purchased Power Model '!E197</f>
        <v>7.5499999999999998E-2</v>
      </c>
      <c r="F197" s="57">
        <f>+'Purchased Power Model '!F197</f>
        <v>31</v>
      </c>
      <c r="G197" s="57">
        <f>+'Purchased Power Model '!G197</f>
        <v>1</v>
      </c>
      <c r="H197" s="191"/>
      <c r="I197" s="193">
        <f t="shared" ca="1" si="11"/>
        <v>3634018.748850449</v>
      </c>
      <c r="J197" s="36"/>
      <c r="K197" s="5"/>
    </row>
    <row r="198" spans="1:11">
      <c r="A198" s="3">
        <v>43556</v>
      </c>
      <c r="C198" s="188">
        <f>+'Purchased Power Model '!C198</f>
        <v>309.54798095509119</v>
      </c>
      <c r="D198" s="188">
        <f ca="1">+'Purchased Power Model '!D198</f>
        <v>0</v>
      </c>
      <c r="E198" s="103">
        <f>+'Purchased Power Model '!E198</f>
        <v>7.5499999999999998E-2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3">
        <f t="shared" ca="1" si="11"/>
        <v>3664758.6320499843</v>
      </c>
      <c r="J198" s="36"/>
      <c r="K198" s="5"/>
    </row>
    <row r="199" spans="1:11">
      <c r="A199" s="3">
        <v>43586</v>
      </c>
      <c r="C199" s="188">
        <f>+'Purchased Power Model '!C199</f>
        <v>112.67039743358573</v>
      </c>
      <c r="D199" s="188">
        <f ca="1">+'Purchased Power Model '!D199</f>
        <v>4.1180834494630707</v>
      </c>
      <c r="E199" s="103">
        <f>+'Purchased Power Model '!E199</f>
        <v>7.5499999999999998E-2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3">
        <f t="shared" ca="1" si="11"/>
        <v>3094026.7926144795</v>
      </c>
      <c r="J199" s="36"/>
      <c r="K199" s="5"/>
    </row>
    <row r="200" spans="1:11">
      <c r="A200" s="3">
        <v>43617</v>
      </c>
      <c r="C200" s="188">
        <f>+'Purchased Power Model '!C200</f>
        <v>36.233583582464981</v>
      </c>
      <c r="D200" s="188">
        <f ca="1">+'Purchased Power Model '!D200</f>
        <v>44.200762357570305</v>
      </c>
      <c r="E200" s="103">
        <f>+'Purchased Power Model '!E200</f>
        <v>7.5499999999999998E-2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3">
        <f t="shared" ca="1" si="11"/>
        <v>3444280.0533904843</v>
      </c>
      <c r="J200" s="36"/>
      <c r="K200" s="5"/>
    </row>
    <row r="201" spans="1:11">
      <c r="A201" s="3">
        <v>43647</v>
      </c>
      <c r="C201" s="188">
        <f>+'Purchased Power Model '!C201</f>
        <v>3.7162649828169214</v>
      </c>
      <c r="D201" s="188">
        <f ca="1">+'Purchased Power Model '!D201</f>
        <v>150.99639314697927</v>
      </c>
      <c r="E201" s="103">
        <f>+'Purchased Power Model '!E201</f>
        <v>7.5499999999999998E-2</v>
      </c>
      <c r="F201" s="57">
        <f>+'Purchased Power Model '!F201</f>
        <v>31</v>
      </c>
      <c r="G201" s="57">
        <f>+'Purchased Power Model '!G201</f>
        <v>0</v>
      </c>
      <c r="H201" s="191"/>
      <c r="I201" s="193">
        <f t="shared" ca="1" si="11"/>
        <v>3666960.9202676471</v>
      </c>
      <c r="J201" s="36"/>
      <c r="K201" s="5"/>
    </row>
    <row r="202" spans="1:11">
      <c r="A202" s="3">
        <v>43678</v>
      </c>
      <c r="C202" s="188">
        <f>+'Purchased Power Model '!C202</f>
        <v>9.290662457042302</v>
      </c>
      <c r="D202" s="188">
        <f ca="1">+'Purchased Power Model '!D202</f>
        <v>79.479010574637257</v>
      </c>
      <c r="E202" s="103">
        <f>+'Purchased Power Model '!E202</f>
        <v>7.5499999999999998E-2</v>
      </c>
      <c r="F202" s="57">
        <f>+'Purchased Power Model '!F202</f>
        <v>31</v>
      </c>
      <c r="G202" s="57">
        <f>+'Purchased Power Model '!G202</f>
        <v>0</v>
      </c>
      <c r="H202" s="191"/>
      <c r="I202" s="193">
        <f t="shared" ca="1" si="11"/>
        <v>3308127.3537546173</v>
      </c>
      <c r="J202" s="36"/>
      <c r="K202" s="5"/>
    </row>
    <row r="203" spans="1:11">
      <c r="A203" s="3">
        <v>43709</v>
      </c>
      <c r="C203" s="188">
        <f>+'Purchased Power Model '!C203</f>
        <v>81.58890848638967</v>
      </c>
      <c r="D203" s="188">
        <f ca="1">+'Purchased Power Model '!D203</f>
        <v>21.551303385523408</v>
      </c>
      <c r="E203" s="103">
        <f>+'Purchased Power Model '!E203</f>
        <v>7.5499999999999998E-2</v>
      </c>
      <c r="F203" s="57">
        <f>+'Purchased Power Model '!F203</f>
        <v>30</v>
      </c>
      <c r="G203" s="57">
        <f>+'Purchased Power Model '!G203</f>
        <v>1</v>
      </c>
      <c r="H203" s="191"/>
      <c r="I203" s="193">
        <f t="shared" ca="1" si="11"/>
        <v>3407622.8264257545</v>
      </c>
      <c r="J203" s="36"/>
      <c r="K203" s="5"/>
    </row>
    <row r="204" spans="1:11">
      <c r="A204" s="3">
        <v>43739</v>
      </c>
      <c r="C204" s="188">
        <f>+'Purchased Power Model '!C204</f>
        <v>186.65785481875898</v>
      </c>
      <c r="D204" s="188">
        <f ca="1">+'Purchased Power Model '!D204</f>
        <v>4.1180834494630707</v>
      </c>
      <c r="E204" s="103">
        <f>+'Purchased Power Model '!E204</f>
        <v>7.5499999999999998E-2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3">
        <f t="shared" ca="1" si="11"/>
        <v>3213459.9641644368</v>
      </c>
      <c r="J204" s="36"/>
      <c r="K204" s="5"/>
    </row>
    <row r="205" spans="1:11">
      <c r="A205" s="3">
        <v>43770</v>
      </c>
      <c r="C205" s="188">
        <f>+'Purchased Power Model '!C205</f>
        <v>387.33616389087268</v>
      </c>
      <c r="D205" s="188">
        <f ca="1">+'Purchased Power Model '!D205</f>
        <v>0</v>
      </c>
      <c r="E205" s="103">
        <f>+'Purchased Power Model '!E205</f>
        <v>7.5499999999999998E-2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3">
        <f t="shared" ca="1" si="11"/>
        <v>3790327.069261753</v>
      </c>
      <c r="J205" s="36"/>
      <c r="K205" s="5"/>
    </row>
    <row r="206" spans="1:11">
      <c r="A206" s="3">
        <v>43800</v>
      </c>
      <c r="C206" s="188">
        <f>+'Purchased Power Model '!C206</f>
        <v>399.32956451723641</v>
      </c>
      <c r="D206" s="188">
        <f ca="1">+'Purchased Power Model '!D206</f>
        <v>0</v>
      </c>
      <c r="E206" s="103">
        <f>+'Purchased Power Model '!E206</f>
        <v>7.5499999999999998E-2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3">
        <f t="shared" ca="1" si="11"/>
        <v>3528961.3306784667</v>
      </c>
      <c r="J206" s="36"/>
      <c r="K206" s="5"/>
    </row>
    <row r="207" spans="1:11">
      <c r="A207" s="3"/>
      <c r="E207" s="33"/>
      <c r="F207" s="10"/>
      <c r="G207" s="10"/>
      <c r="H207" s="17"/>
    </row>
    <row r="208" spans="1:11">
      <c r="A208" s="3"/>
      <c r="C208" s="18"/>
      <c r="D208" s="63" t="s">
        <v>60</v>
      </c>
      <c r="I208" s="47">
        <f ca="1">SUM(I3:I206)</f>
        <v>1711523996.3063521</v>
      </c>
    </row>
    <row r="209" spans="1:11">
      <c r="A209" s="3"/>
      <c r="C209" s="23"/>
      <c r="D209" s="23"/>
      <c r="F209" s="180"/>
      <c r="G209" s="180"/>
      <c r="H209"/>
      <c r="I209" s="180"/>
      <c r="J209" s="36"/>
      <c r="K209" s="5" t="s">
        <v>196</v>
      </c>
    </row>
    <row r="210" spans="1:11">
      <c r="A210" s="16">
        <v>2003</v>
      </c>
      <c r="B210" s="6">
        <f>SUM(B3:B14)</f>
        <v>124144653</v>
      </c>
      <c r="C210" s="107"/>
      <c r="D210" s="23" t="s">
        <v>195</v>
      </c>
      <c r="E210" s="108" t="s">
        <v>107</v>
      </c>
      <c r="F210" s="180"/>
      <c r="G210" s="180"/>
      <c r="H210"/>
      <c r="I210" s="6">
        <f>SUM(I3:I14)</f>
        <v>132946634.95568024</v>
      </c>
      <c r="J210" s="36">
        <f>I210-B210</f>
        <v>8801981.9556802362</v>
      </c>
      <c r="K210" s="5">
        <f>J210/B210</f>
        <v>7.0901015412079299E-2</v>
      </c>
    </row>
    <row r="211" spans="1:11">
      <c r="A211">
        <v>2004</v>
      </c>
      <c r="B211" s="6">
        <f>SUM(B15:B26)</f>
        <v>132938490</v>
      </c>
      <c r="C211" s="107">
        <f>+B211-B210</f>
        <v>8793837</v>
      </c>
      <c r="D211" s="109">
        <f>+C211/B210</f>
        <v>7.0835406821750102E-2</v>
      </c>
      <c r="E211" s="109">
        <f>RATE(1,0,-B$210,B211)</f>
        <v>7.0835406821750047E-2</v>
      </c>
      <c r="F211" s="180"/>
      <c r="G211" s="180"/>
      <c r="H211"/>
      <c r="I211" s="6">
        <f>SUM(I15:I26)</f>
        <v>134245678.21694431</v>
      </c>
      <c r="J211" s="36">
        <f t="shared" ref="J211:J226" si="12">I211-B211</f>
        <v>1307188.2169443071</v>
      </c>
      <c r="K211" s="5">
        <f t="shared" ref="K211:K226" si="13">J211/B211</f>
        <v>9.8330304259083064E-3</v>
      </c>
    </row>
    <row r="212" spans="1:11">
      <c r="A212" s="16">
        <v>2005</v>
      </c>
      <c r="B212" s="6">
        <f>SUM(B27:B38)</f>
        <v>138859028</v>
      </c>
      <c r="C212" s="107">
        <f t="shared" ref="C212:C226" si="14">+B212-B211</f>
        <v>5920538</v>
      </c>
      <c r="D212" s="109">
        <f t="shared" ref="D212:D226" si="15">+C212/B211</f>
        <v>4.4535920334283927E-2</v>
      </c>
      <c r="E212" s="109">
        <f>RATE(2,0,-B$210,B212)</f>
        <v>5.7603917915915265E-2</v>
      </c>
      <c r="F212" s="180"/>
      <c r="G212" s="180"/>
      <c r="H212"/>
      <c r="I212" s="6">
        <f>SUM(I27:I38)</f>
        <v>135479978.57240281</v>
      </c>
      <c r="J212" s="36">
        <f t="shared" si="12"/>
        <v>-3379049.4275971949</v>
      </c>
      <c r="K212" s="5">
        <f t="shared" si="13"/>
        <v>-2.4334387733127405E-2</v>
      </c>
    </row>
    <row r="213" spans="1:11">
      <c r="A213">
        <v>2006</v>
      </c>
      <c r="B213" s="6">
        <f>SUM(B39:B50)</f>
        <v>134155770</v>
      </c>
      <c r="C213" s="107">
        <f t="shared" si="14"/>
        <v>-4703258</v>
      </c>
      <c r="D213" s="109">
        <f t="shared" si="15"/>
        <v>-3.3870739754854107E-2</v>
      </c>
      <c r="E213" s="109">
        <f>RATE(3,0,-B$210,B213)</f>
        <v>2.6188426843453606E-2</v>
      </c>
      <c r="F213" s="180"/>
      <c r="G213" s="180"/>
      <c r="H213"/>
      <c r="I213" s="6">
        <f>SUM(I39:I50)</f>
        <v>132219501.29750921</v>
      </c>
      <c r="J213" s="36">
        <f t="shared" si="12"/>
        <v>-1936268.7024907917</v>
      </c>
      <c r="K213" s="5">
        <f t="shared" si="13"/>
        <v>-1.4432988625765345E-2</v>
      </c>
    </row>
    <row r="214" spans="1:11">
      <c r="A214" s="16">
        <v>2007</v>
      </c>
      <c r="B214" s="6">
        <f>SUM(B51:B62)</f>
        <v>132346004</v>
      </c>
      <c r="C214" s="107">
        <f t="shared" si="14"/>
        <v>-1809766</v>
      </c>
      <c r="D214" s="109">
        <f t="shared" si="15"/>
        <v>-1.349003475586626E-2</v>
      </c>
      <c r="E214" s="109">
        <f>RATE(4,0,-B$210,B214)</f>
        <v>1.6121647059656956E-2</v>
      </c>
      <c r="F214" s="180"/>
      <c r="G214" s="180"/>
      <c r="H214"/>
      <c r="I214" s="6">
        <f>SUM(I51:I62)</f>
        <v>128663697.09417914</v>
      </c>
      <c r="J214" s="36">
        <f t="shared" si="12"/>
        <v>-3682306.9058208615</v>
      </c>
      <c r="K214" s="5">
        <f t="shared" si="13"/>
        <v>-2.7823332737880485E-2</v>
      </c>
    </row>
    <row r="215" spans="1:11">
      <c r="A215">
        <v>2008</v>
      </c>
      <c r="B215" s="6">
        <f>SUM(B63:B74)</f>
        <v>131868017</v>
      </c>
      <c r="C215" s="107">
        <f t="shared" si="14"/>
        <v>-477987</v>
      </c>
      <c r="D215" s="109">
        <f t="shared" si="15"/>
        <v>-3.6116466349826477E-3</v>
      </c>
      <c r="E215" s="109">
        <f>RATE(5,0,-B$210,B215)</f>
        <v>1.2143968187770533E-2</v>
      </c>
      <c r="F215" s="180"/>
      <c r="G215" s="180"/>
      <c r="H215"/>
      <c r="I215" s="6">
        <f>SUM(I63:I74)</f>
        <v>127932481.01450936</v>
      </c>
      <c r="J215" s="36">
        <f t="shared" si="12"/>
        <v>-3935535.985490635</v>
      </c>
      <c r="K215" s="5">
        <f t="shared" si="13"/>
        <v>-2.9844507220356812E-2</v>
      </c>
    </row>
    <row r="216" spans="1:11">
      <c r="A216" s="16">
        <v>2009</v>
      </c>
      <c r="B216" s="6">
        <f>SUM(B75:B86)</f>
        <v>128019505</v>
      </c>
      <c r="C216" s="107">
        <f t="shared" si="14"/>
        <v>-3848512</v>
      </c>
      <c r="D216" s="109">
        <f t="shared" si="15"/>
        <v>-2.9184574755529994E-2</v>
      </c>
      <c r="E216" s="109">
        <f>RATE(6,0,-B$210,B216)</f>
        <v>5.1356747601914686E-3</v>
      </c>
      <c r="F216" s="180"/>
      <c r="G216" s="180"/>
      <c r="H216"/>
      <c r="I216" s="6">
        <f>SUM(I75:I86)</f>
        <v>130930436.32298893</v>
      </c>
      <c r="J216" s="36">
        <f t="shared" si="12"/>
        <v>2910931.3229889274</v>
      </c>
      <c r="K216" s="5">
        <f t="shared" si="13"/>
        <v>2.2738186052109227E-2</v>
      </c>
    </row>
    <row r="217" spans="1:11">
      <c r="A217">
        <v>2010</v>
      </c>
      <c r="B217" s="6">
        <f>SUM(B87:B98)</f>
        <v>131282103</v>
      </c>
      <c r="C217" s="107">
        <f t="shared" si="14"/>
        <v>3262598</v>
      </c>
      <c r="D217" s="109">
        <f t="shared" si="15"/>
        <v>2.5485163374128029E-2</v>
      </c>
      <c r="E217" s="109">
        <f>RATE(7,0,-B$210,B217)</f>
        <v>8.0178325628356955E-3</v>
      </c>
      <c r="F217" s="180"/>
      <c r="G217" s="180"/>
      <c r="H217"/>
      <c r="I217" s="6">
        <f>SUM(I87:I98)</f>
        <v>133244262.08046456</v>
      </c>
      <c r="J217" s="36">
        <f t="shared" si="12"/>
        <v>1962159.0804645568</v>
      </c>
      <c r="K217" s="5">
        <f t="shared" si="13"/>
        <v>1.4946127732769156E-2</v>
      </c>
    </row>
    <row r="218" spans="1:11">
      <c r="A218">
        <v>2011</v>
      </c>
      <c r="B218" s="6">
        <f>SUM(B99:B110)</f>
        <v>135695878</v>
      </c>
      <c r="C218" s="107">
        <f t="shared" si="14"/>
        <v>4413775</v>
      </c>
      <c r="D218" s="109">
        <f t="shared" si="15"/>
        <v>3.3620538513158951E-2</v>
      </c>
      <c r="E218" s="109">
        <f>RATE(8,0,-B$210,B218)</f>
        <v>1.1183162789080017E-2</v>
      </c>
      <c r="F218" s="180"/>
      <c r="G218" s="180"/>
      <c r="H218"/>
      <c r="I218" s="6">
        <f>SUM(I99:I110)</f>
        <v>132793129.54926327</v>
      </c>
      <c r="J218" s="36">
        <f t="shared" si="12"/>
        <v>-2902748.4507367313</v>
      </c>
      <c r="K218" s="5">
        <f t="shared" si="13"/>
        <v>-2.1391574257964795E-2</v>
      </c>
    </row>
    <row r="219" spans="1:11">
      <c r="A219">
        <v>2012</v>
      </c>
      <c r="B219" s="6">
        <f>SUM(B111:B122)</f>
        <v>131590801</v>
      </c>
      <c r="C219" s="107">
        <f t="shared" si="14"/>
        <v>-4105077</v>
      </c>
      <c r="D219" s="109">
        <f t="shared" si="15"/>
        <v>-3.025203904867324E-2</v>
      </c>
      <c r="E219" s="109">
        <f>RATE(9,0,-B$210,B219)</f>
        <v>6.493175751213668E-3</v>
      </c>
      <c r="F219" s="180"/>
      <c r="G219" s="180"/>
      <c r="H219"/>
      <c r="I219" s="6">
        <f>SUM(I111:I122)</f>
        <v>131630732.97631738</v>
      </c>
      <c r="J219" s="36">
        <f t="shared" si="12"/>
        <v>39931.976317375898</v>
      </c>
      <c r="K219" s="5">
        <f t="shared" si="13"/>
        <v>3.0345568241792143E-4</v>
      </c>
    </row>
    <row r="220" spans="1:11">
      <c r="A220">
        <v>2013</v>
      </c>
      <c r="B220" s="6">
        <f>SUM(B123:B134)</f>
        <v>132382128</v>
      </c>
      <c r="C220" s="107">
        <f t="shared" si="14"/>
        <v>791327</v>
      </c>
      <c r="D220" s="109">
        <f t="shared" si="15"/>
        <v>6.0135434543027062E-3</v>
      </c>
      <c r="E220" s="109">
        <f>RATE(10,0,-B$210,B220)</f>
        <v>6.4452022330804253E-3</v>
      </c>
      <c r="F220" s="180"/>
      <c r="G220" s="180"/>
      <c r="H220"/>
      <c r="I220" s="6">
        <f ca="1">SUM(I123:I134)</f>
        <v>133195844.91974068</v>
      </c>
      <c r="J220" s="36">
        <f t="shared" ca="1" si="12"/>
        <v>813716.91974067688</v>
      </c>
      <c r="K220" s="5">
        <f t="shared" ca="1" si="13"/>
        <v>6.1467279007682736E-3</v>
      </c>
    </row>
    <row r="221" spans="1:11">
      <c r="A221">
        <v>2014</v>
      </c>
      <c r="B221" s="6">
        <f ca="1">+I221</f>
        <v>43155603.352839038</v>
      </c>
      <c r="C221" s="107">
        <f t="shared" ca="1" si="14"/>
        <v>-89226524.647160962</v>
      </c>
      <c r="D221" s="109">
        <f t="shared" ca="1" si="15"/>
        <v>-0.67400733010698366</v>
      </c>
      <c r="E221" s="109">
        <f ca="1">RATE(11,0,-B$210,B221)</f>
        <v>-9.1588440062585194E-2</v>
      </c>
      <c r="F221" s="103"/>
      <c r="G221" s="180"/>
      <c r="H221"/>
      <c r="I221" s="6">
        <f ca="1">SUM(I135:I146)</f>
        <v>43155603.352839038</v>
      </c>
      <c r="J221" s="36">
        <f t="shared" ca="1" si="12"/>
        <v>0</v>
      </c>
      <c r="K221" s="5">
        <f t="shared" ca="1" si="13"/>
        <v>0</v>
      </c>
    </row>
    <row r="222" spans="1:11">
      <c r="A222">
        <v>2015</v>
      </c>
      <c r="B222" s="6">
        <f t="shared" ref="B222:B226" ca="1" si="16">+I222</f>
        <v>43127743.660201468</v>
      </c>
      <c r="C222" s="107">
        <f t="shared" ca="1" si="14"/>
        <v>-27859.692637570202</v>
      </c>
      <c r="D222" s="109">
        <f t="shared" ca="1" si="15"/>
        <v>-6.455637384974117E-4</v>
      </c>
      <c r="E222" s="109">
        <f ca="1">RATE(12,0,-B$210,B222)</f>
        <v>-8.4336871543747402E-2</v>
      </c>
      <c r="F222" s="103"/>
      <c r="G222" s="180"/>
      <c r="H222"/>
      <c r="I222" s="6">
        <f ca="1">SUM(I147:I158)</f>
        <v>43127743.660201468</v>
      </c>
      <c r="J222" s="36">
        <f t="shared" ca="1" si="12"/>
        <v>0</v>
      </c>
      <c r="K222" s="5">
        <f t="shared" ca="1" si="13"/>
        <v>0</v>
      </c>
    </row>
    <row r="223" spans="1:11">
      <c r="A223">
        <v>2016</v>
      </c>
      <c r="B223" s="6">
        <f t="shared" ca="1" si="16"/>
        <v>42825778.546445772</v>
      </c>
      <c r="C223" s="107">
        <f t="shared" ca="1" si="14"/>
        <v>-301965.11375569552</v>
      </c>
      <c r="D223" s="109">
        <f t="shared" ca="1" si="15"/>
        <v>-7.0016441419899897E-3</v>
      </c>
      <c r="E223" s="109">
        <f ca="1">RATE(13,0,-B$210,B223)</f>
        <v>-7.8608071014074368E-2</v>
      </c>
      <c r="F223" s="103"/>
      <c r="G223" s="180"/>
      <c r="H223"/>
      <c r="I223" s="6">
        <f ca="1">SUM(I159:I170)</f>
        <v>42825778.546445772</v>
      </c>
      <c r="J223" s="36">
        <f t="shared" ca="1" si="12"/>
        <v>0</v>
      </c>
      <c r="K223" s="5">
        <f t="shared" ca="1" si="13"/>
        <v>0</v>
      </c>
    </row>
    <row r="224" spans="1:11">
      <c r="A224">
        <v>2017</v>
      </c>
      <c r="B224" s="6">
        <f t="shared" ca="1" si="16"/>
        <v>43072024.274926297</v>
      </c>
      <c r="C224" s="107">
        <f t="shared" ca="1" si="14"/>
        <v>246245.72848052531</v>
      </c>
      <c r="D224" s="109">
        <f t="shared" ca="1" si="15"/>
        <v>5.749941666873956E-3</v>
      </c>
      <c r="E224" s="109">
        <f ca="1">RATE(14,0,-B$210,B224)</f>
        <v>-7.2824499423292485E-2</v>
      </c>
      <c r="F224" s="103"/>
      <c r="G224" s="180"/>
      <c r="H224"/>
      <c r="I224" s="6">
        <f ca="1">SUM(I171:I182)</f>
        <v>43072024.274926297</v>
      </c>
      <c r="J224" s="36">
        <f t="shared" ca="1" si="12"/>
        <v>0</v>
      </c>
      <c r="K224" s="5">
        <f t="shared" ca="1" si="13"/>
        <v>0</v>
      </c>
    </row>
    <row r="225" spans="1:11">
      <c r="A225">
        <v>2018</v>
      </c>
      <c r="B225" s="6">
        <f t="shared" ca="1" si="16"/>
        <v>43044164.582288697</v>
      </c>
      <c r="C225" s="107">
        <f t="shared" ca="1" si="14"/>
        <v>-27859.692637600005</v>
      </c>
      <c r="D225" s="109">
        <f t="shared" ca="1" si="15"/>
        <v>-6.4681642218097674E-4</v>
      </c>
      <c r="E225" s="109">
        <f ca="1">RATE(15,0,-B$210,B225)</f>
        <v>-6.8179163243887661E-2</v>
      </c>
      <c r="F225" s="103"/>
      <c r="G225" s="180"/>
      <c r="H225"/>
      <c r="I225" s="6">
        <f ca="1">SUM(I183:I194)</f>
        <v>43044164.582288697</v>
      </c>
      <c r="J225" s="36">
        <f t="shared" ca="1" si="12"/>
        <v>0</v>
      </c>
      <c r="K225" s="5">
        <f t="shared" ca="1" si="13"/>
        <v>0</v>
      </c>
    </row>
    <row r="226" spans="1:11">
      <c r="A226">
        <v>2019</v>
      </c>
      <c r="B226" s="6">
        <f t="shared" ca="1" si="16"/>
        <v>43016304.889651105</v>
      </c>
      <c r="C226" s="107">
        <f t="shared" ca="1" si="14"/>
        <v>-27859.692637592554</v>
      </c>
      <c r="D226" s="109">
        <f t="shared" ca="1" si="15"/>
        <v>-6.4723506444950099E-4</v>
      </c>
      <c r="E226" s="109">
        <f ca="1">RATE(16,0,-B$210,B226)</f>
        <v>-6.4095430559671415E-2</v>
      </c>
      <c r="F226" s="103"/>
      <c r="G226" s="180"/>
      <c r="H226"/>
      <c r="I226" s="6">
        <f ca="1">SUM(I195:I206)</f>
        <v>43016304.889651105</v>
      </c>
      <c r="J226" s="36">
        <f t="shared" ca="1" si="12"/>
        <v>0</v>
      </c>
      <c r="K226" s="5">
        <f t="shared" ca="1" si="13"/>
        <v>0</v>
      </c>
    </row>
    <row r="227" spans="1:11">
      <c r="C227" s="101"/>
      <c r="D227" s="180"/>
      <c r="F227" s="180"/>
      <c r="G227" s="180"/>
      <c r="H227"/>
      <c r="J227" s="180"/>
      <c r="K227" s="180"/>
    </row>
    <row r="228" spans="1:11">
      <c r="A228" t="s">
        <v>9</v>
      </c>
      <c r="B228" s="6">
        <f ca="1">SUM(B210:B226)</f>
        <v>1711523996.3063524</v>
      </c>
      <c r="C228" s="101"/>
      <c r="D228" s="180"/>
      <c r="F228" s="180"/>
      <c r="G228" s="180"/>
      <c r="H228"/>
      <c r="I228" s="6">
        <f ca="1">SUM(I210:I226)</f>
        <v>1711523996.3063521</v>
      </c>
      <c r="J228" s="184">
        <f ca="1">I228-B228</f>
        <v>0</v>
      </c>
      <c r="K228" s="180"/>
    </row>
    <row r="229" spans="1:11">
      <c r="C229" s="180"/>
      <c r="D229" s="180"/>
      <c r="F229" s="180"/>
      <c r="G229" s="180"/>
      <c r="H229"/>
      <c r="I229" s="180"/>
      <c r="J229" s="62"/>
      <c r="K229" s="180"/>
    </row>
    <row r="230" spans="1:11">
      <c r="C230" s="180"/>
      <c r="D230" s="180"/>
      <c r="F230" s="180"/>
      <c r="G230" s="180"/>
      <c r="H230"/>
      <c r="I230" s="6">
        <f ca="1">SUM(I210:I226)</f>
        <v>1711523996.3063521</v>
      </c>
      <c r="J230" s="184">
        <f ca="1">I208-I230</f>
        <v>0</v>
      </c>
      <c r="K230" s="180"/>
    </row>
    <row r="231" spans="1:11">
      <c r="C231" s="180"/>
      <c r="D231" s="180"/>
      <c r="F231" s="180"/>
      <c r="G231" s="180"/>
      <c r="H231"/>
      <c r="I231" s="23"/>
      <c r="J231" s="185" t="s">
        <v>69</v>
      </c>
      <c r="K231" s="18"/>
    </row>
    <row r="232" spans="1:11">
      <c r="I232" s="11"/>
      <c r="J232" s="11"/>
      <c r="K232" s="11"/>
    </row>
    <row r="244" spans="9:11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43"/>
  <sheetViews>
    <sheetView workbookViewId="0"/>
  </sheetViews>
  <sheetFormatPr defaultRowHeight="13.2"/>
  <cols>
    <col min="1" max="1" width="11.88671875" customWidth="1"/>
    <col min="2" max="2" width="18" style="6" customWidth="1"/>
    <col min="3" max="3" width="12.33203125" style="1" bestFit="1" customWidth="1"/>
    <col min="4" max="4" width="13.44140625" style="1" customWidth="1"/>
    <col min="5" max="5" width="14.44140625" style="34" customWidth="1"/>
    <col min="6" max="6" width="10.109375" style="1" customWidth="1"/>
    <col min="7" max="8" width="12.44140625" style="1" customWidth="1"/>
    <col min="9" max="9" width="14" style="6" bestFit="1" customWidth="1"/>
    <col min="10" max="10" width="21.5546875" style="6" customWidth="1"/>
    <col min="11" max="11" width="11.5546875" style="6" customWidth="1"/>
    <col min="12" max="12" width="9.33203125" style="6" customWidth="1"/>
    <col min="13" max="13" width="27.33203125" style="6" bestFit="1" customWidth="1"/>
    <col min="14" max="14" width="14.33203125" style="6" bestFit="1" customWidth="1"/>
    <col min="15" max="15" width="24.44140625" style="6" bestFit="1" customWidth="1"/>
    <col min="16" max="16" width="22.88671875" style="6" bestFit="1" customWidth="1"/>
    <col min="17" max="17" width="9.6640625" style="6" bestFit="1" customWidth="1"/>
    <col min="18" max="18" width="14.5546875" bestFit="1" customWidth="1"/>
    <col min="19" max="19" width="15" bestFit="1" customWidth="1"/>
    <col min="20" max="20" width="14.5546875" bestFit="1" customWidth="1"/>
    <col min="21" max="21" width="15" bestFit="1" customWidth="1"/>
  </cols>
  <sheetData>
    <row r="2" spans="1:18" ht="42" customHeight="1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80"/>
      <c r="M2" t="s">
        <v>18</v>
      </c>
      <c r="N2"/>
      <c r="O2"/>
      <c r="P2"/>
      <c r="Q2"/>
    </row>
    <row r="3" spans="1:18" ht="13.8" thickBot="1">
      <c r="A3" s="3">
        <v>37622</v>
      </c>
      <c r="B3" s="41">
        <v>23662140</v>
      </c>
      <c r="C3" s="186">
        <f>+'Purchased Power Model '!C3</f>
        <v>786</v>
      </c>
      <c r="D3" s="186">
        <f>+'Purchased Power Model '!D3</f>
        <v>0</v>
      </c>
      <c r="E3" s="103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570.66666666666663</v>
      </c>
      <c r="I3" s="193">
        <f>$N$18+C3*$N$19+D3*$N$20+E3*$N$21+F3*$N$22+G3*$N$23+H3*$N$24</f>
        <v>30710918.63734607</v>
      </c>
      <c r="J3" s="36">
        <f>I3-B3</f>
        <v>7048778.6373460703</v>
      </c>
      <c r="K3" s="5">
        <f>J3/B3</f>
        <v>0.29789269429333398</v>
      </c>
      <c r="M3"/>
      <c r="N3"/>
      <c r="O3"/>
      <c r="P3"/>
      <c r="Q3"/>
    </row>
    <row r="4" spans="1:18">
      <c r="A4" s="3">
        <v>37653</v>
      </c>
      <c r="B4" s="41">
        <v>28617624</v>
      </c>
      <c r="C4" s="186">
        <f>+'Purchased Power Model '!C4</f>
        <v>686.5</v>
      </c>
      <c r="D4" s="186">
        <f>+'Purchased Power Model '!D4</f>
        <v>0</v>
      </c>
      <c r="E4" s="103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568.33333333333326</v>
      </c>
      <c r="I4" s="193">
        <f t="shared" ref="I4:I67" si="0">$N$18+C4*$N$19+D4*$N$20+E4*$N$21+F4*$N$22+G4*$N$23+H4*$N$24</f>
        <v>31684509.502156906</v>
      </c>
      <c r="J4" s="36">
        <f t="shared" ref="J4:J67" si="1">I4-B4</f>
        <v>3066885.5021569058</v>
      </c>
      <c r="K4" s="5">
        <f t="shared" ref="K4:K67" si="2">J4/B4</f>
        <v>0.1071677195198632</v>
      </c>
      <c r="M4" s="53" t="s">
        <v>19</v>
      </c>
      <c r="N4" s="53"/>
      <c r="O4"/>
      <c r="P4"/>
      <c r="Q4"/>
    </row>
    <row r="5" spans="1:18">
      <c r="A5" s="3">
        <v>37681</v>
      </c>
      <c r="B5" s="41">
        <v>27305059</v>
      </c>
      <c r="C5" s="186">
        <f>+'Purchased Power Model '!C5</f>
        <v>572.5</v>
      </c>
      <c r="D5" s="186">
        <f>+'Purchased Power Model '!D5</f>
        <v>0</v>
      </c>
      <c r="E5" s="103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565.99999999999989</v>
      </c>
      <c r="I5" s="193">
        <f t="shared" si="0"/>
        <v>28344211.921655443</v>
      </c>
      <c r="J5" s="36">
        <f t="shared" si="1"/>
        <v>1039152.9216554426</v>
      </c>
      <c r="K5" s="5">
        <f t="shared" si="2"/>
        <v>3.8057157161075626E-2</v>
      </c>
      <c r="M5" s="35" t="s">
        <v>20</v>
      </c>
      <c r="N5" s="95">
        <v>0.63005298522853292</v>
      </c>
      <c r="O5"/>
      <c r="P5"/>
      <c r="Q5"/>
    </row>
    <row r="6" spans="1:18">
      <c r="A6" s="3">
        <v>37712</v>
      </c>
      <c r="B6" s="41">
        <v>26547174</v>
      </c>
      <c r="C6" s="186">
        <f>+'Purchased Power Model '!C6</f>
        <v>403.9</v>
      </c>
      <c r="D6" s="186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563.66666666666652</v>
      </c>
      <c r="I6" s="193">
        <f t="shared" si="0"/>
        <v>27384935.095651422</v>
      </c>
      <c r="J6" s="36">
        <f t="shared" si="1"/>
        <v>837761.0956514217</v>
      </c>
      <c r="K6" s="5">
        <f t="shared" si="2"/>
        <v>3.1557449227982676E-2</v>
      </c>
      <c r="M6" s="35" t="s">
        <v>21</v>
      </c>
      <c r="N6" s="95">
        <v>0.3969667641953859</v>
      </c>
      <c r="O6"/>
      <c r="P6"/>
      <c r="Q6"/>
    </row>
    <row r="7" spans="1:18">
      <c r="A7" s="3">
        <v>37742</v>
      </c>
      <c r="B7" s="41">
        <v>25198381</v>
      </c>
      <c r="C7" s="186">
        <f>+'Purchased Power Model '!C7</f>
        <v>192</v>
      </c>
      <c r="D7" s="186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561.33333333333314</v>
      </c>
      <c r="I7" s="193">
        <f t="shared" si="0"/>
        <v>24624279.834028557</v>
      </c>
      <c r="J7" s="36">
        <f t="shared" si="1"/>
        <v>-574101.16597144306</v>
      </c>
      <c r="K7" s="5">
        <f t="shared" si="2"/>
        <v>-2.2783256034244543E-2</v>
      </c>
      <c r="M7" s="35" t="s">
        <v>22</v>
      </c>
      <c r="N7" s="95">
        <v>0.36802116887676439</v>
      </c>
      <c r="O7"/>
      <c r="P7"/>
      <c r="Q7"/>
    </row>
    <row r="8" spans="1:18">
      <c r="A8" s="3">
        <v>37773</v>
      </c>
      <c r="B8" s="41">
        <v>16128368</v>
      </c>
      <c r="C8" s="186">
        <f>+'Purchased Power Model '!C8</f>
        <v>55.1</v>
      </c>
      <c r="D8" s="186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558.99999999999977</v>
      </c>
      <c r="I8" s="193">
        <f t="shared" si="0"/>
        <v>24879442.554827113</v>
      </c>
      <c r="J8" s="36">
        <f t="shared" si="1"/>
        <v>8751074.5548271127</v>
      </c>
      <c r="K8" s="5">
        <f t="shared" si="2"/>
        <v>0.54258896838335491</v>
      </c>
      <c r="M8" s="35" t="s">
        <v>23</v>
      </c>
      <c r="N8" s="67">
        <v>3178710.1276284689</v>
      </c>
      <c r="O8"/>
      <c r="P8"/>
      <c r="Q8"/>
    </row>
    <row r="9" spans="1:18" ht="13.8" thickBot="1">
      <c r="A9" s="3">
        <v>37803</v>
      </c>
      <c r="B9" s="41">
        <v>18871062</v>
      </c>
      <c r="C9" s="186">
        <f>+'Purchased Power Model '!C9</f>
        <v>5.7</v>
      </c>
      <c r="D9" s="186">
        <f>+'Purchased Power Model '!D9</f>
        <v>59.1</v>
      </c>
      <c r="E9" s="103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556.6666666666664</v>
      </c>
      <c r="I9" s="193">
        <f t="shared" si="0"/>
        <v>24356721.304038968</v>
      </c>
      <c r="J9" s="36">
        <f t="shared" si="1"/>
        <v>5485659.3040389679</v>
      </c>
      <c r="K9" s="5">
        <f t="shared" si="2"/>
        <v>0.29069160516980802</v>
      </c>
      <c r="M9" s="51" t="s">
        <v>24</v>
      </c>
      <c r="N9" s="68">
        <v>132</v>
      </c>
      <c r="O9"/>
      <c r="P9"/>
      <c r="Q9"/>
    </row>
    <row r="10" spans="1:18">
      <c r="A10" s="3">
        <v>37834</v>
      </c>
      <c r="B10" s="41">
        <v>20660581</v>
      </c>
      <c r="C10" s="186">
        <f>+'Purchased Power Model '!C10</f>
        <v>10.4</v>
      </c>
      <c r="D10" s="186">
        <f>+'Purchased Power Model '!D10</f>
        <v>106.5</v>
      </c>
      <c r="E10" s="103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554.33333333333303</v>
      </c>
      <c r="I10" s="193">
        <f t="shared" si="0"/>
        <v>25446201.315804496</v>
      </c>
      <c r="J10" s="36">
        <f t="shared" si="1"/>
        <v>4785620.3158044964</v>
      </c>
      <c r="K10" s="5">
        <f t="shared" si="2"/>
        <v>0.23163048105009712</v>
      </c>
      <c r="M10"/>
      <c r="N10"/>
      <c r="O10"/>
      <c r="P10"/>
      <c r="Q10"/>
    </row>
    <row r="11" spans="1:18" ht="13.8" thickBot="1">
      <c r="A11" s="3">
        <v>37865</v>
      </c>
      <c r="B11" s="41">
        <v>19684349</v>
      </c>
      <c r="C11" s="186">
        <f>+'Purchased Power Model '!C11</f>
        <v>55.2</v>
      </c>
      <c r="D11" s="186">
        <f>+'Purchased Power Model '!D11</f>
        <v>12.1</v>
      </c>
      <c r="E11" s="103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551.99999999999966</v>
      </c>
      <c r="I11" s="193">
        <f t="shared" si="0"/>
        <v>24526137.390821267</v>
      </c>
      <c r="J11" s="36">
        <f t="shared" si="1"/>
        <v>4841788.3908212669</v>
      </c>
      <c r="K11" s="5">
        <f t="shared" si="2"/>
        <v>0.24597147667018437</v>
      </c>
      <c r="M11" t="s">
        <v>25</v>
      </c>
      <c r="N11"/>
      <c r="O11"/>
      <c r="P11"/>
      <c r="Q11"/>
    </row>
    <row r="12" spans="1:18">
      <c r="A12" s="3">
        <v>37895</v>
      </c>
      <c r="B12" s="41">
        <v>23357580</v>
      </c>
      <c r="C12" s="186">
        <f>+'Purchased Power Model '!C12</f>
        <v>289.7</v>
      </c>
      <c r="D12" s="186">
        <f>+'Purchased Power Model '!D12</f>
        <v>0</v>
      </c>
      <c r="E12" s="103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549.66666666666629</v>
      </c>
      <c r="I12" s="193">
        <f t="shared" si="0"/>
        <v>26250389.086987551</v>
      </c>
      <c r="J12" s="36">
        <f t="shared" si="1"/>
        <v>2892809.0869875513</v>
      </c>
      <c r="K12" s="5">
        <f t="shared" si="2"/>
        <v>0.12384883566651816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>
      <c r="A13" s="3">
        <v>37926</v>
      </c>
      <c r="B13" s="41">
        <v>25075881</v>
      </c>
      <c r="C13" s="186">
        <f>+'Purchased Power Model '!C13</f>
        <v>387.6</v>
      </c>
      <c r="D13" s="186">
        <f>+'Purchased Power Model '!D13</f>
        <v>0</v>
      </c>
      <c r="E13" s="103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547.33333333333292</v>
      </c>
      <c r="I13" s="193">
        <f t="shared" si="0"/>
        <v>28059051.866315998</v>
      </c>
      <c r="J13" s="36">
        <f t="shared" si="1"/>
        <v>2983170.8663159981</v>
      </c>
      <c r="K13" s="5">
        <f t="shared" si="2"/>
        <v>0.11896574506459008</v>
      </c>
      <c r="M13" s="35" t="s">
        <v>26</v>
      </c>
      <c r="N13" s="67">
        <v>6</v>
      </c>
      <c r="O13" s="67">
        <v>831428223326655.75</v>
      </c>
      <c r="P13" s="67">
        <v>138571370554442.62</v>
      </c>
      <c r="Q13" s="67">
        <v>13.714237341665816</v>
      </c>
      <c r="R13" s="67">
        <v>6.3227197172696015E-12</v>
      </c>
    </row>
    <row r="14" spans="1:18">
      <c r="A14" s="3">
        <v>37956</v>
      </c>
      <c r="B14" s="41">
        <v>26135926.5</v>
      </c>
      <c r="C14" s="186">
        <f>+'Purchased Power Model '!C14</f>
        <v>548.20000000000005</v>
      </c>
      <c r="D14" s="186">
        <f>+'Purchased Power Model '!D14</f>
        <v>0</v>
      </c>
      <c r="E14" s="103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545</v>
      </c>
      <c r="I14" s="193">
        <f t="shared" si="0"/>
        <v>29622019.469483286</v>
      </c>
      <c r="J14" s="36">
        <f t="shared" si="1"/>
        <v>3486092.9694832861</v>
      </c>
      <c r="K14" s="5">
        <f t="shared" si="2"/>
        <v>0.13338317926029086</v>
      </c>
      <c r="M14" s="35" t="s">
        <v>27</v>
      </c>
      <c r="N14" s="67">
        <v>125</v>
      </c>
      <c r="O14" s="67">
        <v>1263024759435974.5</v>
      </c>
      <c r="P14" s="67">
        <v>10104198075487.797</v>
      </c>
      <c r="Q14" s="67"/>
      <c r="R14" s="67"/>
    </row>
    <row r="15" spans="1:18" ht="13.8" thickBot="1">
      <c r="A15" s="3">
        <v>37987</v>
      </c>
      <c r="B15" s="41">
        <v>31050925</v>
      </c>
      <c r="C15" s="186">
        <f>+'Purchased Power Model '!C15</f>
        <v>828.8</v>
      </c>
      <c r="D15" s="186">
        <f>+'Purchased Power Model '!D15</f>
        <v>0</v>
      </c>
      <c r="E15" s="103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546</v>
      </c>
      <c r="I15" s="193">
        <f t="shared" si="0"/>
        <v>32579515.388551969</v>
      </c>
      <c r="J15" s="36">
        <f t="shared" si="1"/>
        <v>1528590.3885519691</v>
      </c>
      <c r="K15" s="5">
        <f t="shared" si="2"/>
        <v>4.9228497655125221E-2</v>
      </c>
      <c r="M15" s="51" t="s">
        <v>9</v>
      </c>
      <c r="N15" s="68">
        <v>131</v>
      </c>
      <c r="O15" s="68">
        <v>2094452982762630.2</v>
      </c>
      <c r="P15" s="68"/>
      <c r="Q15" s="68"/>
      <c r="R15" s="68"/>
    </row>
    <row r="16" spans="1:18" ht="13.8" thickBot="1">
      <c r="A16" s="3">
        <v>38018</v>
      </c>
      <c r="B16" s="41">
        <v>36406043</v>
      </c>
      <c r="C16" s="186">
        <f>+'Purchased Power Model '!C16</f>
        <v>615.6</v>
      </c>
      <c r="D16" s="186">
        <f>+'Purchased Power Model '!D16</f>
        <v>0</v>
      </c>
      <c r="E16" s="103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513</v>
      </c>
      <c r="I16" s="193">
        <f t="shared" si="0"/>
        <v>33433870.843389846</v>
      </c>
      <c r="J16" s="36">
        <f t="shared" si="1"/>
        <v>-2972172.1566101536</v>
      </c>
      <c r="K16" s="5">
        <f t="shared" si="2"/>
        <v>-8.1639527718245938E-2</v>
      </c>
      <c r="M16"/>
      <c r="N16"/>
      <c r="O16"/>
      <c r="P16"/>
      <c r="Q16"/>
    </row>
    <row r="17" spans="1:21">
      <c r="A17" s="3">
        <v>38047</v>
      </c>
      <c r="B17" s="41">
        <v>38126322</v>
      </c>
      <c r="C17" s="186">
        <f>+'Purchased Power Model '!C17</f>
        <v>487.1</v>
      </c>
      <c r="D17" s="186">
        <f>+'Purchased Power Model '!D17</f>
        <v>0</v>
      </c>
      <c r="E17" s="103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511</v>
      </c>
      <c r="I17" s="193">
        <f t="shared" si="0"/>
        <v>30554451.711274445</v>
      </c>
      <c r="J17" s="36">
        <f t="shared" si="1"/>
        <v>-7571870.2887255549</v>
      </c>
      <c r="K17" s="5">
        <f t="shared" si="2"/>
        <v>-0.19859954728194223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>
      <c r="A18" s="3">
        <v>38078</v>
      </c>
      <c r="B18" s="41">
        <v>33666701.487578265</v>
      </c>
      <c r="C18" s="186">
        <f>+'Purchased Power Model '!C18</f>
        <v>345</v>
      </c>
      <c r="D18" s="186">
        <f>+'Purchased Power Model '!D18</f>
        <v>0</v>
      </c>
      <c r="E18" s="103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505</v>
      </c>
      <c r="I18" s="193">
        <f t="shared" si="0"/>
        <v>30044123.174543466</v>
      </c>
      <c r="J18" s="36">
        <f t="shared" si="1"/>
        <v>-3622578.3130347989</v>
      </c>
      <c r="K18" s="5">
        <f t="shared" si="2"/>
        <v>-0.10760122474045736</v>
      </c>
      <c r="M18" s="35" t="s">
        <v>28</v>
      </c>
      <c r="N18" s="67">
        <v>73746364.502114668</v>
      </c>
      <c r="O18" s="67">
        <v>14334768.275041109</v>
      </c>
      <c r="P18" s="67">
        <v>5.144580162521196</v>
      </c>
      <c r="Q18" s="67">
        <v>1.0082996457477713E-6</v>
      </c>
      <c r="R18" s="67">
        <v>45376079.005977407</v>
      </c>
      <c r="S18" s="67">
        <v>102116649.99825193</v>
      </c>
      <c r="T18" s="67">
        <v>45376079.005977407</v>
      </c>
      <c r="U18" s="67">
        <v>102116649.99825193</v>
      </c>
    </row>
    <row r="19" spans="1:21">
      <c r="A19" s="3">
        <v>38108</v>
      </c>
      <c r="B19" s="41">
        <v>28864544.396351375</v>
      </c>
      <c r="C19" s="186">
        <f>+'Purchased Power Model '!C19</f>
        <v>177.5</v>
      </c>
      <c r="D19" s="186">
        <f>+'Purchased Power Model '!D19</f>
        <v>0</v>
      </c>
      <c r="E19" s="103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504</v>
      </c>
      <c r="I19" s="193">
        <f t="shared" si="0"/>
        <v>27681503.250446588</v>
      </c>
      <c r="J19" s="36">
        <f t="shared" si="1"/>
        <v>-1183041.1459047869</v>
      </c>
      <c r="K19" s="5">
        <f t="shared" si="2"/>
        <v>-4.0985962905214932E-2</v>
      </c>
      <c r="M19" s="35" t="s">
        <v>3</v>
      </c>
      <c r="N19" s="67">
        <v>10655.342972139095</v>
      </c>
      <c r="O19" s="67">
        <v>1718.7725057114085</v>
      </c>
      <c r="P19" s="67">
        <v>6.1993910984332361</v>
      </c>
      <c r="Q19" s="67">
        <v>7.5800617221707008E-9</v>
      </c>
      <c r="R19" s="67">
        <v>7253.6788674708914</v>
      </c>
      <c r="S19" s="67">
        <v>14057.007076807298</v>
      </c>
      <c r="T19" s="67">
        <v>7253.6788674708914</v>
      </c>
      <c r="U19" s="67">
        <v>14057.007076807298</v>
      </c>
    </row>
    <row r="20" spans="1:21">
      <c r="A20" s="3">
        <v>38139</v>
      </c>
      <c r="B20" s="41">
        <v>28787116.822719466</v>
      </c>
      <c r="C20" s="186">
        <f>+'Purchased Power Model '!C20</f>
        <v>73.2</v>
      </c>
      <c r="D20" s="186">
        <f>+'Purchased Power Model '!D20</f>
        <v>15.6</v>
      </c>
      <c r="E20" s="103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506</v>
      </c>
      <c r="I20" s="193">
        <f t="shared" si="0"/>
        <v>27745061.275946893</v>
      </c>
      <c r="J20" s="36">
        <f t="shared" si="1"/>
        <v>-1042055.5467725731</v>
      </c>
      <c r="K20" s="5">
        <f t="shared" si="2"/>
        <v>-3.6198677109274054E-2</v>
      </c>
      <c r="M20" s="35" t="s">
        <v>4</v>
      </c>
      <c r="N20" s="67">
        <v>19156.995601935654</v>
      </c>
      <c r="O20" s="67">
        <v>12914.941926025975</v>
      </c>
      <c r="P20" s="67">
        <v>1.4833203053999644</v>
      </c>
      <c r="Q20" s="67">
        <v>0.14050634456709171</v>
      </c>
      <c r="R20" s="67">
        <v>-6403.2773356705911</v>
      </c>
      <c r="S20" s="67">
        <v>44717.268539541896</v>
      </c>
      <c r="T20" s="67">
        <v>-6403.2773356705911</v>
      </c>
      <c r="U20" s="67">
        <v>44717.268539541896</v>
      </c>
    </row>
    <row r="21" spans="1:21">
      <c r="A21" s="3">
        <v>38169</v>
      </c>
      <c r="B21" s="41">
        <v>29929744.994740829</v>
      </c>
      <c r="C21" s="186">
        <f>+'Purchased Power Model '!C21</f>
        <v>2</v>
      </c>
      <c r="D21" s="186">
        <f>+'Purchased Power Model '!D21</f>
        <v>69.3</v>
      </c>
      <c r="E21" s="103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512</v>
      </c>
      <c r="I21" s="193">
        <f t="shared" si="0"/>
        <v>27051174.318734866</v>
      </c>
      <c r="J21" s="36">
        <f t="shared" si="1"/>
        <v>-2878570.6760059632</v>
      </c>
      <c r="K21" s="5">
        <f t="shared" si="2"/>
        <v>-9.617758776467282E-2</v>
      </c>
      <c r="M21" s="35" t="s">
        <v>218</v>
      </c>
      <c r="N21" s="67">
        <v>7967699.6380653633</v>
      </c>
      <c r="O21" s="67">
        <v>18845289.230669353</v>
      </c>
      <c r="P21" s="67">
        <v>0.42279529597765497</v>
      </c>
      <c r="Q21" s="67">
        <v>0.67317106064600907</v>
      </c>
      <c r="R21" s="67">
        <v>-29329466.627417032</v>
      </c>
      <c r="S21" s="67">
        <v>45264865.903547756</v>
      </c>
      <c r="T21" s="67">
        <v>-29329466.627417032</v>
      </c>
      <c r="U21" s="67">
        <v>45264865.903547756</v>
      </c>
    </row>
    <row r="22" spans="1:21">
      <c r="A22" s="3">
        <v>38200</v>
      </c>
      <c r="B22" s="41">
        <v>32499982.567717485</v>
      </c>
      <c r="C22" s="186">
        <f>+'Purchased Power Model '!C22</f>
        <v>19.600000000000001</v>
      </c>
      <c r="D22" s="186">
        <f>+'Purchased Power Model '!D22</f>
        <v>53.6</v>
      </c>
      <c r="E22" s="103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512</v>
      </c>
      <c r="I22" s="193">
        <f t="shared" si="0"/>
        <v>26937943.524094131</v>
      </c>
      <c r="J22" s="36">
        <f t="shared" si="1"/>
        <v>-5562039.0436233543</v>
      </c>
      <c r="K22" s="5">
        <f t="shared" si="2"/>
        <v>-0.17113975467630485</v>
      </c>
      <c r="M22" s="35" t="s">
        <v>5</v>
      </c>
      <c r="N22" s="67">
        <v>-634146.39409131941</v>
      </c>
      <c r="O22" s="67">
        <v>357058.93109293754</v>
      </c>
      <c r="P22" s="67">
        <v>-1.7760272573220128</v>
      </c>
      <c r="Q22" s="67">
        <v>7.8161480167189989E-2</v>
      </c>
      <c r="R22" s="67">
        <v>-1340810.3331024433</v>
      </c>
      <c r="S22" s="67">
        <v>72517.544919804321</v>
      </c>
      <c r="T22" s="67">
        <v>-1340810.3331024433</v>
      </c>
      <c r="U22" s="67">
        <v>72517.544919804321</v>
      </c>
    </row>
    <row r="23" spans="1:21">
      <c r="A23" s="3">
        <v>38231</v>
      </c>
      <c r="B23" s="41">
        <v>29189627.730892576</v>
      </c>
      <c r="C23" s="186">
        <f>+'Purchased Power Model '!C23</f>
        <v>41.7</v>
      </c>
      <c r="D23" s="186">
        <f>+'Purchased Power Model '!D23</f>
        <v>26.7</v>
      </c>
      <c r="E23" s="103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515</v>
      </c>
      <c r="I23" s="193">
        <f t="shared" si="0"/>
        <v>26768852.955026083</v>
      </c>
      <c r="J23" s="36">
        <f t="shared" si="1"/>
        <v>-2420774.7758664936</v>
      </c>
      <c r="K23" s="5">
        <f t="shared" si="2"/>
        <v>-8.2932704664283499E-2</v>
      </c>
      <c r="M23" s="35" t="s">
        <v>17</v>
      </c>
      <c r="N23" s="67">
        <v>-354507.60766836052</v>
      </c>
      <c r="O23" s="67">
        <v>720401.34764840722</v>
      </c>
      <c r="P23" s="67">
        <v>-0.49209736881472133</v>
      </c>
      <c r="Q23" s="67">
        <v>0.62351364332071801</v>
      </c>
      <c r="R23" s="67">
        <v>-1780271.2832607192</v>
      </c>
      <c r="S23" s="67">
        <v>1071256.0679239982</v>
      </c>
      <c r="T23" s="67">
        <v>-1780271.2832607192</v>
      </c>
      <c r="U23" s="67">
        <v>1071256.0679239982</v>
      </c>
    </row>
    <row r="24" spans="1:21" ht="13.8" thickBot="1">
      <c r="A24" s="3">
        <v>38261</v>
      </c>
      <c r="B24" s="41">
        <v>15440536</v>
      </c>
      <c r="C24" s="186">
        <f>+'Purchased Power Model '!C24</f>
        <v>235</v>
      </c>
      <c r="D24" s="186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515</v>
      </c>
      <c r="I24" s="193">
        <f t="shared" si="0"/>
        <v>27706795.673791751</v>
      </c>
      <c r="J24" s="36">
        <f t="shared" si="1"/>
        <v>12266259.673791751</v>
      </c>
      <c r="K24" s="5">
        <f t="shared" si="2"/>
        <v>0.79441929177793769</v>
      </c>
      <c r="M24" s="51" t="s">
        <v>59</v>
      </c>
      <c r="N24" s="68">
        <v>-56296.417827736172</v>
      </c>
      <c r="O24" s="68">
        <v>17171.797105554542</v>
      </c>
      <c r="P24" s="68">
        <v>-3.2784231890048381</v>
      </c>
      <c r="Q24" s="68">
        <v>1.3521169371222255E-3</v>
      </c>
      <c r="R24" s="68">
        <v>-90281.53548147298</v>
      </c>
      <c r="S24" s="68">
        <v>-22311.300173999363</v>
      </c>
      <c r="T24" s="68">
        <v>-90281.53548147298</v>
      </c>
      <c r="U24" s="68">
        <v>-22311.300173999363</v>
      </c>
    </row>
    <row r="25" spans="1:21">
      <c r="A25" s="3">
        <v>38292</v>
      </c>
      <c r="B25" s="41">
        <v>25555031</v>
      </c>
      <c r="C25" s="186">
        <f>+'Purchased Power Model '!C25</f>
        <v>385.7</v>
      </c>
      <c r="D25" s="186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513</v>
      </c>
      <c r="I25" s="193">
        <f t="shared" si="0"/>
        <v>30059295.089439899</v>
      </c>
      <c r="J25" s="36">
        <f t="shared" si="1"/>
        <v>4504264.0894398987</v>
      </c>
      <c r="K25" s="5">
        <f t="shared" si="2"/>
        <v>0.17625743007081066</v>
      </c>
      <c r="M25"/>
      <c r="N25"/>
      <c r="O25"/>
      <c r="P25"/>
      <c r="Q25"/>
    </row>
    <row r="26" spans="1:21">
      <c r="A26" s="3">
        <v>38322</v>
      </c>
      <c r="B26" s="41">
        <v>31115405</v>
      </c>
      <c r="C26" s="186">
        <f>+'Purchased Power Model '!C26</f>
        <v>627.5</v>
      </c>
      <c r="D26" s="186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515</v>
      </c>
      <c r="I26" s="193">
        <f t="shared" si="0"/>
        <v>32243525.398024715</v>
      </c>
      <c r="J26" s="36">
        <f t="shared" si="1"/>
        <v>1128120.3980247155</v>
      </c>
      <c r="K26" s="5">
        <f t="shared" si="2"/>
        <v>3.6256008817006094E-2</v>
      </c>
      <c r="M26"/>
      <c r="N26"/>
      <c r="O26"/>
      <c r="P26"/>
      <c r="Q26"/>
    </row>
    <row r="27" spans="1:21">
      <c r="A27" s="3">
        <v>38353</v>
      </c>
      <c r="B27" s="41">
        <v>37040836</v>
      </c>
      <c r="C27" s="186">
        <f>+'Purchased Power Model '!C27</f>
        <v>745.5</v>
      </c>
      <c r="D27" s="186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515</v>
      </c>
      <c r="I27" s="193">
        <f t="shared" si="0"/>
        <v>33612403.663670041</v>
      </c>
      <c r="J27" s="36">
        <f t="shared" si="1"/>
        <v>-3428432.3363299593</v>
      </c>
      <c r="K27" s="5">
        <f t="shared" si="2"/>
        <v>-9.2558179203351659E-2</v>
      </c>
      <c r="M27"/>
      <c r="N27"/>
      <c r="O27"/>
      <c r="P27"/>
      <c r="Q27"/>
    </row>
    <row r="28" spans="1:21">
      <c r="A28" s="3">
        <v>38384</v>
      </c>
      <c r="B28" s="41">
        <v>34565800</v>
      </c>
      <c r="C28" s="186">
        <f>+'Purchased Power Model '!C28</f>
        <v>589.5</v>
      </c>
      <c r="D28" s="186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520</v>
      </c>
      <c r="I28" s="193">
        <f t="shared" si="0"/>
        <v>33571127.253151618</v>
      </c>
      <c r="J28" s="36">
        <f t="shared" si="1"/>
        <v>-994672.74684838206</v>
      </c>
      <c r="K28" s="5">
        <f t="shared" si="2"/>
        <v>-2.8776210787783939E-2</v>
      </c>
    </row>
    <row r="29" spans="1:21">
      <c r="A29" s="3">
        <v>38412</v>
      </c>
      <c r="B29" s="41">
        <v>32449972</v>
      </c>
      <c r="C29" s="186">
        <f>+'Purchased Power Model '!C29</f>
        <v>578.29999999999995</v>
      </c>
      <c r="D29" s="186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512</v>
      </c>
      <c r="I29" s="193">
        <f t="shared" si="0"/>
        <v>31645211.964543227</v>
      </c>
      <c r="J29" s="36">
        <f t="shared" si="1"/>
        <v>-804760.03545677289</v>
      </c>
      <c r="K29" s="5">
        <f t="shared" si="2"/>
        <v>-2.4800022491753549E-2</v>
      </c>
    </row>
    <row r="30" spans="1:21">
      <c r="A30" s="3">
        <v>38443</v>
      </c>
      <c r="B30" s="41">
        <v>30732659</v>
      </c>
      <c r="C30" s="186">
        <f>+'Purchased Power Model '!C30</f>
        <v>325.3</v>
      </c>
      <c r="D30" s="186">
        <f>+'Purchased Power Model '!D30</f>
        <v>0</v>
      </c>
      <c r="E30" s="103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511</v>
      </c>
      <c r="I30" s="193">
        <f t="shared" si="0"/>
        <v>29576111.407406576</v>
      </c>
      <c r="J30" s="36">
        <f t="shared" si="1"/>
        <v>-1156547.592593424</v>
      </c>
      <c r="K30" s="5">
        <f t="shared" si="2"/>
        <v>-3.763252612126481E-2</v>
      </c>
    </row>
    <row r="31" spans="1:21">
      <c r="A31" s="3">
        <v>38473</v>
      </c>
      <c r="B31" s="41">
        <v>26655787</v>
      </c>
      <c r="C31" s="186">
        <f>+'Purchased Power Model '!C31</f>
        <v>216.1</v>
      </c>
      <c r="D31" s="186">
        <f>+'Purchased Power Model '!D31</f>
        <v>0.3</v>
      </c>
      <c r="E31" s="103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513</v>
      </c>
      <c r="I31" s="193">
        <f t="shared" si="0"/>
        <v>27671555.823782779</v>
      </c>
      <c r="J31" s="36">
        <f t="shared" si="1"/>
        <v>1015768.8237827793</v>
      </c>
      <c r="K31" s="5">
        <f t="shared" si="2"/>
        <v>3.8106878021751125E-2</v>
      </c>
    </row>
    <row r="32" spans="1:21">
      <c r="A32" s="3">
        <v>38504</v>
      </c>
      <c r="B32" s="41">
        <v>27616081</v>
      </c>
      <c r="C32" s="186">
        <f>+'Purchased Power Model '!C32</f>
        <v>13.7</v>
      </c>
      <c r="D32" s="186">
        <f>+'Purchased Power Model '!D32</f>
        <v>89.9</v>
      </c>
      <c r="E32" s="103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513</v>
      </c>
      <c r="I32" s="193">
        <f t="shared" si="0"/>
        <v>28220035.213914938</v>
      </c>
      <c r="J32" s="36">
        <f t="shared" si="1"/>
        <v>603954.21391493827</v>
      </c>
      <c r="K32" s="5">
        <f t="shared" si="2"/>
        <v>2.18696568102816E-2</v>
      </c>
    </row>
    <row r="33" spans="1:11">
      <c r="A33" s="3">
        <v>38534</v>
      </c>
      <c r="B33" s="41">
        <v>27395622</v>
      </c>
      <c r="C33" s="186">
        <f>+'Purchased Power Model '!C33</f>
        <v>2.2000000000000002</v>
      </c>
      <c r="D33" s="186">
        <f>+'Purchased Power Model '!D33</f>
        <v>153</v>
      </c>
      <c r="E33" s="103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518</v>
      </c>
      <c r="I33" s="193">
        <f t="shared" si="0"/>
        <v>28342870.51115907</v>
      </c>
      <c r="J33" s="36">
        <f t="shared" si="1"/>
        <v>947248.51115906984</v>
      </c>
      <c r="K33" s="5">
        <f t="shared" si="2"/>
        <v>3.4576638236542681E-2</v>
      </c>
    </row>
    <row r="34" spans="1:11">
      <c r="A34" s="3">
        <v>38565</v>
      </c>
      <c r="B34" s="41">
        <v>31319034</v>
      </c>
      <c r="C34" s="186">
        <f>+'Purchased Power Model '!C34</f>
        <v>0</v>
      </c>
      <c r="D34" s="186">
        <f>+'Purchased Power Model '!D34</f>
        <v>108</v>
      </c>
      <c r="E34" s="103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521</v>
      </c>
      <c r="I34" s="193">
        <f t="shared" si="0"/>
        <v>27288474.701050062</v>
      </c>
      <c r="J34" s="36">
        <f t="shared" si="1"/>
        <v>-4030559.2989499383</v>
      </c>
      <c r="K34" s="5">
        <f t="shared" si="2"/>
        <v>-0.12869360207437874</v>
      </c>
    </row>
    <row r="35" spans="1:11">
      <c r="A35" s="3">
        <v>38596</v>
      </c>
      <c r="B35" s="41">
        <v>26590568</v>
      </c>
      <c r="C35" s="186">
        <f>+'Purchased Power Model '!C35</f>
        <v>36.700000000000003</v>
      </c>
      <c r="D35" s="186">
        <f>+'Purchased Power Model '!D35</f>
        <v>32.799999999999997</v>
      </c>
      <c r="E35" s="103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523</v>
      </c>
      <c r="I35" s="193">
        <f t="shared" si="0"/>
        <v>26405965.669629481</v>
      </c>
      <c r="J35" s="36">
        <f t="shared" si="1"/>
        <v>-184602.33037051931</v>
      </c>
      <c r="K35" s="5">
        <f t="shared" si="2"/>
        <v>-6.9423989126715649E-3</v>
      </c>
    </row>
    <row r="36" spans="1:11">
      <c r="A36" s="3">
        <v>38626</v>
      </c>
      <c r="B36" s="41">
        <v>22998757</v>
      </c>
      <c r="C36" s="186">
        <f>+'Purchased Power Model '!C36</f>
        <v>223.8</v>
      </c>
      <c r="D36" s="186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523</v>
      </c>
      <c r="I36" s="193">
        <f t="shared" si="0"/>
        <v>27218372.284425456</v>
      </c>
      <c r="J36" s="36">
        <f t="shared" si="1"/>
        <v>4219615.2844254561</v>
      </c>
      <c r="K36" s="5">
        <f t="shared" si="2"/>
        <v>0.18347144954074937</v>
      </c>
    </row>
    <row r="37" spans="1:11">
      <c r="A37" s="3">
        <v>38657</v>
      </c>
      <c r="B37" s="41">
        <v>33595008</v>
      </c>
      <c r="C37" s="186">
        <f>+'Purchased Power Model '!C37</f>
        <v>398.5</v>
      </c>
      <c r="D37" s="186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526</v>
      </c>
      <c r="I37" s="193">
        <f t="shared" si="0"/>
        <v>29535539.344465297</v>
      </c>
      <c r="J37" s="36">
        <f t="shared" si="1"/>
        <v>-4059468.6555347033</v>
      </c>
      <c r="K37" s="5">
        <f t="shared" si="2"/>
        <v>-0.12083547220868955</v>
      </c>
    </row>
    <row r="38" spans="1:11">
      <c r="A38" s="3">
        <v>38687</v>
      </c>
      <c r="B38" s="41">
        <v>31002545</v>
      </c>
      <c r="C38" s="186">
        <f>+'Purchased Power Model '!C38</f>
        <v>641.1</v>
      </c>
      <c r="D38" s="186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528</v>
      </c>
      <c r="I38" s="193">
        <f t="shared" si="0"/>
        <v>31728293.927427817</v>
      </c>
      <c r="J38" s="36">
        <f t="shared" si="1"/>
        <v>725748.92742781714</v>
      </c>
      <c r="K38" s="5">
        <f t="shared" si="2"/>
        <v>2.3409333892679362E-2</v>
      </c>
    </row>
    <row r="39" spans="1:11">
      <c r="A39" s="3">
        <v>38718</v>
      </c>
      <c r="B39" s="38">
        <v>36089373</v>
      </c>
      <c r="C39" s="186">
        <f>+'Purchased Power Model '!C39</f>
        <v>558.20000000000005</v>
      </c>
      <c r="D39" s="186">
        <f>+'Purchased Power Model '!D39</f>
        <v>0</v>
      </c>
      <c r="E39" s="103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529</v>
      </c>
      <c r="I39" s="193">
        <f t="shared" si="0"/>
        <v>30780701.87757168</v>
      </c>
      <c r="J39" s="36">
        <f t="shared" si="1"/>
        <v>-5308671.1224283203</v>
      </c>
      <c r="K39" s="5">
        <f t="shared" si="2"/>
        <v>-0.14709790392945649</v>
      </c>
    </row>
    <row r="40" spans="1:11">
      <c r="A40" s="3">
        <v>38749</v>
      </c>
      <c r="B40" s="38">
        <v>33765775</v>
      </c>
      <c r="C40" s="186">
        <f>+'Purchased Power Model '!C40</f>
        <v>608.79999999999995</v>
      </c>
      <c r="D40" s="186">
        <f>+'Purchased Power Model '!D40</f>
        <v>0</v>
      </c>
      <c r="E40" s="103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529</v>
      </c>
      <c r="I40" s="193">
        <f t="shared" si="0"/>
        <v>33222301.41423589</v>
      </c>
      <c r="J40" s="36">
        <f t="shared" si="1"/>
        <v>-543473.58576411009</v>
      </c>
      <c r="K40" s="5">
        <f t="shared" si="2"/>
        <v>-1.609539795144966E-2</v>
      </c>
    </row>
    <row r="41" spans="1:11">
      <c r="A41" s="3">
        <v>38777</v>
      </c>
      <c r="B41" s="38">
        <v>33429399</v>
      </c>
      <c r="C41" s="186">
        <f>+'Purchased Power Model '!C41</f>
        <v>534</v>
      </c>
      <c r="D41" s="186">
        <f>+'Purchased Power Model '!D41</f>
        <v>0</v>
      </c>
      <c r="E41" s="103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530</v>
      </c>
      <c r="I41" s="193">
        <f t="shared" si="0"/>
        <v>30112038.552149821</v>
      </c>
      <c r="J41" s="36">
        <f t="shared" si="1"/>
        <v>-3317360.4478501789</v>
      </c>
      <c r="K41" s="5">
        <f t="shared" si="2"/>
        <v>-9.9234821656535882E-2</v>
      </c>
    </row>
    <row r="42" spans="1:11">
      <c r="A42" s="3">
        <v>38808</v>
      </c>
      <c r="B42" s="38">
        <v>29947160</v>
      </c>
      <c r="C42" s="186">
        <f>+'Purchased Power Model '!C42</f>
        <v>323.60000000000002</v>
      </c>
      <c r="D42" s="186">
        <f>+'Purchased Power Model '!D42</f>
        <v>0</v>
      </c>
      <c r="E42" s="103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518</v>
      </c>
      <c r="I42" s="193">
        <f t="shared" si="0"/>
        <v>29171890.099197857</v>
      </c>
      <c r="J42" s="36">
        <f t="shared" si="1"/>
        <v>-775269.90080214292</v>
      </c>
      <c r="K42" s="5">
        <f t="shared" si="2"/>
        <v>-2.5887927296015478E-2</v>
      </c>
    </row>
    <row r="43" spans="1:11">
      <c r="A43" s="3">
        <v>38838</v>
      </c>
      <c r="B43" s="38">
        <v>27235513</v>
      </c>
      <c r="C43" s="186">
        <f>+'Purchased Power Model '!C43</f>
        <v>172.6</v>
      </c>
      <c r="D43" s="186">
        <f>+'Purchased Power Model '!D43</f>
        <v>12.8</v>
      </c>
      <c r="E43" s="103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532</v>
      </c>
      <c r="I43" s="193">
        <f t="shared" si="0"/>
        <v>26385846.610429998</v>
      </c>
      <c r="J43" s="36">
        <f t="shared" si="1"/>
        <v>-849666.38957000151</v>
      </c>
      <c r="K43" s="5">
        <f t="shared" si="2"/>
        <v>-3.1197003323197969E-2</v>
      </c>
    </row>
    <row r="44" spans="1:11">
      <c r="A44" s="3">
        <v>38869</v>
      </c>
      <c r="B44" s="38">
        <v>26536703</v>
      </c>
      <c r="C44" s="186">
        <f>+'Purchased Power Model '!C44</f>
        <v>22.6</v>
      </c>
      <c r="D44" s="186">
        <f>+'Purchased Power Model '!D44</f>
        <v>36.200000000000003</v>
      </c>
      <c r="E44" s="103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529</v>
      </c>
      <c r="I44" s="193">
        <f t="shared" si="0"/>
        <v>26393362.11693731</v>
      </c>
      <c r="J44" s="36">
        <f t="shared" si="1"/>
        <v>-143340.8830626905</v>
      </c>
      <c r="K44" s="5">
        <f t="shared" si="2"/>
        <v>-5.4016085970698957E-3</v>
      </c>
    </row>
    <row r="45" spans="1:11">
      <c r="A45" s="3">
        <v>38899</v>
      </c>
      <c r="B45" s="38">
        <v>28103154</v>
      </c>
      <c r="C45" s="186">
        <f>+'Purchased Power Model '!C45</f>
        <v>1.7</v>
      </c>
      <c r="D45" s="186">
        <f>+'Purchased Power Model '!D45</f>
        <v>107.6</v>
      </c>
      <c r="E45" s="103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520</v>
      </c>
      <c r="I45" s="193">
        <f t="shared" si="0"/>
        <v>27426931.700432241</v>
      </c>
      <c r="J45" s="36">
        <f t="shared" si="1"/>
        <v>-676222.29956775904</v>
      </c>
      <c r="K45" s="5">
        <f t="shared" si="2"/>
        <v>-2.4062149734786317E-2</v>
      </c>
    </row>
    <row r="46" spans="1:11">
      <c r="A46" s="3">
        <v>38930</v>
      </c>
      <c r="B46" s="38">
        <v>29283938</v>
      </c>
      <c r="C46" s="186">
        <f>+'Purchased Power Model '!C46</f>
        <v>4.4000000000000004</v>
      </c>
      <c r="D46" s="186">
        <f>+'Purchased Power Model '!D46</f>
        <v>82.1</v>
      </c>
      <c r="E46" s="103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521</v>
      </c>
      <c r="I46" s="193">
        <f t="shared" si="0"/>
        <v>26910901.320779938</v>
      </c>
      <c r="J46" s="36">
        <f t="shared" si="1"/>
        <v>-2373036.6792200617</v>
      </c>
      <c r="K46" s="5">
        <f t="shared" si="2"/>
        <v>-8.1035435849511145E-2</v>
      </c>
    </row>
    <row r="47" spans="1:11">
      <c r="A47" s="3">
        <v>38961</v>
      </c>
      <c r="B47" s="38">
        <v>27098995</v>
      </c>
      <c r="C47" s="186">
        <f>+'Purchased Power Model '!C47</f>
        <v>70.7</v>
      </c>
      <c r="D47" s="186">
        <f>+'Purchased Power Model '!D47</f>
        <v>5.0999999999999996</v>
      </c>
      <c r="E47" s="103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517</v>
      </c>
      <c r="I47" s="193">
        <f t="shared" si="0"/>
        <v>26647086.356217597</v>
      </c>
      <c r="J47" s="36">
        <f t="shared" si="1"/>
        <v>-451908.64378240332</v>
      </c>
      <c r="K47" s="5">
        <f t="shared" si="2"/>
        <v>-1.6676214146775677E-2</v>
      </c>
    </row>
    <row r="48" spans="1:11">
      <c r="A48" s="3">
        <v>38991</v>
      </c>
      <c r="B48" s="38">
        <v>27332663</v>
      </c>
      <c r="C48" s="186">
        <f>+'Purchased Power Model '!C48</f>
        <v>274.60000000000002</v>
      </c>
      <c r="D48" s="186">
        <f>+'Purchased Power Model '!D48</f>
        <v>0</v>
      </c>
      <c r="E48" s="103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520</v>
      </c>
      <c r="I48" s="193">
        <f t="shared" si="0"/>
        <v>27926942.162730433</v>
      </c>
      <c r="J48" s="36">
        <f t="shared" si="1"/>
        <v>594279.16273043305</v>
      </c>
      <c r="K48" s="5">
        <f t="shared" si="2"/>
        <v>2.1742453808120819E-2</v>
      </c>
    </row>
    <row r="49" spans="1:11">
      <c r="A49" s="3">
        <v>39022</v>
      </c>
      <c r="B49" s="38">
        <v>29112228</v>
      </c>
      <c r="C49" s="186">
        <f>+'Purchased Power Model '!C49</f>
        <v>367.5</v>
      </c>
      <c r="D49" s="186">
        <f>+'Purchased Power Model '!D49</f>
        <v>0</v>
      </c>
      <c r="E49" s="103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522</v>
      </c>
      <c r="I49" s="193">
        <f t="shared" si="0"/>
        <v>29438377.083278008</v>
      </c>
      <c r="J49" s="36">
        <f t="shared" si="1"/>
        <v>326149.08327800781</v>
      </c>
      <c r="K49" s="5">
        <f t="shared" si="2"/>
        <v>1.120316463851574E-2</v>
      </c>
    </row>
    <row r="50" spans="1:11">
      <c r="A50" s="3">
        <v>39052</v>
      </c>
      <c r="B50" s="38">
        <v>29151692</v>
      </c>
      <c r="C50" s="186">
        <f>+'Purchased Power Model '!C50</f>
        <v>471.5</v>
      </c>
      <c r="D50" s="186">
        <f>+'Purchased Power Model '!D50</f>
        <v>0</v>
      </c>
      <c r="E50" s="103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522</v>
      </c>
      <c r="I50" s="193">
        <f t="shared" si="0"/>
        <v>30266893.965957515</v>
      </c>
      <c r="J50" s="36">
        <f t="shared" si="1"/>
        <v>1115201.9659575149</v>
      </c>
      <c r="K50" s="5">
        <f t="shared" si="2"/>
        <v>3.8255136818731307E-2</v>
      </c>
    </row>
    <row r="51" spans="1:11">
      <c r="A51" s="3">
        <v>39083</v>
      </c>
      <c r="B51" s="38">
        <v>33465918</v>
      </c>
      <c r="C51" s="186">
        <f>+'Purchased Power Model '!C51</f>
        <v>573.1</v>
      </c>
      <c r="D51" s="186">
        <f>+'Purchased Power Model '!D51</f>
        <v>0</v>
      </c>
      <c r="E51" s="103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524</v>
      </c>
      <c r="I51" s="193">
        <f t="shared" si="0"/>
        <v>31181110.07880491</v>
      </c>
      <c r="J51" s="36">
        <f t="shared" si="1"/>
        <v>-2284807.9211950898</v>
      </c>
      <c r="K51" s="5">
        <f t="shared" si="2"/>
        <v>-6.827268031897675E-2</v>
      </c>
    </row>
    <row r="52" spans="1:11">
      <c r="A52" s="3">
        <v>39114</v>
      </c>
      <c r="B52" s="38">
        <v>35336054</v>
      </c>
      <c r="C52" s="186">
        <f>+'Purchased Power Model '!C52</f>
        <v>693.5</v>
      </c>
      <c r="D52" s="186">
        <f>+'Purchased Power Model '!D52</f>
        <v>0</v>
      </c>
      <c r="E52" s="103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525</v>
      </c>
      <c r="I52" s="193">
        <f t="shared" si="0"/>
        <v>34310156.137096688</v>
      </c>
      <c r="J52" s="36">
        <f t="shared" si="1"/>
        <v>-1025897.8629033118</v>
      </c>
      <c r="K52" s="5">
        <f t="shared" si="2"/>
        <v>-2.9032609665564577E-2</v>
      </c>
    </row>
    <row r="53" spans="1:11">
      <c r="A53" s="3">
        <v>39142</v>
      </c>
      <c r="B53" s="38">
        <v>34240683</v>
      </c>
      <c r="C53" s="186">
        <f>+'Purchased Power Model '!C53</f>
        <v>477.9</v>
      </c>
      <c r="D53" s="186">
        <f>+'Purchased Power Model '!D53</f>
        <v>0</v>
      </c>
      <c r="E53" s="103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526</v>
      </c>
      <c r="I53" s="193">
        <f t="shared" si="0"/>
        <v>29699620.984533433</v>
      </c>
      <c r="J53" s="36">
        <f t="shared" si="1"/>
        <v>-4541062.0154665671</v>
      </c>
      <c r="K53" s="5">
        <f t="shared" si="2"/>
        <v>-0.13262182928613214</v>
      </c>
    </row>
    <row r="54" spans="1:11">
      <c r="A54" s="3">
        <v>39173</v>
      </c>
      <c r="B54" s="38">
        <v>33142335</v>
      </c>
      <c r="C54" s="186">
        <f>+'Purchased Power Model '!C54</f>
        <v>280.39999999999998</v>
      </c>
      <c r="D54" s="186">
        <f>+'Purchased Power Model '!D54</f>
        <v>0</v>
      </c>
      <c r="E54" s="103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525</v>
      </c>
      <c r="I54" s="193">
        <f t="shared" si="0"/>
        <v>28277665.859816957</v>
      </c>
      <c r="J54" s="36">
        <f t="shared" si="1"/>
        <v>-4864669.1401830427</v>
      </c>
      <c r="K54" s="5">
        <f t="shared" si="2"/>
        <v>-0.1467811226995033</v>
      </c>
    </row>
    <row r="55" spans="1:11">
      <c r="A55" s="3">
        <v>39203</v>
      </c>
      <c r="B55" s="38">
        <v>26518433</v>
      </c>
      <c r="C55" s="186">
        <f>+'Purchased Power Model '!C55</f>
        <v>72.8</v>
      </c>
      <c r="D55" s="186">
        <f>+'Purchased Power Model '!D55</f>
        <v>4.5</v>
      </c>
      <c r="E55" s="103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528</v>
      </c>
      <c r="I55" s="193">
        <f t="shared" si="0"/>
        <v>25348787.491435062</v>
      </c>
      <c r="J55" s="36">
        <f t="shared" si="1"/>
        <v>-1169645.5085649379</v>
      </c>
      <c r="K55" s="5">
        <f t="shared" si="2"/>
        <v>-4.4106886276611364E-2</v>
      </c>
    </row>
    <row r="56" spans="1:11">
      <c r="A56" s="3">
        <v>39234</v>
      </c>
      <c r="B56" s="38">
        <v>26047050</v>
      </c>
      <c r="C56" s="186">
        <f>+'Purchased Power Model '!C56</f>
        <v>6.2</v>
      </c>
      <c r="D56" s="186">
        <f>+'Purchased Power Model '!D56</f>
        <v>32.799999999999997</v>
      </c>
      <c r="E56" s="103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530</v>
      </c>
      <c r="I56" s="193">
        <f t="shared" si="0"/>
        <v>26057345.791129593</v>
      </c>
      <c r="J56" s="36">
        <f t="shared" si="1"/>
        <v>10295.791129592806</v>
      </c>
      <c r="K56" s="5">
        <f t="shared" si="2"/>
        <v>3.9527666778359954E-4</v>
      </c>
    </row>
    <row r="57" spans="1:11">
      <c r="A57" s="3">
        <v>39264</v>
      </c>
      <c r="B57" s="38">
        <v>27882022</v>
      </c>
      <c r="C57" s="186">
        <f>+'Purchased Power Model '!C57</f>
        <v>8.6999999999999993</v>
      </c>
      <c r="D57" s="186">
        <f>+'Purchased Power Model '!D57</f>
        <v>41.6</v>
      </c>
      <c r="E57" s="103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514</v>
      </c>
      <c r="I57" s="193">
        <f t="shared" si="0"/>
        <v>26559000.499199767</v>
      </c>
      <c r="J57" s="36">
        <f t="shared" si="1"/>
        <v>-1323021.5008002333</v>
      </c>
      <c r="K57" s="5">
        <f t="shared" si="2"/>
        <v>-4.7450701416139524E-2</v>
      </c>
    </row>
    <row r="58" spans="1:11">
      <c r="A58" s="3">
        <v>39295</v>
      </c>
      <c r="B58" s="38">
        <v>29951980</v>
      </c>
      <c r="C58" s="186">
        <f>+'Purchased Power Model '!C58</f>
        <v>4</v>
      </c>
      <c r="D58" s="186">
        <f>+'Purchased Power Model '!D58</f>
        <v>87.8</v>
      </c>
      <c r="E58" s="103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515</v>
      </c>
      <c r="I58" s="193">
        <f t="shared" si="0"/>
        <v>27337677.166212402</v>
      </c>
      <c r="J58" s="36">
        <f t="shared" si="1"/>
        <v>-2614302.8337875977</v>
      </c>
      <c r="K58" s="5">
        <f t="shared" si="2"/>
        <v>-8.7283139004085797E-2</v>
      </c>
    </row>
    <row r="59" spans="1:11">
      <c r="A59" s="3">
        <v>39326</v>
      </c>
      <c r="B59" s="38">
        <v>27635468</v>
      </c>
      <c r="C59" s="186">
        <f>+'Purchased Power Model '!C59</f>
        <v>20.100000000000001</v>
      </c>
      <c r="D59" s="186">
        <f>+'Purchased Power Model '!D59</f>
        <v>12.3</v>
      </c>
      <c r="E59" s="103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520</v>
      </c>
      <c r="I59" s="193">
        <f t="shared" si="0"/>
        <v>26061031.717401966</v>
      </c>
      <c r="J59" s="36">
        <f t="shared" si="1"/>
        <v>-1574436.2825980335</v>
      </c>
      <c r="K59" s="5">
        <f t="shared" si="2"/>
        <v>-5.6971580238772634E-2</v>
      </c>
    </row>
    <row r="60" spans="1:11">
      <c r="A60" s="3">
        <v>39356</v>
      </c>
      <c r="B60" s="38">
        <v>26870323</v>
      </c>
      <c r="C60" s="186">
        <f>+'Purchased Power Model '!C60</f>
        <v>101.5</v>
      </c>
      <c r="D60" s="186">
        <f>+'Purchased Power Model '!D60</f>
        <v>0</v>
      </c>
      <c r="E60" s="103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521</v>
      </c>
      <c r="I60" s="193">
        <f t="shared" si="0"/>
        <v>25986367.378235098</v>
      </c>
      <c r="J60" s="36">
        <f t="shared" si="1"/>
        <v>-883955.62176490203</v>
      </c>
      <c r="K60" s="5">
        <f t="shared" si="2"/>
        <v>-3.2897096985581527E-2</v>
      </c>
    </row>
    <row r="61" spans="1:11">
      <c r="A61" s="3">
        <v>39387</v>
      </c>
      <c r="B61" s="38">
        <v>28419439</v>
      </c>
      <c r="C61" s="186">
        <f>+'Purchased Power Model '!C61</f>
        <v>314.10000000000002</v>
      </c>
      <c r="D61" s="186">
        <f>+'Purchased Power Model '!D61</f>
        <v>0</v>
      </c>
      <c r="E61" s="103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522</v>
      </c>
      <c r="I61" s="193">
        <f t="shared" si="0"/>
        <v>28829543.270375438</v>
      </c>
      <c r="J61" s="36">
        <f t="shared" si="1"/>
        <v>410104.27037543803</v>
      </c>
      <c r="K61" s="5">
        <f t="shared" si="2"/>
        <v>1.4430413998511303E-2</v>
      </c>
    </row>
    <row r="62" spans="1:11">
      <c r="A62" s="3">
        <v>39417</v>
      </c>
      <c r="B62" s="38">
        <v>29635015</v>
      </c>
      <c r="C62" s="186">
        <f>+'Purchased Power Model '!C62</f>
        <v>337.8</v>
      </c>
      <c r="D62" s="186">
        <f>+'Purchased Power Model '!D62</f>
        <v>0</v>
      </c>
      <c r="E62" s="103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524</v>
      </c>
      <c r="I62" s="193">
        <f t="shared" si="0"/>
        <v>28689843.276736721</v>
      </c>
      <c r="J62" s="36">
        <f t="shared" si="1"/>
        <v>-945171.7232632786</v>
      </c>
      <c r="K62" s="5">
        <f t="shared" si="2"/>
        <v>-3.1893748771960419E-2</v>
      </c>
    </row>
    <row r="63" spans="1:11">
      <c r="A63" s="3">
        <v>39448</v>
      </c>
      <c r="B63" s="42">
        <v>36162351</v>
      </c>
      <c r="C63" s="187">
        <f>+'Purchased Power Model '!C63</f>
        <v>432.8</v>
      </c>
      <c r="D63" s="187">
        <f>+'Purchased Power Model '!D63</f>
        <v>0</v>
      </c>
      <c r="E63" s="103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523</v>
      </c>
      <c r="I63" s="193">
        <f t="shared" si="0"/>
        <v>29766364.976555731</v>
      </c>
      <c r="J63" s="36">
        <f t="shared" si="1"/>
        <v>-6395986.0234442689</v>
      </c>
      <c r="K63" s="5">
        <f t="shared" si="2"/>
        <v>-0.17686864505696184</v>
      </c>
    </row>
    <row r="64" spans="1:11">
      <c r="A64" s="3">
        <v>39479</v>
      </c>
      <c r="B64" s="42">
        <v>33275078</v>
      </c>
      <c r="C64" s="187">
        <f>+'Purchased Power Model '!C64</f>
        <v>317.60000000000002</v>
      </c>
      <c r="D64" s="187">
        <f>+'Purchased Power Model '!D64</f>
        <v>0</v>
      </c>
      <c r="E64" s="103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524</v>
      </c>
      <c r="I64" s="193">
        <f t="shared" si="0"/>
        <v>29750865.836520217</v>
      </c>
      <c r="J64" s="36">
        <f t="shared" si="1"/>
        <v>-3524212.1634797826</v>
      </c>
      <c r="K64" s="5">
        <f t="shared" si="2"/>
        <v>-0.10591146213030012</v>
      </c>
    </row>
    <row r="65" spans="1:17">
      <c r="A65" s="3">
        <v>39508</v>
      </c>
      <c r="B65" s="42">
        <v>31871980</v>
      </c>
      <c r="C65" s="187">
        <f>+'Purchased Power Model '!C65</f>
        <v>430</v>
      </c>
      <c r="D65" s="187">
        <f>+'Purchased Power Model '!D65</f>
        <v>0</v>
      </c>
      <c r="E65" s="103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525</v>
      </c>
      <c r="I65" s="193">
        <f t="shared" si="0"/>
        <v>29269429.572909918</v>
      </c>
      <c r="J65" s="36">
        <f t="shared" si="1"/>
        <v>-2602550.4270900823</v>
      </c>
      <c r="K65" s="5">
        <f t="shared" si="2"/>
        <v>-8.1656377391366414E-2</v>
      </c>
    </row>
    <row r="66" spans="1:17">
      <c r="A66" s="3">
        <v>39539</v>
      </c>
      <c r="B66" s="42">
        <v>33186256</v>
      </c>
      <c r="C66" s="187">
        <f>+'Purchased Power Model '!C66</f>
        <v>144.6</v>
      </c>
      <c r="D66" s="187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526</v>
      </c>
      <c r="I66" s="193">
        <f t="shared" si="0"/>
        <v>26885921.661305647</v>
      </c>
      <c r="J66" s="36">
        <f t="shared" si="1"/>
        <v>-6300334.3386943527</v>
      </c>
      <c r="K66" s="5">
        <f t="shared" si="2"/>
        <v>-0.18984769895990536</v>
      </c>
    </row>
    <row r="67" spans="1:17">
      <c r="A67" s="3">
        <v>39569</v>
      </c>
      <c r="B67" s="42">
        <v>24969219</v>
      </c>
      <c r="C67" s="187">
        <f>+'Purchased Power Model '!C67</f>
        <v>151</v>
      </c>
      <c r="D67" s="187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528</v>
      </c>
      <c r="I67" s="193">
        <f t="shared" si="0"/>
        <v>26207376.626580548</v>
      </c>
      <c r="J67" s="36">
        <f t="shared" si="1"/>
        <v>1238157.6265805475</v>
      </c>
      <c r="K67" s="5">
        <f t="shared" si="2"/>
        <v>4.9587359003120904E-2</v>
      </c>
    </row>
    <row r="68" spans="1:17">
      <c r="A68" s="3">
        <v>39600</v>
      </c>
      <c r="B68" s="42">
        <v>25615398</v>
      </c>
      <c r="C68" s="187">
        <f>+'Purchased Power Model '!C68</f>
        <v>15.5</v>
      </c>
      <c r="D68" s="187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530</v>
      </c>
      <c r="I68" s="193">
        <f t="shared" ref="I68:I131" si="3">$N$18+C68*$N$19+D68*$N$20+E68*$N$21+F68*$N$22+G68*$N$23+H68*$N$24</f>
        <v>26091743.916165594</v>
      </c>
      <c r="J68" s="36">
        <f t="shared" ref="J68:J131" si="4">I68-B68</f>
        <v>476345.91616559401</v>
      </c>
      <c r="K68" s="5">
        <f t="shared" ref="K68:K131" si="5">J68/B68</f>
        <v>1.8596077100406325E-2</v>
      </c>
    </row>
    <row r="69" spans="1:17">
      <c r="A69" s="3">
        <v>39630</v>
      </c>
      <c r="B69" s="42">
        <v>27378180</v>
      </c>
      <c r="C69" s="187">
        <f>+'Purchased Power Model '!C69</f>
        <v>1</v>
      </c>
      <c r="D69" s="187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533</v>
      </c>
      <c r="I69" s="193">
        <f t="shared" si="3"/>
        <v>25810534.031419821</v>
      </c>
      <c r="J69" s="36">
        <f t="shared" si="4"/>
        <v>-1567645.9685801789</v>
      </c>
      <c r="K69" s="5">
        <f t="shared" si="5"/>
        <v>-5.725895470700313E-2</v>
      </c>
    </row>
    <row r="70" spans="1:17">
      <c r="A70" s="3">
        <v>39661</v>
      </c>
      <c r="B70" s="42">
        <v>28971090</v>
      </c>
      <c r="C70" s="187">
        <f>+'Purchased Power Model '!C70</f>
        <v>13.8</v>
      </c>
      <c r="D70" s="187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530</v>
      </c>
      <c r="I70" s="193">
        <f t="shared" si="3"/>
        <v>25512366.31348544</v>
      </c>
      <c r="J70" s="36">
        <f t="shared" si="4"/>
        <v>-3458723.6865145601</v>
      </c>
      <c r="K70" s="5">
        <f t="shared" si="5"/>
        <v>-0.11938534886034871</v>
      </c>
    </row>
    <row r="71" spans="1:17">
      <c r="A71" s="3">
        <v>39692</v>
      </c>
      <c r="B71" s="42">
        <v>26602363</v>
      </c>
      <c r="C71" s="187">
        <f>+'Purchased Power Model '!C71</f>
        <v>51.6</v>
      </c>
      <c r="D71" s="187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532</v>
      </c>
      <c r="I71" s="193">
        <f t="shared" si="3"/>
        <v>25798660.693691123</v>
      </c>
      <c r="J71" s="36">
        <f t="shared" si="4"/>
        <v>-803702.30630887672</v>
      </c>
      <c r="K71" s="5">
        <f t="shared" si="5"/>
        <v>-3.0211688574765961E-2</v>
      </c>
    </row>
    <row r="72" spans="1:17">
      <c r="A72" s="3">
        <v>39722</v>
      </c>
      <c r="B72" s="42">
        <v>26492711</v>
      </c>
      <c r="C72" s="187">
        <f>+'Purchased Power Model '!C72</f>
        <v>203.1</v>
      </c>
      <c r="D72" s="187">
        <f>+'Purchased Power Model '!D72</f>
        <v>0</v>
      </c>
      <c r="E72" s="103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543</v>
      </c>
      <c r="I72" s="193">
        <f t="shared" si="3"/>
        <v>25957912.226203274</v>
      </c>
      <c r="J72" s="36">
        <f t="shared" si="4"/>
        <v>-534798.77379672602</v>
      </c>
      <c r="K72" s="5">
        <f t="shared" si="5"/>
        <v>-2.0186638271814689E-2</v>
      </c>
    </row>
    <row r="73" spans="1:17">
      <c r="A73" s="3">
        <v>39753</v>
      </c>
      <c r="B73" s="42">
        <v>27491261</v>
      </c>
      <c r="C73" s="187">
        <f>+'Purchased Power Model '!C73</f>
        <v>268.8</v>
      </c>
      <c r="D73" s="187">
        <f>+'Purchased Power Model '!D73</f>
        <v>0</v>
      </c>
      <c r="E73" s="103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543</v>
      </c>
      <c r="I73" s="193">
        <f t="shared" si="3"/>
        <v>27292114.653564129</v>
      </c>
      <c r="J73" s="36">
        <f t="shared" si="4"/>
        <v>-199146.34643587098</v>
      </c>
      <c r="K73" s="5">
        <f t="shared" si="5"/>
        <v>-7.2439873324061411E-3</v>
      </c>
    </row>
    <row r="74" spans="1:17">
      <c r="A74" s="3">
        <v>39783</v>
      </c>
      <c r="B74" s="42">
        <v>30616263</v>
      </c>
      <c r="C74" s="187">
        <f>+'Purchased Power Model '!C74</f>
        <v>378.9</v>
      </c>
      <c r="D74" s="187">
        <f>+'Purchased Power Model '!D74</f>
        <v>0</v>
      </c>
      <c r="E74" s="103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543</v>
      </c>
      <c r="I74" s="193">
        <f t="shared" si="3"/>
        <v>28185629.128373686</v>
      </c>
      <c r="J74" s="36">
        <f t="shared" si="4"/>
        <v>-2430633.8716263138</v>
      </c>
      <c r="K74" s="5">
        <f t="shared" si="5"/>
        <v>-7.9390285862984453E-2</v>
      </c>
    </row>
    <row r="75" spans="1:17" s="14" customFormat="1">
      <c r="A75" s="3">
        <v>39814</v>
      </c>
      <c r="B75" s="42">
        <v>36093357</v>
      </c>
      <c r="C75" s="187">
        <f>+'Purchased Power Model '!C75</f>
        <v>684.3</v>
      </c>
      <c r="D75" s="187">
        <f>+'Purchased Power Model '!D75</f>
        <v>0</v>
      </c>
      <c r="E75" s="103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543</v>
      </c>
      <c r="I75" s="193">
        <f t="shared" si="3"/>
        <v>31487577.069893364</v>
      </c>
      <c r="J75" s="36">
        <f t="shared" si="4"/>
        <v>-4605779.9301066361</v>
      </c>
      <c r="K75" s="5">
        <f t="shared" si="5"/>
        <v>-0.12760741346687801</v>
      </c>
      <c r="L75" s="11"/>
      <c r="M75" s="11"/>
      <c r="N75" s="11"/>
      <c r="O75" s="11"/>
      <c r="P75" s="11"/>
      <c r="Q75" s="11"/>
    </row>
    <row r="76" spans="1:17">
      <c r="A76" s="3">
        <v>39845</v>
      </c>
      <c r="B76" s="42">
        <v>35456866</v>
      </c>
      <c r="C76" s="187">
        <f>+'Purchased Power Model '!C76</f>
        <v>595.29999999999995</v>
      </c>
      <c r="D76" s="187">
        <f>+'Purchased Power Model '!D76</f>
        <v>0</v>
      </c>
      <c r="E76" s="103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544</v>
      </c>
      <c r="I76" s="193">
        <f t="shared" si="3"/>
        <v>32385394.30981921</v>
      </c>
      <c r="J76" s="36">
        <f t="shared" si="4"/>
        <v>-3071471.6901807897</v>
      </c>
      <c r="K76" s="5">
        <f t="shared" si="5"/>
        <v>-8.6625583044502283E-2</v>
      </c>
    </row>
    <row r="77" spans="1:17">
      <c r="A77" s="3">
        <v>39873</v>
      </c>
      <c r="B77" s="42">
        <v>31646160</v>
      </c>
      <c r="C77" s="187">
        <f>+'Purchased Power Model '!C77</f>
        <v>442.2</v>
      </c>
      <c r="D77" s="187">
        <f>+'Purchased Power Model '!D77</f>
        <v>0</v>
      </c>
      <c r="E77" s="103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544</v>
      </c>
      <c r="I77" s="193">
        <f t="shared" si="3"/>
        <v>28497114.510842387</v>
      </c>
      <c r="J77" s="36">
        <f t="shared" si="4"/>
        <v>-3149045.4891576134</v>
      </c>
      <c r="K77" s="5">
        <f t="shared" si="5"/>
        <v>-9.9507981036486365E-2</v>
      </c>
    </row>
    <row r="78" spans="1:17">
      <c r="A78" s="3">
        <v>39904</v>
      </c>
      <c r="B78" s="42">
        <v>28531933</v>
      </c>
      <c r="C78" s="187">
        <f>+'Purchased Power Model '!C78</f>
        <v>313.8</v>
      </c>
      <c r="D78" s="187">
        <f>+'Purchased Power Model '!D78</f>
        <v>0</v>
      </c>
      <c r="E78" s="103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544</v>
      </c>
      <c r="I78" s="193">
        <f t="shared" si="3"/>
        <v>27779050.266587179</v>
      </c>
      <c r="J78" s="36">
        <f t="shared" si="4"/>
        <v>-752882.73341282085</v>
      </c>
      <c r="K78" s="5">
        <f t="shared" si="5"/>
        <v>-2.6387372121363835E-2</v>
      </c>
    </row>
    <row r="79" spans="1:17">
      <c r="A79" s="3">
        <v>39934</v>
      </c>
      <c r="B79" s="42">
        <v>28009980</v>
      </c>
      <c r="C79" s="187">
        <f>+'Purchased Power Model '!C79</f>
        <v>170.1</v>
      </c>
      <c r="D79" s="187">
        <f>+'Purchased Power Model '!D79</f>
        <v>0</v>
      </c>
      <c r="E79" s="103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546</v>
      </c>
      <c r="I79" s="193">
        <f t="shared" si="3"/>
        <v>25501138.251744013</v>
      </c>
      <c r="J79" s="36">
        <f t="shared" si="4"/>
        <v>-2508841.7482559867</v>
      </c>
      <c r="K79" s="5">
        <f t="shared" si="5"/>
        <v>-8.9569565856740585E-2</v>
      </c>
    </row>
    <row r="80" spans="1:17">
      <c r="A80" s="3">
        <v>39965</v>
      </c>
      <c r="B80" s="42">
        <v>25073792</v>
      </c>
      <c r="C80" s="187">
        <f>+'Purchased Power Model '!C80</f>
        <v>57.9</v>
      </c>
      <c r="D80" s="187">
        <f>+'Purchased Power Model '!D80</f>
        <v>26.3</v>
      </c>
      <c r="E80" s="103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548</v>
      </c>
      <c r="I80" s="193">
        <f t="shared" si="3"/>
        <v>25685498.920705114</v>
      </c>
      <c r="J80" s="36">
        <f t="shared" si="4"/>
        <v>611706.92070511356</v>
      </c>
      <c r="K80" s="5">
        <f t="shared" si="5"/>
        <v>2.4396266855253229E-2</v>
      </c>
    </row>
    <row r="81" spans="1:17">
      <c r="A81" s="3">
        <v>39995</v>
      </c>
      <c r="B81" s="42">
        <v>26726887</v>
      </c>
      <c r="C81" s="187">
        <f>+'Purchased Power Model '!C81</f>
        <v>16.8</v>
      </c>
      <c r="D81" s="187">
        <f>+'Purchased Power Model '!D81</f>
        <v>25.6</v>
      </c>
      <c r="E81" s="103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550</v>
      </c>
      <c r="I81" s="193">
        <f t="shared" si="3"/>
        <v>24527253.696072388</v>
      </c>
      <c r="J81" s="36">
        <f t="shared" si="4"/>
        <v>-2199633.3039276116</v>
      </c>
      <c r="K81" s="5">
        <f t="shared" si="5"/>
        <v>-8.2300393006024666E-2</v>
      </c>
    </row>
    <row r="82" spans="1:17">
      <c r="A82" s="3">
        <v>40026</v>
      </c>
      <c r="B82" s="42">
        <v>26947368</v>
      </c>
      <c r="C82" s="187">
        <f>+'Purchased Power Model '!C82</f>
        <v>13.1</v>
      </c>
      <c r="D82" s="187">
        <f>+'Purchased Power Model '!D82</f>
        <v>77.7</v>
      </c>
      <c r="E82" s="103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551</v>
      </c>
      <c r="I82" s="193">
        <f t="shared" si="3"/>
        <v>25429611.980108567</v>
      </c>
      <c r="J82" s="36">
        <f t="shared" si="4"/>
        <v>-1517756.0198914334</v>
      </c>
      <c r="K82" s="5">
        <f t="shared" si="5"/>
        <v>-5.6322978180705197E-2</v>
      </c>
    </row>
    <row r="83" spans="1:17">
      <c r="A83" s="3">
        <v>40057</v>
      </c>
      <c r="B83" s="42">
        <v>27865737</v>
      </c>
      <c r="C83" s="187">
        <f>+'Purchased Power Model '!C83</f>
        <v>64.8</v>
      </c>
      <c r="D83" s="187">
        <f>+'Purchased Power Model '!D83</f>
        <v>9</v>
      </c>
      <c r="E83" s="103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545</v>
      </c>
      <c r="I83" s="193">
        <f t="shared" si="3"/>
        <v>25281824.907304555</v>
      </c>
      <c r="J83" s="36">
        <f t="shared" si="4"/>
        <v>-2583912.0926954448</v>
      </c>
      <c r="K83" s="5">
        <f t="shared" si="5"/>
        <v>-9.2727211654062655E-2</v>
      </c>
    </row>
    <row r="84" spans="1:17">
      <c r="A84" s="3">
        <v>40087</v>
      </c>
      <c r="B84" s="42">
        <v>27561545</v>
      </c>
      <c r="C84" s="187">
        <f>+'Purchased Power Model '!C84</f>
        <v>287.89999999999998</v>
      </c>
      <c r="D84" s="187">
        <f>+'Purchased Power Model '!D84</f>
        <v>0</v>
      </c>
      <c r="E84" s="103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546</v>
      </c>
      <c r="I84" s="193">
        <f t="shared" si="3"/>
        <v>26851950.049518775</v>
      </c>
      <c r="J84" s="36">
        <f t="shared" si="4"/>
        <v>-709594.95048122481</v>
      </c>
      <c r="K84" s="5">
        <f t="shared" si="5"/>
        <v>-2.5745833569243842E-2</v>
      </c>
    </row>
    <row r="85" spans="1:17">
      <c r="A85" s="3">
        <v>40118</v>
      </c>
      <c r="B85" s="42">
        <v>27322370</v>
      </c>
      <c r="C85" s="187">
        <f>+'Purchased Power Model '!C85</f>
        <v>347.4</v>
      </c>
      <c r="D85" s="187">
        <f>+'Purchased Power Model '!D85</f>
        <v>0</v>
      </c>
      <c r="E85" s="103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524</v>
      </c>
      <c r="I85" s="193">
        <f t="shared" si="3"/>
        <v>29358610.542662561</v>
      </c>
      <c r="J85" s="36">
        <f t="shared" si="4"/>
        <v>2036240.5426625609</v>
      </c>
      <c r="K85" s="5">
        <f t="shared" si="5"/>
        <v>7.4526497615783727E-2</v>
      </c>
    </row>
    <row r="86" spans="1:17" s="31" customFormat="1">
      <c r="A86" s="3">
        <v>40148</v>
      </c>
      <c r="B86" s="42">
        <v>28548306</v>
      </c>
      <c r="C86" s="187">
        <f>+'Purchased Power Model '!C86</f>
        <v>619.1</v>
      </c>
      <c r="D86" s="187">
        <f>+'Purchased Power Model '!D86</f>
        <v>0</v>
      </c>
      <c r="E86" s="103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507</v>
      </c>
      <c r="I86" s="193">
        <f t="shared" si="3"/>
        <v>32931067.544841308</v>
      </c>
      <c r="J86" s="36">
        <f t="shared" si="4"/>
        <v>4382761.5448413081</v>
      </c>
      <c r="K86" s="5">
        <f t="shared" si="5"/>
        <v>0.15352089699617583</v>
      </c>
      <c r="L86" s="27"/>
      <c r="M86" s="27"/>
      <c r="N86" s="27"/>
      <c r="O86" s="27"/>
      <c r="P86" s="27"/>
      <c r="Q86" s="27"/>
    </row>
    <row r="87" spans="1:17">
      <c r="A87" s="3">
        <v>40179</v>
      </c>
      <c r="B87" s="41">
        <v>36972449</v>
      </c>
      <c r="C87" s="187">
        <f>+'Purchased Power Model '!C87</f>
        <v>699.9</v>
      </c>
      <c r="D87" s="187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508</v>
      </c>
      <c r="I87" s="193">
        <f t="shared" si="3"/>
        <v>33767593.637714684</v>
      </c>
      <c r="J87" s="36">
        <f t="shared" si="4"/>
        <v>-3204855.362285316</v>
      </c>
      <c r="K87" s="5">
        <f t="shared" si="5"/>
        <v>-8.6682257977698907E-2</v>
      </c>
    </row>
    <row r="88" spans="1:17">
      <c r="A88" s="3">
        <v>40210</v>
      </c>
      <c r="B88" s="41">
        <v>33008442</v>
      </c>
      <c r="C88" s="187">
        <f>+'Purchased Power Model '!C88</f>
        <v>583.79999999999995</v>
      </c>
      <c r="D88" s="187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506</v>
      </c>
      <c r="I88" s="193">
        <f t="shared" si="3"/>
        <v>34545540.336578764</v>
      </c>
      <c r="J88" s="36">
        <f t="shared" si="4"/>
        <v>1537098.336578764</v>
      </c>
      <c r="K88" s="5">
        <f t="shared" si="5"/>
        <v>4.6566824831622285E-2</v>
      </c>
    </row>
    <row r="89" spans="1:17">
      <c r="A89" s="3">
        <v>40238</v>
      </c>
      <c r="B89" s="41">
        <v>33147432</v>
      </c>
      <c r="C89" s="187">
        <f>+'Purchased Power Model '!C89</f>
        <v>411</v>
      </c>
      <c r="D89" s="187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508</v>
      </c>
      <c r="I89" s="193">
        <f t="shared" si="3"/>
        <v>30334757.445395324</v>
      </c>
      <c r="J89" s="36">
        <f t="shared" si="4"/>
        <v>-2812674.5546046756</v>
      </c>
      <c r="K89" s="5">
        <f t="shared" si="5"/>
        <v>-8.4853467822324086E-2</v>
      </c>
    </row>
    <row r="90" spans="1:17">
      <c r="A90" s="3">
        <v>40269</v>
      </c>
      <c r="B90" s="41">
        <v>29422410</v>
      </c>
      <c r="C90" s="187">
        <f>+'Purchased Power Model '!C90</f>
        <v>244</v>
      </c>
      <c r="D90" s="187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509</v>
      </c>
      <c r="I90" s="193">
        <f t="shared" si="3"/>
        <v>29101294.346759424</v>
      </c>
      <c r="J90" s="36">
        <f t="shared" si="4"/>
        <v>-321115.65324057639</v>
      </c>
      <c r="K90" s="5">
        <f t="shared" si="5"/>
        <v>-1.0913982003533239E-2</v>
      </c>
    </row>
    <row r="91" spans="1:17">
      <c r="A91" s="3">
        <v>40299</v>
      </c>
      <c r="B91" s="41">
        <v>25425541</v>
      </c>
      <c r="C91" s="187">
        <f>+'Purchased Power Model '!C91</f>
        <v>121.7</v>
      </c>
      <c r="D91" s="187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509</v>
      </c>
      <c r="I91" s="193">
        <f t="shared" si="3"/>
        <v>27608441.805140398</v>
      </c>
      <c r="J91" s="36">
        <f t="shared" si="4"/>
        <v>2182900.8051403984</v>
      </c>
      <c r="K91" s="5">
        <f t="shared" si="5"/>
        <v>8.5854645340305583E-2</v>
      </c>
    </row>
    <row r="92" spans="1:17">
      <c r="A92" s="3">
        <v>40330</v>
      </c>
      <c r="B92" s="41">
        <v>27254989</v>
      </c>
      <c r="C92" s="187">
        <f>+'Purchased Power Model '!C92</f>
        <v>19.399999999999999</v>
      </c>
      <c r="D92" s="187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510</v>
      </c>
      <c r="I92" s="193">
        <f t="shared" si="3"/>
        <v>27899031.500107806</v>
      </c>
      <c r="J92" s="36">
        <f t="shared" si="4"/>
        <v>644042.50010780618</v>
      </c>
      <c r="K92" s="5">
        <f t="shared" si="5"/>
        <v>2.3630260871057632E-2</v>
      </c>
    </row>
    <row r="93" spans="1:17">
      <c r="A93" s="3">
        <v>40360</v>
      </c>
      <c r="B93" s="41">
        <v>27961321</v>
      </c>
      <c r="C93" s="187">
        <f>+'Purchased Power Model '!C93</f>
        <v>3.5</v>
      </c>
      <c r="D93" s="187">
        <f>+'Purchased Power Model '!D93</f>
        <v>124</v>
      </c>
      <c r="E93" s="103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510</v>
      </c>
      <c r="I93" s="193">
        <f t="shared" si="3"/>
        <v>28618055.110539619</v>
      </c>
      <c r="J93" s="36">
        <f t="shared" si="4"/>
        <v>656734.11053961888</v>
      </c>
      <c r="K93" s="5">
        <f t="shared" si="5"/>
        <v>2.3487234760461384E-2</v>
      </c>
    </row>
    <row r="94" spans="1:17">
      <c r="A94" s="3">
        <v>40391</v>
      </c>
      <c r="B94" s="41">
        <v>29923295</v>
      </c>
      <c r="C94" s="187">
        <f>+'Purchased Power Model '!C94</f>
        <v>3.2</v>
      </c>
      <c r="D94" s="187">
        <f>+'Purchased Power Model '!D94</f>
        <v>96.8</v>
      </c>
      <c r="E94" s="103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512</v>
      </c>
      <c r="I94" s="193">
        <f t="shared" si="3"/>
        <v>27981195.391619857</v>
      </c>
      <c r="J94" s="36">
        <f t="shared" si="4"/>
        <v>-1942099.6083801426</v>
      </c>
      <c r="K94" s="5">
        <f t="shared" si="5"/>
        <v>-6.4902598740551223E-2</v>
      </c>
    </row>
    <row r="95" spans="1:17">
      <c r="A95" s="3">
        <v>40422</v>
      </c>
      <c r="B95" s="41">
        <v>28913713</v>
      </c>
      <c r="C95" s="187">
        <f>+'Purchased Power Model '!C95</f>
        <v>85.5</v>
      </c>
      <c r="D95" s="187">
        <f>+'Purchased Power Model '!D95</f>
        <v>18.5</v>
      </c>
      <c r="E95" s="103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512</v>
      </c>
      <c r="I95" s="193">
        <f t="shared" si="3"/>
        <v>27637776.149018314</v>
      </c>
      <c r="J95" s="36">
        <f t="shared" si="4"/>
        <v>-1275936.8509816863</v>
      </c>
      <c r="K95" s="5">
        <f t="shared" si="5"/>
        <v>-4.4129124854413761E-2</v>
      </c>
    </row>
    <row r="96" spans="1:17">
      <c r="A96" s="3">
        <v>40452</v>
      </c>
      <c r="B96" s="41">
        <v>26962766</v>
      </c>
      <c r="C96" s="187">
        <f>+'Purchased Power Model '!C96</f>
        <v>247.8</v>
      </c>
      <c r="D96" s="187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514</v>
      </c>
      <c r="I96" s="193">
        <f t="shared" si="3"/>
        <v>28178349.96899515</v>
      </c>
      <c r="J96" s="36">
        <f t="shared" si="4"/>
        <v>1215583.9689951502</v>
      </c>
      <c r="K96" s="5">
        <f t="shared" si="5"/>
        <v>4.5083800712254457E-2</v>
      </c>
    </row>
    <row r="97" spans="1:11">
      <c r="A97" s="3">
        <v>40483</v>
      </c>
      <c r="B97" s="41">
        <v>27407704</v>
      </c>
      <c r="C97" s="187">
        <f>+'Purchased Power Model '!C97</f>
        <v>389.2</v>
      </c>
      <c r="D97" s="187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515</v>
      </c>
      <c r="I97" s="193">
        <f t="shared" si="3"/>
        <v>30262865.441519193</v>
      </c>
      <c r="J97" s="36">
        <f t="shared" si="4"/>
        <v>2855161.4415191934</v>
      </c>
      <c r="K97" s="5">
        <f t="shared" si="5"/>
        <v>0.10417368202455753</v>
      </c>
    </row>
    <row r="98" spans="1:11">
      <c r="A98" s="3">
        <v>40513</v>
      </c>
      <c r="B98" s="41">
        <v>28834162</v>
      </c>
      <c r="C98" s="187">
        <f>+'Purchased Power Model '!C98</f>
        <v>628.70000000000005</v>
      </c>
      <c r="D98" s="187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518</v>
      </c>
      <c r="I98" s="193">
        <f t="shared" si="3"/>
        <v>32366292.043440349</v>
      </c>
      <c r="J98" s="36">
        <f t="shared" si="4"/>
        <v>3532130.0434403494</v>
      </c>
      <c r="K98" s="5">
        <f t="shared" si="5"/>
        <v>0.12249809942249577</v>
      </c>
    </row>
    <row r="99" spans="1:11">
      <c r="A99" s="3">
        <v>40544</v>
      </c>
      <c r="B99" s="105">
        <v>35867354</v>
      </c>
      <c r="C99" s="190">
        <f>+'Purchased Power Model '!C99</f>
        <v>760.9</v>
      </c>
      <c r="D99" s="190">
        <f>+'Purchased Power Model '!D99</f>
        <v>0</v>
      </c>
      <c r="E99" s="103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58">
        <v>521</v>
      </c>
      <c r="I99" s="193">
        <f t="shared" si="3"/>
        <v>33558232.933045551</v>
      </c>
      <c r="J99" s="36">
        <f t="shared" si="4"/>
        <v>-2309121.0669544488</v>
      </c>
      <c r="K99" s="5">
        <f t="shared" si="5"/>
        <v>-6.4379465152474002E-2</v>
      </c>
    </row>
    <row r="100" spans="1:11">
      <c r="A100" s="3">
        <v>40575</v>
      </c>
      <c r="B100" s="105">
        <v>34706133</v>
      </c>
      <c r="C100" s="190">
        <f>+'Purchased Power Model '!C100</f>
        <v>634.19999999999993</v>
      </c>
      <c r="D100" s="190">
        <f>+'Purchased Power Model '!D100</f>
        <v>0</v>
      </c>
      <c r="E100" s="103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58">
        <v>522</v>
      </c>
      <c r="I100" s="193">
        <f t="shared" si="3"/>
        <v>34054343.742921755</v>
      </c>
      <c r="J100" s="36">
        <f t="shared" si="4"/>
        <v>-651789.25707824528</v>
      </c>
      <c r="K100" s="5">
        <f t="shared" si="5"/>
        <v>-1.8780232792810575E-2</v>
      </c>
    </row>
    <row r="101" spans="1:11">
      <c r="A101" s="3">
        <v>40603</v>
      </c>
      <c r="B101" s="105">
        <v>34195997</v>
      </c>
      <c r="C101" s="190">
        <f>+'Purchased Power Model '!C101</f>
        <v>559.80000000000007</v>
      </c>
      <c r="D101" s="190">
        <f>+'Purchased Power Model '!D101</f>
        <v>0</v>
      </c>
      <c r="E101" s="103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58">
        <v>523</v>
      </c>
      <c r="I101" s="193">
        <f t="shared" si="3"/>
        <v>30948343.018024538</v>
      </c>
      <c r="J101" s="36">
        <f t="shared" si="4"/>
        <v>-3247653.9819754623</v>
      </c>
      <c r="K101" s="5">
        <f t="shared" si="5"/>
        <v>-9.4971758886733509E-2</v>
      </c>
    </row>
    <row r="102" spans="1:11">
      <c r="A102" s="3">
        <v>40634</v>
      </c>
      <c r="B102" s="105">
        <v>30758731</v>
      </c>
      <c r="C102" s="190">
        <f>+'Purchased Power Model '!C102</f>
        <v>350.79999999999995</v>
      </c>
      <c r="D102" s="190">
        <f>+'Purchased Power Model '!D102</f>
        <v>0</v>
      </c>
      <c r="E102" s="103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58">
        <v>524</v>
      </c>
      <c r="I102" s="193">
        <f t="shared" si="3"/>
        <v>29347032.510939434</v>
      </c>
      <c r="J102" s="36">
        <f t="shared" si="4"/>
        <v>-1411698.4890605658</v>
      </c>
      <c r="K102" s="5">
        <f t="shared" si="5"/>
        <v>-4.5895862513332095E-2</v>
      </c>
    </row>
    <row r="103" spans="1:11">
      <c r="A103" s="3">
        <v>40664</v>
      </c>
      <c r="B103" s="105">
        <v>27997717</v>
      </c>
      <c r="C103" s="190">
        <f>+'Purchased Power Model '!C103</f>
        <v>157.69999999999996</v>
      </c>
      <c r="D103" s="190">
        <f>+'Purchased Power Model '!D103</f>
        <v>2.8</v>
      </c>
      <c r="E103" s="103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58">
        <v>524</v>
      </c>
      <c r="I103" s="193">
        <f t="shared" si="3"/>
        <v>26708978.976613484</v>
      </c>
      <c r="J103" s="36">
        <f t="shared" si="4"/>
        <v>-1288738.0233865157</v>
      </c>
      <c r="K103" s="5">
        <f t="shared" si="5"/>
        <v>-4.6030111076075082E-2</v>
      </c>
    </row>
    <row r="104" spans="1:11">
      <c r="A104" s="3">
        <v>40695</v>
      </c>
      <c r="B104" s="105">
        <v>26350046</v>
      </c>
      <c r="C104" s="190">
        <f>+'Purchased Power Model '!C104</f>
        <v>26.699999999999996</v>
      </c>
      <c r="D104" s="190">
        <f>+'Purchased Power Model '!D104</f>
        <v>36.900000000000006</v>
      </c>
      <c r="E104" s="103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58">
        <v>520</v>
      </c>
      <c r="I104" s="193">
        <f t="shared" si="3"/>
        <v>27180222.270359881</v>
      </c>
      <c r="J104" s="36">
        <f t="shared" si="4"/>
        <v>830176.27035988122</v>
      </c>
      <c r="K104" s="5">
        <f t="shared" si="5"/>
        <v>3.1505685810183454E-2</v>
      </c>
    </row>
    <row r="105" spans="1:11">
      <c r="A105" s="3">
        <v>40725</v>
      </c>
      <c r="B105" s="105">
        <v>27247765</v>
      </c>
      <c r="C105" s="190">
        <f>+'Purchased Power Model '!C105</f>
        <v>0.2</v>
      </c>
      <c r="D105" s="190">
        <f>+'Purchased Power Model '!D105</f>
        <v>141.19999999999999</v>
      </c>
      <c r="E105" s="103">
        <f>+'Purchased Power Model '!E105</f>
        <v>7.0999999999999994E-2</v>
      </c>
      <c r="F105" s="57">
        <f>+'Purchased Power Model '!F105</f>
        <v>31</v>
      </c>
      <c r="G105" s="57">
        <f>+'Purchased Power Model '!G105</f>
        <v>0</v>
      </c>
      <c r="H105" s="58">
        <v>520</v>
      </c>
      <c r="I105" s="193">
        <f t="shared" si="3"/>
        <v>28086494.53675133</v>
      </c>
      <c r="J105" s="36">
        <f t="shared" si="4"/>
        <v>838729.5367513299</v>
      </c>
      <c r="K105" s="5">
        <f t="shared" si="5"/>
        <v>3.0781590224054335E-2</v>
      </c>
    </row>
    <row r="106" spans="1:11">
      <c r="A106" s="3">
        <v>40756</v>
      </c>
      <c r="B106" s="105">
        <v>30637032</v>
      </c>
      <c r="C106" s="190">
        <f>+'Purchased Power Model '!C106</f>
        <v>3.7</v>
      </c>
      <c r="D106" s="190">
        <f>+'Purchased Power Model '!D106</f>
        <v>80.499999999999957</v>
      </c>
      <c r="E106" s="103">
        <f>+'Purchased Power Model '!E106</f>
        <v>7.0999999999999994E-2</v>
      </c>
      <c r="F106" s="57">
        <f>+'Purchased Power Model '!F106</f>
        <v>31</v>
      </c>
      <c r="G106" s="57">
        <f>+'Purchased Power Model '!G106</f>
        <v>0</v>
      </c>
      <c r="H106" s="58">
        <v>520</v>
      </c>
      <c r="I106" s="193">
        <f t="shared" si="3"/>
        <v>26960958.604116321</v>
      </c>
      <c r="J106" s="36">
        <f t="shared" si="4"/>
        <v>-3676073.3958836794</v>
      </c>
      <c r="K106" s="5">
        <f t="shared" si="5"/>
        <v>-0.11998790861607218</v>
      </c>
    </row>
    <row r="107" spans="1:11">
      <c r="A107" s="3">
        <v>40787</v>
      </c>
      <c r="B107" s="105">
        <v>28868459</v>
      </c>
      <c r="C107" s="190">
        <f>+'Purchased Power Model '!C107</f>
        <v>48.900000000000006</v>
      </c>
      <c r="D107" s="190">
        <f>+'Purchased Power Model '!D107</f>
        <v>34.6</v>
      </c>
      <c r="E107" s="103">
        <f>+'Purchased Power Model '!E107</f>
        <v>7.0999999999999994E-2</v>
      </c>
      <c r="F107" s="57">
        <f>+'Purchased Power Model '!F107</f>
        <v>30</v>
      </c>
      <c r="G107" s="57">
        <f>+'Purchased Power Model '!G107</f>
        <v>1</v>
      </c>
      <c r="H107" s="58">
        <v>520</v>
      </c>
      <c r="I107" s="193">
        <f t="shared" si="3"/>
        <v>26842912.794751123</v>
      </c>
      <c r="J107" s="36">
        <f t="shared" si="4"/>
        <v>-2025546.2052488774</v>
      </c>
      <c r="K107" s="5">
        <f t="shared" si="5"/>
        <v>-7.0164680603452975E-2</v>
      </c>
    </row>
    <row r="108" spans="1:11">
      <c r="A108" s="3">
        <v>40817</v>
      </c>
      <c r="B108" s="105">
        <v>25351951</v>
      </c>
      <c r="C108" s="190">
        <f>+'Purchased Power Model '!C108</f>
        <v>225.29999999999998</v>
      </c>
      <c r="D108" s="190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522</v>
      </c>
      <c r="I108" s="193">
        <f t="shared" si="3"/>
        <v>27336847.116376907</v>
      </c>
      <c r="J108" s="36">
        <f t="shared" si="4"/>
        <v>1984896.1163769066</v>
      </c>
      <c r="K108" s="5">
        <f t="shared" si="5"/>
        <v>7.829362388626053E-2</v>
      </c>
    </row>
    <row r="109" spans="1:11">
      <c r="A109" s="3">
        <v>40848</v>
      </c>
      <c r="B109" s="105">
        <v>28367772</v>
      </c>
      <c r="C109" s="190">
        <f>+'Purchased Power Model '!C109</f>
        <v>349.69999999999993</v>
      </c>
      <c r="D109" s="190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522</v>
      </c>
      <c r="I109" s="193">
        <f t="shared" si="3"/>
        <v>29296518.17620232</v>
      </c>
      <c r="J109" s="36">
        <f t="shared" si="4"/>
        <v>928746.17620231956</v>
      </c>
      <c r="K109" s="5">
        <f t="shared" si="5"/>
        <v>3.2739482543864197E-2</v>
      </c>
    </row>
    <row r="110" spans="1:11">
      <c r="A110" s="3">
        <v>40878</v>
      </c>
      <c r="B110" s="105">
        <v>29185418</v>
      </c>
      <c r="C110" s="190">
        <f>+'Purchased Power Model '!C110</f>
        <v>531.20000000000005</v>
      </c>
      <c r="D110" s="190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523</v>
      </c>
      <c r="I110" s="193">
        <f t="shared" si="3"/>
        <v>30894527.721394878</v>
      </c>
      <c r="J110" s="36">
        <f t="shared" si="4"/>
        <v>1709109.7213948779</v>
      </c>
      <c r="K110" s="5">
        <f t="shared" si="5"/>
        <v>5.8560398942885721E-2</v>
      </c>
    </row>
    <row r="111" spans="1:11">
      <c r="A111" s="3">
        <v>40909</v>
      </c>
      <c r="B111" s="105">
        <v>28235023</v>
      </c>
      <c r="C111" s="190">
        <f>+'Purchased Power Model '!C111</f>
        <v>611</v>
      </c>
      <c r="D111" s="190">
        <f>+'Purchased Power Model '!D111</f>
        <v>0</v>
      </c>
      <c r="E111" s="103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58">
        <v>522</v>
      </c>
      <c r="I111" s="193">
        <f t="shared" si="3"/>
        <v>31848926.706227697</v>
      </c>
      <c r="J111" s="36">
        <f t="shared" si="4"/>
        <v>3613903.7062276974</v>
      </c>
      <c r="K111" s="5">
        <f t="shared" si="5"/>
        <v>0.12799365193460963</v>
      </c>
    </row>
    <row r="112" spans="1:11">
      <c r="A112" s="3">
        <v>40940</v>
      </c>
      <c r="B112" s="105">
        <v>35079314</v>
      </c>
      <c r="C112" s="190">
        <f>+'Purchased Power Model '!C112</f>
        <v>536.20000000000005</v>
      </c>
      <c r="D112" s="190">
        <f>+'Purchased Power Model '!D112</f>
        <v>0</v>
      </c>
      <c r="E112" s="103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58">
        <v>513</v>
      </c>
      <c r="I112" s="193">
        <f t="shared" si="3"/>
        <v>32826867.600543953</v>
      </c>
      <c r="J112" s="36">
        <f t="shared" si="4"/>
        <v>-2252446.3994560465</v>
      </c>
      <c r="K112" s="5">
        <f t="shared" si="5"/>
        <v>-6.4210103979115626E-2</v>
      </c>
    </row>
    <row r="113" spans="1:11">
      <c r="A113" s="3">
        <v>40969</v>
      </c>
      <c r="B113" s="105">
        <v>30413589</v>
      </c>
      <c r="C113" s="190">
        <f>+'Purchased Power Model '!C113</f>
        <v>399.39999999999992</v>
      </c>
      <c r="D113" s="190">
        <f>+'Purchased Power Model '!D113</f>
        <v>0</v>
      </c>
      <c r="E113" s="103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58">
        <v>512</v>
      </c>
      <c r="I113" s="193">
        <f t="shared" si="3"/>
        <v>29802712.703932066</v>
      </c>
      <c r="J113" s="36">
        <f t="shared" si="4"/>
        <v>-610876.29606793448</v>
      </c>
      <c r="K113" s="5">
        <f t="shared" si="5"/>
        <v>-2.008563659053637E-2</v>
      </c>
    </row>
    <row r="114" spans="1:11">
      <c r="A114" s="3">
        <v>41000</v>
      </c>
      <c r="B114" s="105">
        <v>29345737</v>
      </c>
      <c r="C114" s="190">
        <f>+'Purchased Power Model '!C114</f>
        <v>336.89999999999992</v>
      </c>
      <c r="D114" s="190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508</v>
      </c>
      <c r="I114" s="193">
        <f t="shared" si="3"/>
        <v>30027956.632127892</v>
      </c>
      <c r="J114" s="36">
        <f t="shared" si="4"/>
        <v>682219.63212789223</v>
      </c>
      <c r="K114" s="5">
        <f t="shared" si="5"/>
        <v>2.3247657134250616E-2</v>
      </c>
    </row>
    <row r="115" spans="1:11">
      <c r="A115" s="3">
        <v>41030</v>
      </c>
      <c r="B115" s="105">
        <v>26730719</v>
      </c>
      <c r="C115" s="190">
        <f>+'Purchased Power Model '!C115</f>
        <v>109.30000000000001</v>
      </c>
      <c r="D115" s="190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497</v>
      </c>
      <c r="I115" s="193">
        <f t="shared" si="3"/>
        <v>28005537.277805015</v>
      </c>
      <c r="J115" s="36">
        <f t="shared" si="4"/>
        <v>1274818.2778050154</v>
      </c>
      <c r="K115" s="5">
        <f t="shared" si="5"/>
        <v>4.7691133104388828E-2</v>
      </c>
    </row>
    <row r="116" spans="1:11">
      <c r="A116" s="3">
        <v>41061</v>
      </c>
      <c r="B116" s="105">
        <v>25449891</v>
      </c>
      <c r="C116" s="190">
        <f>+'Purchased Power Model '!C116</f>
        <v>28.2</v>
      </c>
      <c r="D116" s="190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496</v>
      </c>
      <c r="I116" s="193">
        <f t="shared" si="3"/>
        <v>29000511.695434209</v>
      </c>
      <c r="J116" s="36">
        <f t="shared" si="4"/>
        <v>3550620.695434209</v>
      </c>
      <c r="K116" s="5">
        <f t="shared" si="5"/>
        <v>0.13951418084400474</v>
      </c>
    </row>
    <row r="117" spans="1:11">
      <c r="A117" s="3">
        <v>41091</v>
      </c>
      <c r="B117" s="105">
        <v>28494354</v>
      </c>
      <c r="C117" s="190">
        <f>+'Purchased Power Model '!C117</f>
        <v>0</v>
      </c>
      <c r="D117" s="190">
        <f>+'Purchased Power Model '!D117</f>
        <v>155.30000000000001</v>
      </c>
      <c r="E117" s="103">
        <f>+'Purchased Power Model '!E117</f>
        <v>9.0999999999999998E-2</v>
      </c>
      <c r="F117" s="57">
        <f>+'Purchased Power Model '!F117</f>
        <v>31</v>
      </c>
      <c r="G117" s="57">
        <f>+'Purchased Power Model '!G117</f>
        <v>0</v>
      </c>
      <c r="H117" s="58">
        <v>495</v>
      </c>
      <c r="I117" s="193">
        <f t="shared" si="3"/>
        <v>29921241.544598922</v>
      </c>
      <c r="J117" s="36">
        <f t="shared" si="4"/>
        <v>1426887.5445989221</v>
      </c>
      <c r="K117" s="5">
        <f t="shared" si="5"/>
        <v>5.0076149983920397E-2</v>
      </c>
    </row>
    <row r="118" spans="1:11">
      <c r="A118" s="3">
        <v>41122</v>
      </c>
      <c r="B118" s="105">
        <v>28711488</v>
      </c>
      <c r="C118" s="190">
        <f>+'Purchased Power Model '!C118</f>
        <v>4.4000000000000004</v>
      </c>
      <c r="D118" s="190">
        <f>+'Purchased Power Model '!D118</f>
        <v>102.79999999999998</v>
      </c>
      <c r="E118" s="103">
        <f>+'Purchased Power Model '!E118</f>
        <v>9.0999999999999998E-2</v>
      </c>
      <c r="F118" s="57">
        <f>+'Purchased Power Model '!F118</f>
        <v>31</v>
      </c>
      <c r="G118" s="57">
        <f>+'Purchased Power Model '!G118</f>
        <v>0</v>
      </c>
      <c r="H118" s="58">
        <v>496</v>
      </c>
      <c r="I118" s="193">
        <f t="shared" si="3"/>
        <v>28906086.366746981</v>
      </c>
      <c r="J118" s="36">
        <f t="shared" si="4"/>
        <v>194598.3667469807</v>
      </c>
      <c r="K118" s="5">
        <f t="shared" si="5"/>
        <v>6.777717920679719E-3</v>
      </c>
    </row>
    <row r="119" spans="1:11">
      <c r="A119" s="3">
        <v>41153</v>
      </c>
      <c r="B119" s="105">
        <v>30540135</v>
      </c>
      <c r="C119" s="190">
        <f>+'Purchased Power Model '!C119</f>
        <v>84</v>
      </c>
      <c r="D119" s="190">
        <f>+'Purchased Power Model '!D119</f>
        <v>24.400000000000002</v>
      </c>
      <c r="E119" s="103">
        <f>+'Purchased Power Model '!E119</f>
        <v>9.0999999999999998E-2</v>
      </c>
      <c r="F119" s="57">
        <f>+'Purchased Power Model '!F119</f>
        <v>30</v>
      </c>
      <c r="G119" s="57">
        <f>+'Purchased Power Model '!G119</f>
        <v>1</v>
      </c>
      <c r="H119" s="58">
        <v>497</v>
      </c>
      <c r="I119" s="193">
        <f t="shared" si="3"/>
        <v>28475685.580732711</v>
      </c>
      <c r="J119" s="36">
        <f t="shared" si="4"/>
        <v>-2064449.4192672893</v>
      </c>
      <c r="K119" s="5">
        <f t="shared" si="5"/>
        <v>-6.7597913999636522E-2</v>
      </c>
    </row>
    <row r="120" spans="1:11">
      <c r="A120" s="3">
        <v>41183</v>
      </c>
      <c r="B120" s="105">
        <v>24133158</v>
      </c>
      <c r="C120" s="190">
        <f>+'Purchased Power Model '!C120</f>
        <v>228.99999999999994</v>
      </c>
      <c r="D120" s="190">
        <f>+'Purchased Power Model '!D120</f>
        <v>0</v>
      </c>
      <c r="E120" s="103">
        <f>+'Purchased Power Model '!E120</f>
        <v>9.6000000000000002E-2</v>
      </c>
      <c r="F120" s="57">
        <f>+'Purchased Power Model '!F120</f>
        <v>31</v>
      </c>
      <c r="G120" s="57">
        <f>+'Purchased Power Model '!G120</f>
        <v>1</v>
      </c>
      <c r="H120" s="58">
        <v>499</v>
      </c>
      <c r="I120" s="193">
        <f t="shared" si="3"/>
        <v>28846378.887449186</v>
      </c>
      <c r="J120" s="36">
        <f t="shared" si="4"/>
        <v>4713220.8874491863</v>
      </c>
      <c r="K120" s="5">
        <f t="shared" si="5"/>
        <v>0.1953006269402946</v>
      </c>
    </row>
    <row r="121" spans="1:11">
      <c r="A121" s="3">
        <v>41214</v>
      </c>
      <c r="B121" s="105">
        <v>26089243</v>
      </c>
      <c r="C121" s="190">
        <f>+'Purchased Power Model '!C121</f>
        <v>427.89999999999992</v>
      </c>
      <c r="D121" s="190">
        <f>+'Purchased Power Model '!D121</f>
        <v>0</v>
      </c>
      <c r="E121" s="103">
        <f>+'Purchased Power Model '!E121</f>
        <v>9.6000000000000002E-2</v>
      </c>
      <c r="F121" s="57">
        <f>+'Purchased Power Model '!F121</f>
        <v>30</v>
      </c>
      <c r="G121" s="57">
        <f>+'Purchased Power Model '!G121</f>
        <v>1</v>
      </c>
      <c r="H121" s="58">
        <v>501</v>
      </c>
      <c r="I121" s="193">
        <f t="shared" si="3"/>
        <v>31487280.163043495</v>
      </c>
      <c r="J121" s="36">
        <f t="shared" si="4"/>
        <v>5398037.1630434953</v>
      </c>
      <c r="K121" s="5">
        <f t="shared" si="5"/>
        <v>0.20690662289601486</v>
      </c>
    </row>
    <row r="122" spans="1:11">
      <c r="A122" s="3">
        <v>41244</v>
      </c>
      <c r="B122" s="105">
        <v>25119856</v>
      </c>
      <c r="C122" s="190">
        <f>+'Purchased Power Model '!C122</f>
        <v>451.09999999999997</v>
      </c>
      <c r="D122" s="190">
        <f>+'Purchased Power Model '!D122</f>
        <v>0</v>
      </c>
      <c r="E122" s="103">
        <f>+'Purchased Power Model '!E122</f>
        <v>9.6000000000000002E-2</v>
      </c>
      <c r="F122" s="57">
        <f>+'Purchased Power Model '!F122</f>
        <v>31</v>
      </c>
      <c r="G122" s="57">
        <f>+'Purchased Power Model '!G122</f>
        <v>0</v>
      </c>
      <c r="H122" s="58">
        <v>500</v>
      </c>
      <c r="I122" s="193">
        <f t="shared" si="3"/>
        <v>31511141.751401909</v>
      </c>
      <c r="J122" s="36">
        <f t="shared" si="4"/>
        <v>6391285.7514019087</v>
      </c>
      <c r="K122" s="5">
        <f t="shared" si="5"/>
        <v>0.25443162378804673</v>
      </c>
    </row>
    <row r="123" spans="1:11">
      <c r="A123" s="3">
        <v>41275</v>
      </c>
      <c r="B123" s="105">
        <v>34418610</v>
      </c>
      <c r="C123" s="190">
        <f>+'Purchased Power Model '!C123</f>
        <v>615.40000000000009</v>
      </c>
      <c r="D123" s="190">
        <f>+'Purchased Power Model '!D123</f>
        <v>0</v>
      </c>
      <c r="E123" s="103">
        <f>+'Purchased Power Model '!E123</f>
        <v>8.6000110000000005E-2</v>
      </c>
      <c r="F123" s="57">
        <f>+'Purchased Power Model '!F123</f>
        <v>31</v>
      </c>
      <c r="G123" s="57">
        <f>+'Purchased Power Model '!G123</f>
        <v>0</v>
      </c>
      <c r="H123" s="58">
        <v>501</v>
      </c>
      <c r="I123" s="193">
        <f t="shared" si="3"/>
        <v>33125842.063962933</v>
      </c>
      <c r="J123" s="36">
        <f t="shared" si="4"/>
        <v>-1292767.9360370673</v>
      </c>
      <c r="K123" s="5">
        <f t="shared" si="5"/>
        <v>-3.7560143655919496E-2</v>
      </c>
    </row>
    <row r="124" spans="1:11">
      <c r="A124" s="3">
        <v>41306</v>
      </c>
      <c r="B124" s="105">
        <v>32211539</v>
      </c>
      <c r="C124" s="190">
        <f>+'Purchased Power Model '!C124</f>
        <v>611.5</v>
      </c>
      <c r="D124" s="190">
        <f>+'Purchased Power Model '!D124</f>
        <v>0</v>
      </c>
      <c r="E124" s="103">
        <f>+'Purchased Power Model '!E124</f>
        <v>8.6000110000000005E-2</v>
      </c>
      <c r="F124" s="57">
        <f>+'Purchased Power Model '!F124</f>
        <v>28</v>
      </c>
      <c r="G124" s="57">
        <f>+'Purchased Power Model '!G124</f>
        <v>0</v>
      </c>
      <c r="H124" s="58">
        <v>502</v>
      </c>
      <c r="I124" s="193">
        <f t="shared" si="3"/>
        <v>34930428.990817808</v>
      </c>
      <c r="J124" s="36">
        <f t="shared" si="4"/>
        <v>2718889.9908178076</v>
      </c>
      <c r="K124" s="5">
        <f t="shared" si="5"/>
        <v>8.4407329647236282E-2</v>
      </c>
    </row>
    <row r="125" spans="1:11">
      <c r="A125" s="3">
        <v>41334</v>
      </c>
      <c r="B125" s="105">
        <v>30830480</v>
      </c>
      <c r="C125" s="190">
        <f>+'Purchased Power Model '!C125</f>
        <v>545</v>
      </c>
      <c r="D125" s="190">
        <f>+'Purchased Power Model '!D125</f>
        <v>0</v>
      </c>
      <c r="E125" s="103">
        <f>+'Purchased Power Model '!E125</f>
        <v>8.6000110000000005E-2</v>
      </c>
      <c r="F125" s="57">
        <f>+'Purchased Power Model '!F125</f>
        <v>31</v>
      </c>
      <c r="G125" s="57">
        <f>+'Purchased Power Model '!G125</f>
        <v>1</v>
      </c>
      <c r="H125" s="58">
        <v>500</v>
      </c>
      <c r="I125" s="193">
        <f t="shared" si="3"/>
        <v>32077494.728883713</v>
      </c>
      <c r="J125" s="36">
        <f t="shared" si="4"/>
        <v>1247014.7288837135</v>
      </c>
      <c r="K125" s="5">
        <f t="shared" si="5"/>
        <v>4.044746396694808E-2</v>
      </c>
    </row>
    <row r="126" spans="1:11">
      <c r="A126" s="3">
        <v>41365</v>
      </c>
      <c r="B126" s="105">
        <v>29348080</v>
      </c>
      <c r="C126" s="190">
        <f>+'Purchased Power Model '!C126</f>
        <v>366.49999999999994</v>
      </c>
      <c r="D126" s="190">
        <f>+'Purchased Power Model '!D126</f>
        <v>0</v>
      </c>
      <c r="E126" s="103">
        <f>+'Purchased Power Model '!E126</f>
        <v>7.8295169999999997E-2</v>
      </c>
      <c r="F126" s="57">
        <f>+'Purchased Power Model '!F126</f>
        <v>30</v>
      </c>
      <c r="G126" s="57">
        <f>+'Purchased Power Model '!G126</f>
        <v>1</v>
      </c>
      <c r="H126" s="58">
        <v>500</v>
      </c>
      <c r="I126" s="193">
        <f t="shared" si="3"/>
        <v>30748271.754798882</v>
      </c>
      <c r="J126" s="36">
        <f t="shared" si="4"/>
        <v>1400191.7547988817</v>
      </c>
      <c r="K126" s="5">
        <f t="shared" si="5"/>
        <v>4.7709824792588874E-2</v>
      </c>
    </row>
    <row r="127" spans="1:11">
      <c r="A127" s="3">
        <v>41395</v>
      </c>
      <c r="B127" s="105">
        <v>25907262</v>
      </c>
      <c r="C127" s="190">
        <f>+'Purchased Power Model '!C127</f>
        <v>133.4</v>
      </c>
      <c r="D127" s="190">
        <f>+'Purchased Power Model '!D127</f>
        <v>3</v>
      </c>
      <c r="E127" s="103">
        <f>+'Purchased Power Model '!E127</f>
        <v>7.8295169999999997E-2</v>
      </c>
      <c r="F127" s="57">
        <f>+'Purchased Power Model '!F127</f>
        <v>31</v>
      </c>
      <c r="G127" s="57">
        <f>+'Purchased Power Model '!G127</f>
        <v>1</v>
      </c>
      <c r="H127" s="58">
        <v>499</v>
      </c>
      <c r="I127" s="193">
        <f t="shared" si="3"/>
        <v>27744132.318535488</v>
      </c>
      <c r="J127" s="36">
        <f t="shared" si="4"/>
        <v>1836870.3185354881</v>
      </c>
      <c r="K127" s="5">
        <f t="shared" si="5"/>
        <v>7.090175405395939E-2</v>
      </c>
    </row>
    <row r="128" spans="1:11">
      <c r="A128" s="3">
        <v>41426</v>
      </c>
      <c r="B128" s="105">
        <v>24483469</v>
      </c>
      <c r="C128" s="190">
        <f>+'Purchased Power Model '!C128</f>
        <v>42.900000000000006</v>
      </c>
      <c r="D128" s="190">
        <f>+'Purchased Power Model '!D128</f>
        <v>32.200000000000003</v>
      </c>
      <c r="E128" s="103">
        <f>+'Purchased Power Model '!E128</f>
        <v>7.8295169999999997E-2</v>
      </c>
      <c r="F128" s="57">
        <f>+'Purchased Power Model '!F128</f>
        <v>30</v>
      </c>
      <c r="G128" s="57">
        <f>+'Purchased Power Model '!G128</f>
        <v>0</v>
      </c>
      <c r="H128" s="58">
        <v>499</v>
      </c>
      <c r="I128" s="193">
        <f t="shared" si="3"/>
        <v>28327862.052893098</v>
      </c>
      <c r="J128" s="36">
        <f t="shared" si="4"/>
        <v>3844393.0528930984</v>
      </c>
      <c r="K128" s="5">
        <f t="shared" si="5"/>
        <v>0.15701994896610028</v>
      </c>
    </row>
    <row r="129" spans="1:11">
      <c r="A129" s="3">
        <v>41456</v>
      </c>
      <c r="B129" s="105">
        <v>26137250</v>
      </c>
      <c r="C129" s="190">
        <f>+'Purchased Power Model '!C129</f>
        <v>4.4000000000000004</v>
      </c>
      <c r="D129" s="190">
        <f>+'Purchased Power Model '!D129</f>
        <v>109.99999999999999</v>
      </c>
      <c r="E129" s="103">
        <f>+'Purchased Power Model '!E129</f>
        <v>6.7434110000000005E-2</v>
      </c>
      <c r="F129" s="57">
        <f>+'Purchased Power Model '!F129</f>
        <v>31</v>
      </c>
      <c r="G129" s="57">
        <f>+'Purchased Power Model '!G129</f>
        <v>0</v>
      </c>
      <c r="H129" s="58">
        <v>497</v>
      </c>
      <c r="I129" s="193">
        <f t="shared" si="3"/>
        <v>28799954.384029485</v>
      </c>
      <c r="J129" s="36">
        <f t="shared" si="4"/>
        <v>2662704.3840294853</v>
      </c>
      <c r="K129" s="5">
        <f t="shared" si="5"/>
        <v>0.10187393027305801</v>
      </c>
    </row>
    <row r="130" spans="1:11">
      <c r="A130" s="3">
        <v>41487</v>
      </c>
      <c r="B130" s="105">
        <v>27890707</v>
      </c>
      <c r="C130" s="190">
        <f>+'Purchased Power Model '!C130</f>
        <v>11</v>
      </c>
      <c r="D130" s="190">
        <f>+'Purchased Power Model '!D130</f>
        <v>57.899999999999991</v>
      </c>
      <c r="E130" s="103">
        <f>+'Purchased Power Model '!E130</f>
        <v>6.7434110000000005E-2</v>
      </c>
      <c r="F130" s="57">
        <f>+'Purchased Power Model '!F130</f>
        <v>31</v>
      </c>
      <c r="G130" s="57">
        <f>+'Purchased Power Model '!G130</f>
        <v>0</v>
      </c>
      <c r="H130" s="58">
        <v>497</v>
      </c>
      <c r="I130" s="193">
        <f t="shared" si="3"/>
        <v>27872200.176784746</v>
      </c>
      <c r="J130" s="36">
        <f t="shared" si="4"/>
        <v>-18506.823215253651</v>
      </c>
      <c r="K130" s="5">
        <f t="shared" si="5"/>
        <v>-6.6354801315196674E-4</v>
      </c>
    </row>
    <row r="131" spans="1:11">
      <c r="A131" s="3">
        <v>41518</v>
      </c>
      <c r="B131" s="105">
        <v>26942611</v>
      </c>
      <c r="C131" s="190">
        <f>+'Purchased Power Model '!C131</f>
        <v>96.600000000000009</v>
      </c>
      <c r="D131" s="190">
        <f>+'Purchased Power Model '!D131</f>
        <v>15.700000000000001</v>
      </c>
      <c r="E131" s="103">
        <f>+'Purchased Power Model '!E131</f>
        <v>6.7434110000000005E-2</v>
      </c>
      <c r="F131" s="57">
        <f>+'Purchased Power Model '!F131</f>
        <v>30</v>
      </c>
      <c r="G131" s="57">
        <f>+'Purchased Power Model '!G131</f>
        <v>1</v>
      </c>
      <c r="H131" s="58">
        <v>498</v>
      </c>
      <c r="I131" s="193">
        <f t="shared" si="3"/>
        <v>28199214.689393397</v>
      </c>
      <c r="J131" s="36">
        <f t="shared" si="4"/>
        <v>1256603.6893933974</v>
      </c>
      <c r="K131" s="5">
        <f t="shared" si="5"/>
        <v>4.6640011593286096E-2</v>
      </c>
    </row>
    <row r="132" spans="1:11">
      <c r="A132" s="3">
        <v>41548</v>
      </c>
      <c r="B132" s="105">
        <v>24270122</v>
      </c>
      <c r="C132" s="190">
        <f>+'Purchased Power Model '!C132</f>
        <v>221</v>
      </c>
      <c r="D132" s="190">
        <f>+'Purchased Power Model '!D132</f>
        <v>3</v>
      </c>
      <c r="E132" s="103">
        <f>+'Purchased Power Model '!E132</f>
        <v>7.5499999999999998E-2</v>
      </c>
      <c r="F132" s="57">
        <f>+'Purchased Power Model '!F132</f>
        <v>31</v>
      </c>
      <c r="G132" s="57">
        <f>+'Purchased Power Model '!G132</f>
        <v>1</v>
      </c>
      <c r="H132" s="58">
        <v>499</v>
      </c>
      <c r="I132" s="193">
        <f t="shared" ref="I132:I195" si="6">$N$18+C132*$N$19+D132*$N$20+E132*$N$21+F132*$N$22+G132*$N$23+H132*$N$24</f>
        <v>28655269.287897538</v>
      </c>
      <c r="J132" s="36">
        <f t="shared" ref="J132:J133" si="7">I132-B132</f>
        <v>4385147.2878975384</v>
      </c>
      <c r="K132" s="5">
        <f t="shared" ref="K132:K133" si="8">J132/B132</f>
        <v>0.1806808918347233</v>
      </c>
    </row>
    <row r="133" spans="1:11">
      <c r="A133" s="3">
        <v>41579</v>
      </c>
      <c r="B133" s="105">
        <v>27065074</v>
      </c>
      <c r="C133" s="190">
        <f>+'Purchased Power Model '!C133</f>
        <v>458.6</v>
      </c>
      <c r="D133" s="190">
        <f>+'Purchased Power Model '!D133</f>
        <v>0</v>
      </c>
      <c r="E133" s="103">
        <f>+'Purchased Power Model '!E133</f>
        <v>7.5499999999999998E-2</v>
      </c>
      <c r="F133" s="57">
        <f>+'Purchased Power Model '!F133</f>
        <v>30</v>
      </c>
      <c r="G133" s="57">
        <f>+'Purchased Power Model '!G133</f>
        <v>1</v>
      </c>
      <c r="H133" s="58">
        <v>500</v>
      </c>
      <c r="I133" s="193">
        <f t="shared" si="6"/>
        <v>31707357.76753556</v>
      </c>
      <c r="J133" s="36">
        <f t="shared" si="7"/>
        <v>4642283.7675355598</v>
      </c>
      <c r="K133" s="5">
        <f t="shared" si="8"/>
        <v>0.17152303989767623</v>
      </c>
    </row>
    <row r="134" spans="1:11">
      <c r="A134" s="3">
        <v>41609</v>
      </c>
      <c r="B134" s="105">
        <v>27618464</v>
      </c>
      <c r="C134" s="190">
        <f>+'Purchased Power Model '!C134</f>
        <v>472.8</v>
      </c>
      <c r="D134" s="190">
        <f ca="1">+'Purchased Power Model '!D134</f>
        <v>0</v>
      </c>
      <c r="E134" s="103">
        <f>+'Purchased Power Model '!E134</f>
        <v>7.5499999999999998E-2</v>
      </c>
      <c r="F134" s="57">
        <f>+'Purchased Power Model '!F134</f>
        <v>31</v>
      </c>
      <c r="G134" s="57">
        <f>+'Purchased Power Model '!G134</f>
        <v>0</v>
      </c>
      <c r="H134" s="58">
        <v>500</v>
      </c>
      <c r="I134" s="193">
        <f t="shared" ca="1" si="6"/>
        <v>31579024.851316981</v>
      </c>
      <c r="J134" s="36">
        <f t="shared" ref="J134" ca="1" si="9">I134-B134</f>
        <v>3960560.851316981</v>
      </c>
      <c r="K134" s="5">
        <f t="shared" ref="K134" ca="1" si="10">J134/B134</f>
        <v>0.14340264727672694</v>
      </c>
    </row>
    <row r="135" spans="1:11">
      <c r="A135" s="3">
        <v>41640</v>
      </c>
      <c r="C135" s="188">
        <f>+'Purchased Power Model '!C135</f>
        <v>552.13385193331999</v>
      </c>
      <c r="D135" s="188">
        <f ca="1">+'Purchased Power Model '!D135</f>
        <v>0</v>
      </c>
      <c r="E135" s="103">
        <f>+'Purchased Power Model '!E135</f>
        <v>7.5499999999999998E-2</v>
      </c>
      <c r="F135" s="57">
        <f>+'Purchased Power Model '!F135</f>
        <v>31</v>
      </c>
      <c r="G135" s="57">
        <f>+'Purchased Power Model '!G135</f>
        <v>0</v>
      </c>
      <c r="H135" s="191"/>
      <c r="I135" s="193">
        <f t="shared" ca="1" si="6"/>
        <v>60572563.166835479</v>
      </c>
      <c r="J135" s="36"/>
      <c r="K135" s="5"/>
    </row>
    <row r="136" spans="1:11">
      <c r="A136" s="3">
        <v>41671</v>
      </c>
      <c r="C136" s="188">
        <f>+'Purchased Power Model '!C136</f>
        <v>548.63479112321284</v>
      </c>
      <c r="D136" s="188">
        <f ca="1">+'Purchased Power Model '!D136</f>
        <v>0</v>
      </c>
      <c r="E136" s="103">
        <f>+'Purchased Power Model '!E136</f>
        <v>7.5499999999999998E-2</v>
      </c>
      <c r="F136" s="57">
        <f>+'Purchased Power Model '!F136</f>
        <v>28</v>
      </c>
      <c r="G136" s="57">
        <f>+'Purchased Power Model '!G136</f>
        <v>0</v>
      </c>
      <c r="H136" s="191"/>
      <c r="I136" s="193">
        <f t="shared" ca="1" si="6"/>
        <v>62437718.656097382</v>
      </c>
      <c r="J136" s="36"/>
      <c r="K136" s="5"/>
    </row>
    <row r="137" spans="1:11">
      <c r="A137" s="3">
        <v>41699</v>
      </c>
      <c r="C137" s="188">
        <f>+'Purchased Power Model '!C137</f>
        <v>488.97131833548809</v>
      </c>
      <c r="D137" s="188">
        <f ca="1">+'Purchased Power Model '!D137</f>
        <v>0</v>
      </c>
      <c r="E137" s="103">
        <f>+'Purchased Power Model '!E137</f>
        <v>7.5499999999999998E-2</v>
      </c>
      <c r="F137" s="57">
        <f>+'Purchased Power Model '!F137</f>
        <v>31</v>
      </c>
      <c r="G137" s="57">
        <f>+'Purchased Power Model '!G137</f>
        <v>1</v>
      </c>
      <c r="H137" s="191"/>
      <c r="I137" s="193">
        <f t="shared" ca="1" si="6"/>
        <v>59545037.100692973</v>
      </c>
      <c r="J137" s="36"/>
      <c r="K137" s="5"/>
    </row>
    <row r="138" spans="1:11">
      <c r="A138" s="3">
        <v>41730</v>
      </c>
      <c r="C138" s="188">
        <f>+'Purchased Power Model '!C138</f>
        <v>328.82199664212175</v>
      </c>
      <c r="D138" s="188">
        <f ca="1">+'Purchased Power Model '!D138</f>
        <v>0</v>
      </c>
      <c r="E138" s="103">
        <f>+'Purchased Power Model '!E138</f>
        <v>7.5499999999999998E-2</v>
      </c>
      <c r="F138" s="57">
        <f>+'Purchased Power Model '!F138</f>
        <v>30</v>
      </c>
      <c r="G138" s="57">
        <f>+'Purchased Power Model '!G138</f>
        <v>1</v>
      </c>
      <c r="H138" s="191"/>
      <c r="I138" s="193">
        <f t="shared" ca="1" si="6"/>
        <v>58472737.545386024</v>
      </c>
      <c r="J138" s="36"/>
      <c r="K138" s="5"/>
    </row>
    <row r="139" spans="1:11">
      <c r="A139" s="3">
        <v>41760</v>
      </c>
      <c r="C139" s="188">
        <f>+'Purchased Power Model '!C139</f>
        <v>119.68582360725524</v>
      </c>
      <c r="D139" s="188">
        <f ca="1">+'Purchased Power Model '!D139</f>
        <v>3.6853840478727715</v>
      </c>
      <c r="E139" s="103">
        <f>+'Purchased Power Model '!E139</f>
        <v>7.5499999999999998E-2</v>
      </c>
      <c r="F139" s="57">
        <f>+'Purchased Power Model '!F139</f>
        <v>31</v>
      </c>
      <c r="G139" s="57">
        <f>+'Purchased Power Model '!G139</f>
        <v>1</v>
      </c>
      <c r="H139" s="191"/>
      <c r="I139" s="193">
        <f t="shared" ca="1" si="6"/>
        <v>55680774.385724112</v>
      </c>
      <c r="J139" s="36"/>
      <c r="K139" s="5"/>
    </row>
    <row r="140" spans="1:11">
      <c r="A140" s="3">
        <v>41791</v>
      </c>
      <c r="C140" s="188">
        <f>+'Purchased Power Model '!C140</f>
        <v>38.489668911178789</v>
      </c>
      <c r="D140" s="188">
        <f ca="1">+'Purchased Power Model '!D140</f>
        <v>39.55645544716775</v>
      </c>
      <c r="E140" s="103">
        <f>+'Purchased Power Model '!E140</f>
        <v>7.5499999999999998E-2</v>
      </c>
      <c r="F140" s="57">
        <f>+'Purchased Power Model '!F140</f>
        <v>30</v>
      </c>
      <c r="G140" s="57">
        <f>+'Purchased Power Model '!G140</f>
        <v>0</v>
      </c>
      <c r="H140" s="191"/>
      <c r="I140" s="193">
        <f t="shared" ca="1" si="6"/>
        <v>56491437.468211263</v>
      </c>
      <c r="J140" s="36"/>
      <c r="K140" s="5"/>
    </row>
    <row r="141" spans="1:11">
      <c r="A141" s="3">
        <v>41821</v>
      </c>
      <c r="C141" s="188">
        <f>+'Purchased Power Model '!C141</f>
        <v>3.9476583498644913</v>
      </c>
      <c r="D141" s="188">
        <f ca="1">+'Purchased Power Model '!D141</f>
        <v>135.1307484220016</v>
      </c>
      <c r="E141" s="103">
        <f>+'Purchased Power Model '!E141</f>
        <v>7.5499999999999998E-2</v>
      </c>
      <c r="F141" s="57">
        <f>+'Purchased Power Model '!F141</f>
        <v>31</v>
      </c>
      <c r="G141" s="57">
        <f>+'Purchased Power Model '!G141</f>
        <v>0</v>
      </c>
      <c r="H141" s="191"/>
      <c r="I141" s="193">
        <f t="shared" ca="1" si="6"/>
        <v>57320150.41481889</v>
      </c>
      <c r="J141" s="36"/>
      <c r="K141" s="5"/>
    </row>
    <row r="142" spans="1:11">
      <c r="A142" s="3">
        <v>41852</v>
      </c>
      <c r="C142" s="188">
        <f>+'Purchased Power Model '!C142</f>
        <v>9.8691458746612266</v>
      </c>
      <c r="D142" s="188">
        <f ca="1">+'Purchased Power Model '!D142</f>
        <v>71.127912123944469</v>
      </c>
      <c r="E142" s="103">
        <f>+'Purchased Power Model '!E142</f>
        <v>7.5499999999999998E-2</v>
      </c>
      <c r="F142" s="57">
        <f>+'Purchased Power Model '!F142</f>
        <v>31</v>
      </c>
      <c r="G142" s="57">
        <f>+'Purchased Power Model '!G142</f>
        <v>0</v>
      </c>
      <c r="H142" s="191"/>
      <c r="I142" s="193">
        <f t="shared" ca="1" si="6"/>
        <v>56157143.841827549</v>
      </c>
      <c r="J142" s="36"/>
      <c r="K142" s="5"/>
    </row>
    <row r="143" spans="1:11">
      <c r="A143" s="3">
        <v>41883</v>
      </c>
      <c r="C143" s="188">
        <f>+'Purchased Power Model '!C143</f>
        <v>86.669044681115878</v>
      </c>
      <c r="D143" s="188">
        <f ca="1">+'Purchased Power Model '!D143</f>
        <v>19.286843183867507</v>
      </c>
      <c r="E143" s="103">
        <f>+'Purchased Power Model '!E143</f>
        <v>7.5499999999999998E-2</v>
      </c>
      <c r="F143" s="57">
        <f>+'Purchased Power Model '!F143</f>
        <v>30</v>
      </c>
      <c r="G143" s="57">
        <f>+'Purchased Power Model '!G143</f>
        <v>1</v>
      </c>
      <c r="H143" s="191"/>
      <c r="I143" s="193">
        <f t="shared" ca="1" si="6"/>
        <v>56261992.760574169</v>
      </c>
      <c r="J143" s="36"/>
      <c r="K143" s="5"/>
    </row>
    <row r="144" spans="1:11">
      <c r="A144" s="3">
        <v>41913</v>
      </c>
      <c r="C144" s="188">
        <f>+'Purchased Power Model '!C144</f>
        <v>198.2801125727392</v>
      </c>
      <c r="D144" s="188">
        <f ca="1">+'Purchased Power Model '!D144</f>
        <v>3.6853840478727715</v>
      </c>
      <c r="E144" s="103">
        <f>+'Purchased Power Model '!E144</f>
        <v>7.5499999999999998E-2</v>
      </c>
      <c r="F144" s="57">
        <f>+'Purchased Power Model '!F144</f>
        <v>31</v>
      </c>
      <c r="G144" s="57">
        <f>+'Purchased Power Model '!G144</f>
        <v>1</v>
      </c>
      <c r="H144" s="191"/>
      <c r="I144" s="193">
        <f t="shared" ca="1" si="6"/>
        <v>56518223.490302756</v>
      </c>
      <c r="J144" s="36"/>
      <c r="K144" s="5"/>
    </row>
    <row r="145" spans="1:11">
      <c r="A145" s="3">
        <v>41944</v>
      </c>
      <c r="C145" s="188">
        <f>+'Purchased Power Model '!C145</f>
        <v>411.45366346542176</v>
      </c>
      <c r="D145" s="188">
        <f ca="1">+'Purchased Power Model '!D145</f>
        <v>0</v>
      </c>
      <c r="E145" s="103">
        <f>+'Purchased Power Model '!E145</f>
        <v>7.5499999999999998E-2</v>
      </c>
      <c r="F145" s="57">
        <f>+'Purchased Power Model '!F145</f>
        <v>30</v>
      </c>
      <c r="G145" s="57">
        <f>+'Purchased Power Model '!G145</f>
        <v>1</v>
      </c>
      <c r="H145" s="191"/>
      <c r="I145" s="193">
        <f t="shared" ca="1" si="6"/>
        <v>59353206.295747824</v>
      </c>
      <c r="J145" s="36"/>
      <c r="K145" s="5"/>
    </row>
    <row r="146" spans="1:11">
      <c r="A146" s="3">
        <v>41974</v>
      </c>
      <c r="C146" s="188">
        <f>+'Purchased Power Model '!C146</f>
        <v>424.19383359452985</v>
      </c>
      <c r="D146" s="188">
        <f ca="1">+'Purchased Power Model '!D146</f>
        <v>0</v>
      </c>
      <c r="E146" s="103">
        <f>+'Purchased Power Model '!E146</f>
        <v>7.5499999999999998E-2</v>
      </c>
      <c r="F146" s="57">
        <f>+'Purchased Power Model '!F146</f>
        <v>31</v>
      </c>
      <c r="G146" s="57">
        <f>+'Purchased Power Model '!G146</f>
        <v>0</v>
      </c>
      <c r="H146" s="191"/>
      <c r="I146" s="193">
        <f t="shared" ca="1" si="6"/>
        <v>59209318.391573913</v>
      </c>
      <c r="J146" s="36"/>
      <c r="K146" s="5"/>
    </row>
    <row r="147" spans="1:11">
      <c r="A147" s="3">
        <v>42005</v>
      </c>
      <c r="C147" s="188">
        <f>+'Purchased Power Model '!C147</f>
        <v>545.6611483841823</v>
      </c>
      <c r="D147" s="188">
        <f ca="1">+'Purchased Power Model '!D147</f>
        <v>0</v>
      </c>
      <c r="E147" s="103">
        <f>+'Purchased Power Model '!E147</f>
        <v>7.5499999999999998E-2</v>
      </c>
      <c r="F147" s="57">
        <f>+'Purchased Power Model '!F147</f>
        <v>31</v>
      </c>
      <c r="G147" s="57">
        <f>+'Purchased Power Model '!G147</f>
        <v>0</v>
      </c>
      <c r="H147" s="191"/>
      <c r="I147" s="193">
        <f t="shared" ca="1" si="6"/>
        <v>60503594.290562443</v>
      </c>
      <c r="J147" s="36"/>
      <c r="K147" s="5"/>
    </row>
    <row r="148" spans="1:11">
      <c r="A148" s="3">
        <v>42036</v>
      </c>
      <c r="C148" s="188">
        <f>+'Purchased Power Model '!C148</f>
        <v>542.20310730732444</v>
      </c>
      <c r="D148" s="188">
        <f ca="1">+'Purchased Power Model '!D148</f>
        <v>0</v>
      </c>
      <c r="E148" s="103">
        <f>+'Purchased Power Model '!E148</f>
        <v>7.5499999999999998E-2</v>
      </c>
      <c r="F148" s="57">
        <f>+'Purchased Power Model '!F148</f>
        <v>28</v>
      </c>
      <c r="G148" s="57">
        <f>+'Purchased Power Model '!G148</f>
        <v>0</v>
      </c>
      <c r="H148" s="191"/>
      <c r="I148" s="193">
        <f t="shared" ca="1" si="6"/>
        <v>62369186.859150738</v>
      </c>
      <c r="J148" s="36"/>
      <c r="K148" s="5"/>
    </row>
    <row r="149" spans="1:11">
      <c r="A149" s="3">
        <v>42064</v>
      </c>
      <c r="C149" s="188">
        <f>+'Purchased Power Model '!C149</f>
        <v>483.23907356090245</v>
      </c>
      <c r="D149" s="188">
        <f ca="1">+'Purchased Power Model '!D149</f>
        <v>0</v>
      </c>
      <c r="E149" s="103">
        <f>+'Purchased Power Model '!E149</f>
        <v>7.5499999999999998E-2</v>
      </c>
      <c r="F149" s="57">
        <f>+'Purchased Power Model '!F149</f>
        <v>31</v>
      </c>
      <c r="G149" s="57">
        <f>+'Purchased Power Model '!G149</f>
        <v>1</v>
      </c>
      <c r="H149" s="191"/>
      <c r="I149" s="193">
        <f t="shared" ca="1" si="6"/>
        <v>59483958.066619501</v>
      </c>
      <c r="J149" s="36"/>
      <c r="K149" s="5"/>
    </row>
    <row r="150" spans="1:11">
      <c r="A150" s="3">
        <v>42095</v>
      </c>
      <c r="C150" s="188">
        <f>+'Purchased Power Model '!C150</f>
        <v>324.96719350471687</v>
      </c>
      <c r="D150" s="188">
        <f ca="1">+'Purchased Power Model '!D150</f>
        <v>0</v>
      </c>
      <c r="E150" s="103">
        <f>+'Purchased Power Model '!E150</f>
        <v>7.5499999999999998E-2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3">
        <f t="shared" ca="1" si="6"/>
        <v>58431663.295866899</v>
      </c>
      <c r="J150" s="36"/>
      <c r="K150" s="5"/>
    </row>
    <row r="151" spans="1:11">
      <c r="A151" s="3">
        <v>42125</v>
      </c>
      <c r="C151" s="188">
        <f>+'Purchased Power Model '!C151</f>
        <v>118.28273837252181</v>
      </c>
      <c r="D151" s="188">
        <f ca="1">+'Purchased Power Model '!D151</f>
        <v>3.7719239281908306</v>
      </c>
      <c r="E151" s="103">
        <f>+'Purchased Power Model '!E151</f>
        <v>7.5499999999999998E-2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3">
        <f t="shared" ca="1" si="6"/>
        <v>55667481.875435546</v>
      </c>
      <c r="J151" s="36"/>
      <c r="K151" s="5"/>
    </row>
    <row r="152" spans="1:11">
      <c r="A152" s="3">
        <v>42156</v>
      </c>
      <c r="C152" s="188">
        <f>+'Purchased Power Model '!C152</f>
        <v>38.038451845436171</v>
      </c>
      <c r="D152" s="188">
        <f ca="1">+'Purchased Power Model '!D152</f>
        <v>40.485316829248255</v>
      </c>
      <c r="E152" s="103">
        <f>+'Purchased Power Model '!E152</f>
        <v>7.5499999999999998E-2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3">
        <f t="shared" ca="1" si="6"/>
        <v>56504423.789032206</v>
      </c>
      <c r="J152" s="36"/>
      <c r="K152" s="5"/>
    </row>
    <row r="153" spans="1:11">
      <c r="A153" s="3">
        <v>42186</v>
      </c>
      <c r="C153" s="188">
        <f>+'Purchased Power Model '!C153</f>
        <v>3.9013796764549924</v>
      </c>
      <c r="D153" s="188">
        <f ca="1">+'Purchased Power Model '!D153</f>
        <v>138.30387736699711</v>
      </c>
      <c r="E153" s="103">
        <f>+'Purchased Power Model '!E153</f>
        <v>7.5499999999999998E-2</v>
      </c>
      <c r="F153" s="57">
        <f>+'Purchased Power Model '!F153</f>
        <v>31</v>
      </c>
      <c r="G153" s="57">
        <f>+'Purchased Power Model '!G153</f>
        <v>0</v>
      </c>
      <c r="H153" s="191"/>
      <c r="I153" s="193">
        <f t="shared" ca="1" si="6"/>
        <v>57380444.916925065</v>
      </c>
      <c r="J153" s="36"/>
      <c r="K153" s="5"/>
    </row>
    <row r="154" spans="1:11">
      <c r="A154" s="3">
        <v>42217</v>
      </c>
      <c r="C154" s="188">
        <f>+'Purchased Power Model '!C154</f>
        <v>9.753449191137479</v>
      </c>
      <c r="D154" s="188">
        <f ca="1">+'Purchased Power Model '!D154</f>
        <v>72.798131814083021</v>
      </c>
      <c r="E154" s="103">
        <f>+'Purchased Power Model '!E154</f>
        <v>7.5499999999999998E-2</v>
      </c>
      <c r="F154" s="57">
        <f>+'Purchased Power Model '!F154</f>
        <v>31</v>
      </c>
      <c r="G154" s="57">
        <f>+'Purchased Power Model '!G154</f>
        <v>0</v>
      </c>
      <c r="H154" s="191"/>
      <c r="I154" s="193">
        <f t="shared" ca="1" si="6"/>
        <v>56187907.445242114</v>
      </c>
      <c r="J154" s="36"/>
      <c r="K154" s="5"/>
    </row>
    <row r="155" spans="1:11">
      <c r="A155" s="3">
        <v>42248</v>
      </c>
      <c r="C155" s="188">
        <f>+'Purchased Power Model '!C155</f>
        <v>85.653017442170963</v>
      </c>
      <c r="D155" s="188">
        <f ca="1">+'Purchased Power Model '!D155</f>
        <v>19.739735224198682</v>
      </c>
      <c r="E155" s="103">
        <f>+'Purchased Power Model '!E155</f>
        <v>7.5499999999999998E-2</v>
      </c>
      <c r="F155" s="57">
        <f>+'Purchased Power Model '!F155</f>
        <v>30</v>
      </c>
      <c r="G155" s="57">
        <f>+'Purchased Power Model '!G155</f>
        <v>1</v>
      </c>
      <c r="H155" s="191"/>
      <c r="I155" s="193">
        <f t="shared" ca="1" si="6"/>
        <v>56259842.692698948</v>
      </c>
      <c r="J155" s="36"/>
      <c r="K155" s="5"/>
    </row>
    <row r="156" spans="1:11">
      <c r="A156" s="3">
        <v>42278</v>
      </c>
      <c r="C156" s="188">
        <f>+'Purchased Power Model '!C156</f>
        <v>195.95566102194391</v>
      </c>
      <c r="D156" s="188">
        <f ca="1">+'Purchased Power Model '!D156</f>
        <v>3.7719239281908306</v>
      </c>
      <c r="E156" s="103">
        <f>+'Purchased Power Model '!E156</f>
        <v>7.5499999999999998E-2</v>
      </c>
      <c r="F156" s="57">
        <f>+'Purchased Power Model '!F156</f>
        <v>31</v>
      </c>
      <c r="G156" s="57">
        <f>+'Purchased Power Model '!G156</f>
        <v>1</v>
      </c>
      <c r="H156" s="191"/>
      <c r="I156" s="193">
        <f t="shared" ca="1" si="6"/>
        <v>56495113.505913571</v>
      </c>
      <c r="J156" s="36"/>
      <c r="K156" s="5"/>
    </row>
    <row r="157" spans="1:11">
      <c r="A157" s="3">
        <v>42309</v>
      </c>
      <c r="C157" s="188">
        <f>+'Purchased Power Model '!C157</f>
        <v>406.63016355051349</v>
      </c>
      <c r="D157" s="188">
        <f ca="1">+'Purchased Power Model '!D157</f>
        <v>0</v>
      </c>
      <c r="E157" s="103">
        <f>+'Purchased Power Model '!E157</f>
        <v>7.5499999999999998E-2</v>
      </c>
      <c r="F157" s="57">
        <f>+'Purchased Power Model '!F157</f>
        <v>30</v>
      </c>
      <c r="G157" s="57">
        <f>+'Purchased Power Model '!G157</f>
        <v>1</v>
      </c>
      <c r="H157" s="191"/>
      <c r="I157" s="193">
        <f t="shared" ca="1" si="6"/>
        <v>59301810.249828391</v>
      </c>
      <c r="J157" s="36"/>
      <c r="K157" s="5"/>
    </row>
    <row r="158" spans="1:11">
      <c r="A158" s="3">
        <v>42339</v>
      </c>
      <c r="C158" s="188">
        <f>+'Purchased Power Model '!C158</f>
        <v>419.22097977907276</v>
      </c>
      <c r="D158" s="188">
        <f ca="1">+'Purchased Power Model '!D158</f>
        <v>0</v>
      </c>
      <c r="E158" s="103">
        <f>+'Purchased Power Model '!E158</f>
        <v>7.5499999999999998E-2</v>
      </c>
      <c r="F158" s="57">
        <f>+'Purchased Power Model '!F158</f>
        <v>31</v>
      </c>
      <c r="G158" s="57">
        <f>+'Purchased Power Model '!G158</f>
        <v>0</v>
      </c>
      <c r="H158" s="191"/>
      <c r="I158" s="193">
        <f t="shared" ca="1" si="6"/>
        <v>59156330.928619914</v>
      </c>
      <c r="J158" s="36"/>
      <c r="K158" s="5"/>
    </row>
    <row r="159" spans="1:11">
      <c r="A159" s="3">
        <v>42370</v>
      </c>
      <c r="C159" s="188">
        <f>+'Purchased Power Model '!C159</f>
        <v>539.18844483504199</v>
      </c>
      <c r="D159" s="188">
        <f ca="1">+'Purchased Power Model '!D159</f>
        <v>0</v>
      </c>
      <c r="E159" s="103">
        <f>+'Purchased Power Model '!E159</f>
        <v>7.5499999999999998E-2</v>
      </c>
      <c r="F159" s="57">
        <f>+'Purchased Power Model '!F159</f>
        <v>31</v>
      </c>
      <c r="G159" s="57">
        <f>+'Purchased Power Model '!G159</f>
        <v>0</v>
      </c>
      <c r="H159" s="191"/>
      <c r="I159" s="193">
        <f t="shared" ca="1" si="6"/>
        <v>60434625.414289378</v>
      </c>
      <c r="J159" s="36"/>
      <c r="K159" s="5"/>
    </row>
    <row r="160" spans="1:11">
      <c r="A160" s="3">
        <v>42401</v>
      </c>
      <c r="C160" s="188">
        <f>+'Purchased Power Model '!C160</f>
        <v>535.77142349143355</v>
      </c>
      <c r="D160" s="188">
        <f ca="1">+'Purchased Power Model '!D160</f>
        <v>0</v>
      </c>
      <c r="E160" s="103">
        <f>+'Purchased Power Model '!E160</f>
        <v>7.5499999999999998E-2</v>
      </c>
      <c r="F160" s="57">
        <f>+'Purchased Power Model '!F160</f>
        <v>29</v>
      </c>
      <c r="G160" s="57">
        <f>+'Purchased Power Model '!G160</f>
        <v>0</v>
      </c>
      <c r="H160" s="191"/>
      <c r="I160" s="193">
        <f t="shared" ca="1" si="6"/>
        <v>61666508.66811274</v>
      </c>
      <c r="J160" s="36"/>
      <c r="K160" s="5"/>
    </row>
    <row r="161" spans="1:11">
      <c r="A161" s="3">
        <v>42430</v>
      </c>
      <c r="C161" s="188">
        <f>+'Purchased Power Model '!C161</f>
        <v>477.50682878631443</v>
      </c>
      <c r="D161" s="188">
        <f ca="1">+'Purchased Power Model '!D161</f>
        <v>0</v>
      </c>
      <c r="E161" s="103">
        <f>+'Purchased Power Model '!E161</f>
        <v>7.5499999999999998E-2</v>
      </c>
      <c r="F161" s="57">
        <f>+'Purchased Power Model '!F161</f>
        <v>31</v>
      </c>
      <c r="G161" s="57">
        <f>+'Purchased Power Model '!G161</f>
        <v>1</v>
      </c>
      <c r="H161" s="191"/>
      <c r="I161" s="193">
        <f t="shared" ca="1" si="6"/>
        <v>59422879.032546014</v>
      </c>
      <c r="J161" s="36"/>
      <c r="K161" s="5"/>
    </row>
    <row r="162" spans="1:11">
      <c r="A162" s="3">
        <v>42461</v>
      </c>
      <c r="C162" s="188">
        <f>+'Purchased Power Model '!C162</f>
        <v>321.11239036731047</v>
      </c>
      <c r="D162" s="188">
        <f ca="1">+'Purchased Power Model '!D162</f>
        <v>0</v>
      </c>
      <c r="E162" s="103">
        <f>+'Purchased Power Model '!E162</f>
        <v>7.5499999999999998E-2</v>
      </c>
      <c r="F162" s="57">
        <f>+'Purchased Power Model '!F162</f>
        <v>30</v>
      </c>
      <c r="G162" s="57">
        <f>+'Purchased Power Model '!G162</f>
        <v>1</v>
      </c>
      <c r="H162" s="191"/>
      <c r="I162" s="193">
        <f t="shared" ca="1" si="6"/>
        <v>58390589.04634776</v>
      </c>
      <c r="J162" s="36"/>
      <c r="K162" s="5"/>
    </row>
    <row r="163" spans="1:11">
      <c r="A163" s="3">
        <v>42491</v>
      </c>
      <c r="C163" s="188">
        <f>+'Purchased Power Model '!C163</f>
        <v>116.8796531377878</v>
      </c>
      <c r="D163" s="188">
        <f ca="1">+'Purchased Power Model '!D163</f>
        <v>3.8584638085088909</v>
      </c>
      <c r="E163" s="103">
        <f>+'Purchased Power Model '!E163</f>
        <v>7.5499999999999998E-2</v>
      </c>
      <c r="F163" s="57">
        <f>+'Purchased Power Model '!F163</f>
        <v>31</v>
      </c>
      <c r="G163" s="57">
        <f>+'Purchased Power Model '!G163</f>
        <v>1</v>
      </c>
      <c r="H163" s="191"/>
      <c r="I163" s="193">
        <f t="shared" ca="1" si="6"/>
        <v>55654189.365146965</v>
      </c>
      <c r="J163" s="36"/>
      <c r="K163" s="5"/>
    </row>
    <row r="164" spans="1:11">
      <c r="A164" s="3">
        <v>42522</v>
      </c>
      <c r="C164" s="188">
        <f>+'Purchased Power Model '!C164</f>
        <v>37.587234779693375</v>
      </c>
      <c r="D164" s="188">
        <f ca="1">+'Purchased Power Model '!D164</f>
        <v>41.414178211328768</v>
      </c>
      <c r="E164" s="103">
        <f>+'Purchased Power Model '!E164</f>
        <v>7.5499999999999998E-2</v>
      </c>
      <c r="F164" s="57">
        <f>+'Purchased Power Model '!F164</f>
        <v>30</v>
      </c>
      <c r="G164" s="57">
        <f>+'Purchased Power Model '!G164</f>
        <v>0</v>
      </c>
      <c r="H164" s="191"/>
      <c r="I164" s="193">
        <f t="shared" ca="1" si="6"/>
        <v>56517410.109853163</v>
      </c>
      <c r="J164" s="36"/>
      <c r="K164" s="5"/>
    </row>
    <row r="165" spans="1:11">
      <c r="A165" s="3">
        <v>42552</v>
      </c>
      <c r="C165" s="188">
        <f>+'Purchased Power Model '!C165</f>
        <v>3.8551010030454749</v>
      </c>
      <c r="D165" s="188">
        <f ca="1">+'Purchased Power Model '!D165</f>
        <v>141.47700631199265</v>
      </c>
      <c r="E165" s="103">
        <f>+'Purchased Power Model '!E165</f>
        <v>7.5499999999999998E-2</v>
      </c>
      <c r="F165" s="57">
        <f>+'Purchased Power Model '!F165</f>
        <v>31</v>
      </c>
      <c r="G165" s="57">
        <f>+'Purchased Power Model '!G165</f>
        <v>0</v>
      </c>
      <c r="H165" s="191"/>
      <c r="I165" s="193">
        <f t="shared" ca="1" si="6"/>
        <v>57440739.419031255</v>
      </c>
      <c r="J165" s="36"/>
      <c r="K165" s="5"/>
    </row>
    <row r="166" spans="1:11">
      <c r="A166" s="3">
        <v>42583</v>
      </c>
      <c r="C166" s="188">
        <f>+'Purchased Power Model '!C166</f>
        <v>9.6377525076136852</v>
      </c>
      <c r="D166" s="188">
        <f ca="1">+'Purchased Power Model '!D166</f>
        <v>74.468351504221573</v>
      </c>
      <c r="E166" s="103">
        <f>+'Purchased Power Model '!E166</f>
        <v>7.5499999999999998E-2</v>
      </c>
      <c r="F166" s="57">
        <f>+'Purchased Power Model '!F166</f>
        <v>31</v>
      </c>
      <c r="G166" s="57">
        <f>+'Purchased Power Model '!G166</f>
        <v>0</v>
      </c>
      <c r="H166" s="191"/>
      <c r="I166" s="193">
        <f t="shared" ca="1" si="6"/>
        <v>56218671.048656695</v>
      </c>
      <c r="J166" s="36"/>
      <c r="K166" s="5"/>
    </row>
    <row r="167" spans="1:11">
      <c r="A167" s="3">
        <v>42614</v>
      </c>
      <c r="C167" s="188">
        <f>+'Purchased Power Model '!C167</f>
        <v>84.636990203225636</v>
      </c>
      <c r="D167" s="188">
        <f ca="1">+'Purchased Power Model '!D167</f>
        <v>20.192627264529865</v>
      </c>
      <c r="E167" s="103">
        <f>+'Purchased Power Model '!E167</f>
        <v>7.5499999999999998E-2</v>
      </c>
      <c r="F167" s="57">
        <f>+'Purchased Power Model '!F167</f>
        <v>30</v>
      </c>
      <c r="G167" s="57">
        <f>+'Purchased Power Model '!G167</f>
        <v>1</v>
      </c>
      <c r="H167" s="191"/>
      <c r="I167" s="193">
        <f t="shared" ca="1" si="6"/>
        <v>56257692.624823727</v>
      </c>
      <c r="J167" s="36"/>
      <c r="K167" s="5"/>
    </row>
    <row r="168" spans="1:11">
      <c r="A168" s="3">
        <v>42644</v>
      </c>
      <c r="C168" s="188">
        <f>+'Purchased Power Model '!C168</f>
        <v>193.63120947114768</v>
      </c>
      <c r="D168" s="188">
        <f ca="1">+'Purchased Power Model '!D168</f>
        <v>3.8584638085088909</v>
      </c>
      <c r="E168" s="103">
        <f>+'Purchased Power Model '!E168</f>
        <v>7.5499999999999998E-2</v>
      </c>
      <c r="F168" s="57">
        <f>+'Purchased Power Model '!F168</f>
        <v>31</v>
      </c>
      <c r="G168" s="57">
        <f>+'Purchased Power Model '!G168</f>
        <v>1</v>
      </c>
      <c r="H168" s="191"/>
      <c r="I168" s="193">
        <f t="shared" ca="1" si="6"/>
        <v>56472003.521524355</v>
      </c>
      <c r="J168" s="36"/>
      <c r="K168" s="5"/>
    </row>
    <row r="169" spans="1:11">
      <c r="A169" s="3">
        <v>42675</v>
      </c>
      <c r="C169" s="188">
        <f>+'Purchased Power Model '!C169</f>
        <v>401.80666363560329</v>
      </c>
      <c r="D169" s="188">
        <f ca="1">+'Purchased Power Model '!D169</f>
        <v>0</v>
      </c>
      <c r="E169" s="103">
        <f>+'Purchased Power Model '!E169</f>
        <v>7.5499999999999998E-2</v>
      </c>
      <c r="F169" s="57">
        <f>+'Purchased Power Model '!F169</f>
        <v>30</v>
      </c>
      <c r="G169" s="57">
        <f>+'Purchased Power Model '!G169</f>
        <v>1</v>
      </c>
      <c r="H169" s="191"/>
      <c r="I169" s="193">
        <f t="shared" ca="1" si="6"/>
        <v>59250414.203908928</v>
      </c>
      <c r="J169" s="36"/>
      <c r="K169" s="5"/>
    </row>
    <row r="170" spans="1:11">
      <c r="A170" s="3">
        <v>42705</v>
      </c>
      <c r="C170" s="188">
        <f>+'Purchased Power Model '!C170</f>
        <v>414.24812596361369</v>
      </c>
      <c r="D170" s="188">
        <f ca="1">+'Purchased Power Model '!D170</f>
        <v>0</v>
      </c>
      <c r="E170" s="103">
        <f>+'Purchased Power Model '!E170</f>
        <v>7.5499999999999998E-2</v>
      </c>
      <c r="F170" s="57">
        <f>+'Purchased Power Model '!F170</f>
        <v>31</v>
      </c>
      <c r="G170" s="57">
        <f>+'Purchased Power Model '!G170</f>
        <v>0</v>
      </c>
      <c r="H170" s="191"/>
      <c r="I170" s="193">
        <f t="shared" ca="1" si="6"/>
        <v>59103343.465665884</v>
      </c>
      <c r="J170" s="36"/>
      <c r="K170" s="5"/>
    </row>
    <row r="171" spans="1:11">
      <c r="A171" s="3">
        <v>42736</v>
      </c>
      <c r="C171" s="188">
        <f>+'Purchased Power Model '!C171</f>
        <v>532.7157412859018</v>
      </c>
      <c r="D171" s="188">
        <f ca="1">+'Purchased Power Model '!D171</f>
        <v>0</v>
      </c>
      <c r="E171" s="103">
        <f>+'Purchased Power Model '!E171</f>
        <v>7.5499999999999998E-2</v>
      </c>
      <c r="F171" s="57">
        <f>+'Purchased Power Model '!F171</f>
        <v>31</v>
      </c>
      <c r="G171" s="57">
        <f>+'Purchased Power Model '!G171</f>
        <v>0</v>
      </c>
      <c r="H171" s="191"/>
      <c r="I171" s="193">
        <f t="shared" ca="1" si="6"/>
        <v>60365656.538016297</v>
      </c>
      <c r="J171" s="36"/>
      <c r="K171" s="5"/>
    </row>
    <row r="172" spans="1:11">
      <c r="A172" s="3">
        <v>42767</v>
      </c>
      <c r="C172" s="188">
        <f>+'Purchased Power Model '!C172</f>
        <v>529.33973967554266</v>
      </c>
      <c r="D172" s="188">
        <f ca="1">+'Purchased Power Model '!D172</f>
        <v>0</v>
      </c>
      <c r="E172" s="103">
        <f>+'Purchased Power Model '!E172</f>
        <v>7.5499999999999998E-2</v>
      </c>
      <c r="F172" s="57">
        <f>+'Purchased Power Model '!F172</f>
        <v>28</v>
      </c>
      <c r="G172" s="57">
        <f>+'Purchased Power Model '!G172</f>
        <v>0</v>
      </c>
      <c r="H172" s="191"/>
      <c r="I172" s="193">
        <f t="shared" ca="1" si="6"/>
        <v>62232123.265257388</v>
      </c>
      <c r="J172" s="36"/>
      <c r="K172" s="5"/>
    </row>
    <row r="173" spans="1:11">
      <c r="A173" s="3">
        <v>42795</v>
      </c>
      <c r="C173" s="188">
        <f>+'Purchased Power Model '!C173</f>
        <v>471.77458401172646</v>
      </c>
      <c r="D173" s="188">
        <f ca="1">+'Purchased Power Model '!D173</f>
        <v>0</v>
      </c>
      <c r="E173" s="103">
        <f>+'Purchased Power Model '!E173</f>
        <v>7.5499999999999998E-2</v>
      </c>
      <c r="F173" s="57">
        <f>+'Purchased Power Model '!F173</f>
        <v>31</v>
      </c>
      <c r="G173" s="57">
        <f>+'Purchased Power Model '!G173</f>
        <v>1</v>
      </c>
      <c r="H173" s="191"/>
      <c r="I173" s="193">
        <f t="shared" ca="1" si="6"/>
        <v>59361799.998472527</v>
      </c>
      <c r="J173" s="36"/>
      <c r="K173" s="5"/>
    </row>
    <row r="174" spans="1:11">
      <c r="A174" s="3">
        <v>42826</v>
      </c>
      <c r="C174" s="188">
        <f>+'Purchased Power Model '!C174</f>
        <v>317.25758722990406</v>
      </c>
      <c r="D174" s="188">
        <f ca="1">+'Purchased Power Model '!D174</f>
        <v>0</v>
      </c>
      <c r="E174" s="103">
        <f>+'Purchased Power Model '!E174</f>
        <v>7.5499999999999998E-2</v>
      </c>
      <c r="F174" s="57">
        <f>+'Purchased Power Model '!F174</f>
        <v>30</v>
      </c>
      <c r="G174" s="57">
        <f>+'Purchased Power Model '!G174</f>
        <v>1</v>
      </c>
      <c r="H174" s="191"/>
      <c r="I174" s="193">
        <f t="shared" ca="1" si="6"/>
        <v>58349514.79682862</v>
      </c>
      <c r="J174" s="36"/>
      <c r="K174" s="5"/>
    </row>
    <row r="175" spans="1:11">
      <c r="A175" s="3">
        <v>42856</v>
      </c>
      <c r="C175" s="188">
        <f>+'Purchased Power Model '!C175</f>
        <v>115.47656790305378</v>
      </c>
      <c r="D175" s="188">
        <f ca="1">+'Purchased Power Model '!D175</f>
        <v>3.9450036888269517</v>
      </c>
      <c r="E175" s="103">
        <f>+'Purchased Power Model '!E175</f>
        <v>7.5499999999999998E-2</v>
      </c>
      <c r="F175" s="57">
        <f>+'Purchased Power Model '!F175</f>
        <v>31</v>
      </c>
      <c r="G175" s="57">
        <f>+'Purchased Power Model '!G175</f>
        <v>1</v>
      </c>
      <c r="H175" s="191"/>
      <c r="I175" s="193">
        <f t="shared" ca="1" si="6"/>
        <v>55640896.854858369</v>
      </c>
      <c r="J175" s="36"/>
      <c r="K175" s="5"/>
    </row>
    <row r="176" spans="1:11">
      <c r="A176" s="3">
        <v>42887</v>
      </c>
      <c r="C176" s="188">
        <f>+'Purchased Power Model '!C176</f>
        <v>37.136017713950579</v>
      </c>
      <c r="D176" s="188">
        <f ca="1">+'Purchased Power Model '!D176</f>
        <v>42.343039593409287</v>
      </c>
      <c r="E176" s="103">
        <f>+'Purchased Power Model '!E176</f>
        <v>7.5499999999999998E-2</v>
      </c>
      <c r="F176" s="57">
        <f>+'Purchased Power Model '!F176</f>
        <v>30</v>
      </c>
      <c r="G176" s="57">
        <f>+'Purchased Power Model '!G176</f>
        <v>0</v>
      </c>
      <c r="H176" s="191"/>
      <c r="I176" s="193">
        <f t="shared" ca="1" si="6"/>
        <v>56530396.430674121</v>
      </c>
      <c r="J176" s="36"/>
      <c r="K176" s="5"/>
    </row>
    <row r="177" spans="1:11">
      <c r="A177" s="3">
        <v>42917</v>
      </c>
      <c r="C177" s="188">
        <f>+'Purchased Power Model '!C177</f>
        <v>3.8088223296359573</v>
      </c>
      <c r="D177" s="188">
        <f ca="1">+'Purchased Power Model '!D177</f>
        <v>144.65013525698822</v>
      </c>
      <c r="E177" s="103">
        <f>+'Purchased Power Model '!E177</f>
        <v>7.5499999999999998E-2</v>
      </c>
      <c r="F177" s="57">
        <f>+'Purchased Power Model '!F177</f>
        <v>31</v>
      </c>
      <c r="G177" s="57">
        <f>+'Purchased Power Model '!G177</f>
        <v>0</v>
      </c>
      <c r="H177" s="191"/>
      <c r="I177" s="193">
        <f t="shared" ca="1" si="6"/>
        <v>57501033.92113743</v>
      </c>
      <c r="J177" s="36"/>
      <c r="K177" s="5"/>
    </row>
    <row r="178" spans="1:11">
      <c r="A178" s="3">
        <v>42948</v>
      </c>
      <c r="C178" s="188">
        <f>+'Purchased Power Model '!C178</f>
        <v>9.5220558240898914</v>
      </c>
      <c r="D178" s="188">
        <f ca="1">+'Purchased Power Model '!D178</f>
        <v>76.138571194360154</v>
      </c>
      <c r="E178" s="103">
        <f>+'Purchased Power Model '!E178</f>
        <v>7.5499999999999998E-2</v>
      </c>
      <c r="F178" s="57">
        <f>+'Purchased Power Model '!F178</f>
        <v>31</v>
      </c>
      <c r="G178" s="57">
        <f>+'Purchased Power Model '!G178</f>
        <v>0</v>
      </c>
      <c r="H178" s="191"/>
      <c r="I178" s="193">
        <f t="shared" ca="1" si="6"/>
        <v>56249434.65207126</v>
      </c>
      <c r="J178" s="36"/>
      <c r="K178" s="5"/>
    </row>
    <row r="179" spans="1:11">
      <c r="A179" s="3">
        <v>42979</v>
      </c>
      <c r="C179" s="188">
        <f>+'Purchased Power Model '!C179</f>
        <v>83.620962964280309</v>
      </c>
      <c r="D179" s="188">
        <f ca="1">+'Purchased Power Model '!D179</f>
        <v>20.64551930486105</v>
      </c>
      <c r="E179" s="103">
        <f>+'Purchased Power Model '!E179</f>
        <v>7.5499999999999998E-2</v>
      </c>
      <c r="F179" s="57">
        <f>+'Purchased Power Model '!F179</f>
        <v>30</v>
      </c>
      <c r="G179" s="57">
        <f>+'Purchased Power Model '!G179</f>
        <v>1</v>
      </c>
      <c r="H179" s="191"/>
      <c r="I179" s="193">
        <f t="shared" ca="1" si="6"/>
        <v>56255542.556948505</v>
      </c>
      <c r="J179" s="36"/>
      <c r="K179" s="5"/>
    </row>
    <row r="180" spans="1:11">
      <c r="A180" s="3">
        <v>43009</v>
      </c>
      <c r="C180" s="188">
        <f>+'Purchased Power Model '!C180</f>
        <v>191.30675792035146</v>
      </c>
      <c r="D180" s="188">
        <f ca="1">+'Purchased Power Model '!D180</f>
        <v>3.9450036888269517</v>
      </c>
      <c r="E180" s="103">
        <f>+'Purchased Power Model '!E180</f>
        <v>7.5499999999999998E-2</v>
      </c>
      <c r="F180" s="57">
        <f>+'Purchased Power Model '!F180</f>
        <v>31</v>
      </c>
      <c r="G180" s="57">
        <f>+'Purchased Power Model '!G180</f>
        <v>1</v>
      </c>
      <c r="H180" s="191"/>
      <c r="I180" s="193">
        <f t="shared" ca="1" si="6"/>
        <v>56448893.537135154</v>
      </c>
      <c r="J180" s="36"/>
      <c r="K180" s="5"/>
    </row>
    <row r="181" spans="1:11">
      <c r="A181" s="3">
        <v>43040</v>
      </c>
      <c r="C181" s="188">
        <f>+'Purchased Power Model '!C181</f>
        <v>396.98316372069308</v>
      </c>
      <c r="D181" s="188">
        <f ca="1">+'Purchased Power Model '!D181</f>
        <v>0</v>
      </c>
      <c r="E181" s="103">
        <f>+'Purchased Power Model '!E181</f>
        <v>7.5499999999999998E-2</v>
      </c>
      <c r="F181" s="57">
        <f>+'Purchased Power Model '!F181</f>
        <v>30</v>
      </c>
      <c r="G181" s="57">
        <f>+'Purchased Power Model '!G181</f>
        <v>1</v>
      </c>
      <c r="H181" s="191"/>
      <c r="I181" s="193">
        <f t="shared" ca="1" si="6"/>
        <v>59199018.15798948</v>
      </c>
      <c r="J181" s="36"/>
      <c r="K181" s="5"/>
    </row>
    <row r="182" spans="1:11">
      <c r="A182" s="3">
        <v>43070</v>
      </c>
      <c r="C182" s="188">
        <f>+'Purchased Power Model '!C182</f>
        <v>409.27527214815461</v>
      </c>
      <c r="D182" s="188">
        <f ca="1">+'Purchased Power Model '!D182</f>
        <v>0</v>
      </c>
      <c r="E182" s="103">
        <f>+'Purchased Power Model '!E182</f>
        <v>7.5499999999999998E-2</v>
      </c>
      <c r="F182" s="57">
        <f>+'Purchased Power Model '!F182</f>
        <v>31</v>
      </c>
      <c r="G182" s="57">
        <f>+'Purchased Power Model '!G182</f>
        <v>0</v>
      </c>
      <c r="H182" s="191"/>
      <c r="I182" s="193">
        <f t="shared" ca="1" si="6"/>
        <v>59050356.002711855</v>
      </c>
      <c r="J182" s="36"/>
      <c r="K182" s="5"/>
    </row>
    <row r="183" spans="1:11">
      <c r="A183" s="3">
        <v>43101</v>
      </c>
      <c r="C183" s="188">
        <f>+'Purchased Power Model '!C183</f>
        <v>526.24303773676161</v>
      </c>
      <c r="D183" s="188">
        <f ca="1">+'Purchased Power Model '!D183</f>
        <v>0</v>
      </c>
      <c r="E183" s="103">
        <f>+'Purchased Power Model '!E183</f>
        <v>7.5499999999999998E-2</v>
      </c>
      <c r="F183" s="57">
        <f>+'Purchased Power Model '!F183</f>
        <v>31</v>
      </c>
      <c r="G183" s="57">
        <f>+'Purchased Power Model '!G183</f>
        <v>0</v>
      </c>
      <c r="H183" s="191"/>
      <c r="I183" s="193">
        <f t="shared" ca="1" si="6"/>
        <v>60296687.661743231</v>
      </c>
      <c r="J183" s="36"/>
      <c r="K183" s="5"/>
    </row>
    <row r="184" spans="1:11">
      <c r="A184" s="3">
        <v>43132</v>
      </c>
      <c r="C184" s="188">
        <f>+'Purchased Power Model '!C184</f>
        <v>522.90805585965177</v>
      </c>
      <c r="D184" s="188">
        <f ca="1">+'Purchased Power Model '!D184</f>
        <v>0</v>
      </c>
      <c r="E184" s="103">
        <f>+'Purchased Power Model '!E184</f>
        <v>7.5499999999999998E-2</v>
      </c>
      <c r="F184" s="57">
        <f>+'Purchased Power Model '!F184</f>
        <v>28</v>
      </c>
      <c r="G184" s="57">
        <f>+'Purchased Power Model '!G184</f>
        <v>0</v>
      </c>
      <c r="H184" s="191"/>
      <c r="I184" s="193">
        <f t="shared" ca="1" si="6"/>
        <v>62163591.468310714</v>
      </c>
      <c r="J184" s="36"/>
      <c r="K184" s="5"/>
    </row>
    <row r="185" spans="1:11">
      <c r="A185" s="3">
        <v>43160</v>
      </c>
      <c r="C185" s="188">
        <f>+'Purchased Power Model '!C185</f>
        <v>466.04233923713849</v>
      </c>
      <c r="D185" s="188">
        <f ca="1">+'Purchased Power Model '!D185</f>
        <v>0</v>
      </c>
      <c r="E185" s="103">
        <f>+'Purchased Power Model '!E185</f>
        <v>7.5499999999999998E-2</v>
      </c>
      <c r="F185" s="57">
        <f>+'Purchased Power Model '!F185</f>
        <v>31</v>
      </c>
      <c r="G185" s="57">
        <f>+'Purchased Power Model '!G185</f>
        <v>1</v>
      </c>
      <c r="H185" s="191"/>
      <c r="I185" s="193">
        <f t="shared" ca="1" si="6"/>
        <v>59300720.96439904</v>
      </c>
      <c r="J185" s="36"/>
      <c r="K185" s="5"/>
    </row>
    <row r="186" spans="1:11">
      <c r="A186" s="3">
        <v>43191</v>
      </c>
      <c r="C186" s="188">
        <f>+'Purchased Power Model '!C186</f>
        <v>313.40278409249765</v>
      </c>
      <c r="D186" s="188">
        <f ca="1">+'Purchased Power Model '!D186</f>
        <v>0</v>
      </c>
      <c r="E186" s="103">
        <f>+'Purchased Power Model '!E186</f>
        <v>7.5499999999999998E-2</v>
      </c>
      <c r="F186" s="57">
        <f>+'Purchased Power Model '!F186</f>
        <v>30</v>
      </c>
      <c r="G186" s="57">
        <f>+'Purchased Power Model '!G186</f>
        <v>1</v>
      </c>
      <c r="H186" s="191"/>
      <c r="I186" s="193">
        <f t="shared" ca="1" si="6"/>
        <v>58308440.547309466</v>
      </c>
      <c r="J186" s="36"/>
      <c r="K186" s="5"/>
    </row>
    <row r="187" spans="1:11">
      <c r="A187" s="3">
        <v>43221</v>
      </c>
      <c r="C187" s="188">
        <f>+'Purchased Power Model '!C187</f>
        <v>114.07348266831977</v>
      </c>
      <c r="D187" s="188">
        <f ca="1">+'Purchased Power Model '!D187</f>
        <v>4.0315435691450112</v>
      </c>
      <c r="E187" s="103">
        <f>+'Purchased Power Model '!E187</f>
        <v>7.5499999999999998E-2</v>
      </c>
      <c r="F187" s="57">
        <f>+'Purchased Power Model '!F187</f>
        <v>31</v>
      </c>
      <c r="G187" s="57">
        <f>+'Purchased Power Model '!G187</f>
        <v>1</v>
      </c>
      <c r="H187" s="191"/>
      <c r="I187" s="193">
        <f t="shared" ca="1" si="6"/>
        <v>55627604.344569772</v>
      </c>
      <c r="J187" s="36"/>
      <c r="K187" s="5"/>
    </row>
    <row r="188" spans="1:11">
      <c r="A188" s="3">
        <v>43252</v>
      </c>
      <c r="C188" s="188">
        <f>+'Purchased Power Model '!C188</f>
        <v>36.684800648207784</v>
      </c>
      <c r="D188" s="188">
        <f ca="1">+'Purchased Power Model '!D188</f>
        <v>43.271900975489793</v>
      </c>
      <c r="E188" s="103">
        <f>+'Purchased Power Model '!E188</f>
        <v>7.5499999999999998E-2</v>
      </c>
      <c r="F188" s="57">
        <f>+'Purchased Power Model '!F188</f>
        <v>30</v>
      </c>
      <c r="G188" s="57">
        <f>+'Purchased Power Model '!G188</f>
        <v>0</v>
      </c>
      <c r="H188" s="191"/>
      <c r="I188" s="193">
        <f t="shared" ca="1" si="6"/>
        <v>56543382.751495078</v>
      </c>
      <c r="J188" s="36"/>
      <c r="K188" s="5"/>
    </row>
    <row r="189" spans="1:11">
      <c r="A189" s="3">
        <v>43282</v>
      </c>
      <c r="C189" s="188">
        <f>+'Purchased Power Model '!C189</f>
        <v>3.7625436562264398</v>
      </c>
      <c r="D189" s="188">
        <f ca="1">+'Purchased Power Model '!D189</f>
        <v>147.82326420198373</v>
      </c>
      <c r="E189" s="103">
        <f>+'Purchased Power Model '!E189</f>
        <v>7.5499999999999998E-2</v>
      </c>
      <c r="F189" s="57">
        <f>+'Purchased Power Model '!F189</f>
        <v>31</v>
      </c>
      <c r="G189" s="57">
        <f>+'Purchased Power Model '!G189</f>
        <v>0</v>
      </c>
      <c r="H189" s="191"/>
      <c r="I189" s="193">
        <f t="shared" ca="1" si="6"/>
        <v>57561328.42324362</v>
      </c>
      <c r="J189" s="36"/>
      <c r="K189" s="5"/>
    </row>
    <row r="190" spans="1:11">
      <c r="A190" s="3">
        <v>43313</v>
      </c>
      <c r="C190" s="188">
        <f>+'Purchased Power Model '!C190</f>
        <v>9.4063591405660976</v>
      </c>
      <c r="D190" s="188">
        <f ca="1">+'Purchased Power Model '!D190</f>
        <v>77.808790884498691</v>
      </c>
      <c r="E190" s="103">
        <f>+'Purchased Power Model '!E190</f>
        <v>7.5499999999999998E-2</v>
      </c>
      <c r="F190" s="57">
        <f>+'Purchased Power Model '!F190</f>
        <v>31</v>
      </c>
      <c r="G190" s="57">
        <f>+'Purchased Power Model '!G190</f>
        <v>0</v>
      </c>
      <c r="H190" s="191"/>
      <c r="I190" s="193">
        <f t="shared" ca="1" si="6"/>
        <v>56280198.25548581</v>
      </c>
      <c r="J190" s="36"/>
      <c r="K190" s="5"/>
    </row>
    <row r="191" spans="1:11">
      <c r="A191" s="3">
        <v>43344</v>
      </c>
      <c r="C191" s="188">
        <f>+'Purchased Power Model '!C191</f>
        <v>82.604935725334997</v>
      </c>
      <c r="D191" s="188">
        <f ca="1">+'Purchased Power Model '!D191</f>
        <v>21.098411345192229</v>
      </c>
      <c r="E191" s="103">
        <f>+'Purchased Power Model '!E191</f>
        <v>7.5499999999999998E-2</v>
      </c>
      <c r="F191" s="57">
        <f>+'Purchased Power Model '!F191</f>
        <v>30</v>
      </c>
      <c r="G191" s="57">
        <f>+'Purchased Power Model '!G191</f>
        <v>1</v>
      </c>
      <c r="H191" s="191"/>
      <c r="I191" s="193">
        <f t="shared" ca="1" si="6"/>
        <v>56253392.489073284</v>
      </c>
      <c r="J191" s="36"/>
      <c r="K191" s="5"/>
    </row>
    <row r="192" spans="1:11">
      <c r="A192" s="3">
        <v>43374</v>
      </c>
      <c r="C192" s="188">
        <f>+'Purchased Power Model '!C192</f>
        <v>188.98230636955523</v>
      </c>
      <c r="D192" s="188">
        <f ca="1">+'Purchased Power Model '!D192</f>
        <v>4.0315435691450112</v>
      </c>
      <c r="E192" s="103">
        <f>+'Purchased Power Model '!E192</f>
        <v>7.5499999999999998E-2</v>
      </c>
      <c r="F192" s="57">
        <f>+'Purchased Power Model '!F192</f>
        <v>31</v>
      </c>
      <c r="G192" s="57">
        <f>+'Purchased Power Model '!G192</f>
        <v>1</v>
      </c>
      <c r="H192" s="191"/>
      <c r="I192" s="193">
        <f t="shared" ca="1" si="6"/>
        <v>56425783.552745938</v>
      </c>
      <c r="J192" s="36"/>
      <c r="K192" s="5"/>
    </row>
    <row r="193" spans="1:11">
      <c r="A193" s="3">
        <v>43405</v>
      </c>
      <c r="C193" s="188">
        <f>+'Purchased Power Model '!C193</f>
        <v>392.15966380578294</v>
      </c>
      <c r="D193" s="188">
        <f ca="1">+'Purchased Power Model '!D193</f>
        <v>0</v>
      </c>
      <c r="E193" s="103">
        <f>+'Purchased Power Model '!E193</f>
        <v>7.5499999999999998E-2</v>
      </c>
      <c r="F193" s="57">
        <f>+'Purchased Power Model '!F193</f>
        <v>30</v>
      </c>
      <c r="G193" s="57">
        <f>+'Purchased Power Model '!G193</f>
        <v>1</v>
      </c>
      <c r="H193" s="191"/>
      <c r="I193" s="193">
        <f t="shared" ca="1" si="6"/>
        <v>59147622.112070031</v>
      </c>
      <c r="J193" s="36"/>
      <c r="K193" s="5"/>
    </row>
    <row r="194" spans="1:11">
      <c r="A194" s="3">
        <v>43435</v>
      </c>
      <c r="C194" s="188">
        <f>+'Purchased Power Model '!C194</f>
        <v>404.30241833269554</v>
      </c>
      <c r="D194" s="188">
        <f ca="1">+'Purchased Power Model '!D194</f>
        <v>0</v>
      </c>
      <c r="E194" s="103">
        <f>+'Purchased Power Model '!E194</f>
        <v>7.5499999999999998E-2</v>
      </c>
      <c r="F194" s="57">
        <f>+'Purchased Power Model '!F194</f>
        <v>31</v>
      </c>
      <c r="G194" s="57">
        <f>+'Purchased Power Model '!G194</f>
        <v>0</v>
      </c>
      <c r="H194" s="191"/>
      <c r="I194" s="193">
        <f t="shared" ca="1" si="6"/>
        <v>58997368.539757825</v>
      </c>
      <c r="J194" s="36"/>
      <c r="K194" s="5"/>
    </row>
    <row r="195" spans="1:11">
      <c r="A195" s="3">
        <v>43466</v>
      </c>
      <c r="C195" s="188">
        <f>+'Purchased Power Model '!C195</f>
        <v>519.7703341876213</v>
      </c>
      <c r="D195" s="188">
        <f ca="1">+'Purchased Power Model '!D195</f>
        <v>0</v>
      </c>
      <c r="E195" s="103">
        <f>+'Purchased Power Model '!E195</f>
        <v>7.5499999999999998E-2</v>
      </c>
      <c r="F195" s="57">
        <f>+'Purchased Power Model '!F195</f>
        <v>31</v>
      </c>
      <c r="G195" s="57">
        <f>+'Purchased Power Model '!G195</f>
        <v>0</v>
      </c>
      <c r="H195" s="191"/>
      <c r="I195" s="193">
        <f t="shared" ca="1" si="6"/>
        <v>60227718.78547015</v>
      </c>
      <c r="J195" s="36"/>
      <c r="K195" s="5"/>
    </row>
    <row r="196" spans="1:11">
      <c r="A196" s="3">
        <v>43497</v>
      </c>
      <c r="C196" s="188">
        <f>+'Purchased Power Model '!C196</f>
        <v>516.47637204376076</v>
      </c>
      <c r="D196" s="188">
        <f ca="1">+'Purchased Power Model '!D196</f>
        <v>0</v>
      </c>
      <c r="E196" s="103">
        <f>+'Purchased Power Model '!E196</f>
        <v>7.5499999999999998E-2</v>
      </c>
      <c r="F196" s="57">
        <f>+'Purchased Power Model '!F196</f>
        <v>28</v>
      </c>
      <c r="G196" s="57">
        <f>+'Purchased Power Model '!G196</f>
        <v>0</v>
      </c>
      <c r="H196" s="191"/>
      <c r="I196" s="193">
        <f t="shared" ref="I196:I206" ca="1" si="11">$N$18+C196*$N$19+D196*$N$20+E196*$N$21+F196*$N$22+G196*$N$23+H196*$N$24</f>
        <v>62095059.671364039</v>
      </c>
      <c r="J196" s="36"/>
      <c r="K196" s="5"/>
    </row>
    <row r="197" spans="1:11">
      <c r="A197" s="3">
        <v>43525</v>
      </c>
      <c r="C197" s="188">
        <f>+'Purchased Power Model '!C197</f>
        <v>460.31009446255047</v>
      </c>
      <c r="D197" s="188">
        <f ca="1">+'Purchased Power Model '!D197</f>
        <v>0</v>
      </c>
      <c r="E197" s="103">
        <f>+'Purchased Power Model '!E197</f>
        <v>7.5499999999999998E-2</v>
      </c>
      <c r="F197" s="57">
        <f>+'Purchased Power Model '!F197</f>
        <v>31</v>
      </c>
      <c r="G197" s="57">
        <f>+'Purchased Power Model '!G197</f>
        <v>1</v>
      </c>
      <c r="H197" s="191"/>
      <c r="I197" s="193">
        <f t="shared" ca="1" si="11"/>
        <v>59239641.930325553</v>
      </c>
      <c r="J197" s="36"/>
      <c r="K197" s="5"/>
    </row>
    <row r="198" spans="1:11">
      <c r="A198" s="3">
        <v>43556</v>
      </c>
      <c r="C198" s="188">
        <f>+'Purchased Power Model '!C198</f>
        <v>309.54798095509119</v>
      </c>
      <c r="D198" s="188">
        <f ca="1">+'Purchased Power Model '!D198</f>
        <v>0</v>
      </c>
      <c r="E198" s="103">
        <f>+'Purchased Power Model '!E198</f>
        <v>7.5499999999999998E-2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3">
        <f t="shared" ca="1" si="11"/>
        <v>58267366.297790326</v>
      </c>
      <c r="J198" s="36"/>
      <c r="K198" s="5"/>
    </row>
    <row r="199" spans="1:11">
      <c r="A199" s="3">
        <v>43586</v>
      </c>
      <c r="C199" s="188">
        <f>+'Purchased Power Model '!C199</f>
        <v>112.67039743358573</v>
      </c>
      <c r="D199" s="188">
        <f ca="1">+'Purchased Power Model '!D199</f>
        <v>4.1180834494630707</v>
      </c>
      <c r="E199" s="103">
        <f>+'Purchased Power Model '!E199</f>
        <v>7.5499999999999998E-2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3">
        <f t="shared" ca="1" si="11"/>
        <v>55614311.834281191</v>
      </c>
      <c r="J199" s="36"/>
      <c r="K199" s="5"/>
    </row>
    <row r="200" spans="1:11">
      <c r="A200" s="3">
        <v>43617</v>
      </c>
      <c r="C200" s="188">
        <f>+'Purchased Power Model '!C200</f>
        <v>36.233583582464981</v>
      </c>
      <c r="D200" s="188">
        <f ca="1">+'Purchased Power Model '!D200</f>
        <v>44.200762357570305</v>
      </c>
      <c r="E200" s="103">
        <f>+'Purchased Power Model '!E200</f>
        <v>7.5499999999999998E-2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3">
        <f t="shared" ca="1" si="11"/>
        <v>56556369.072316021</v>
      </c>
      <c r="J200" s="36"/>
      <c r="K200" s="5"/>
    </row>
    <row r="201" spans="1:11">
      <c r="A201" s="3">
        <v>43647</v>
      </c>
      <c r="C201" s="188">
        <f>+'Purchased Power Model '!C201</f>
        <v>3.7162649828169214</v>
      </c>
      <c r="D201" s="188">
        <f ca="1">+'Purchased Power Model '!D201</f>
        <v>150.99639314697927</v>
      </c>
      <c r="E201" s="103">
        <f>+'Purchased Power Model '!E201</f>
        <v>7.5499999999999998E-2</v>
      </c>
      <c r="F201" s="57">
        <f>+'Purchased Power Model '!F201</f>
        <v>31</v>
      </c>
      <c r="G201" s="57">
        <f>+'Purchased Power Model '!G201</f>
        <v>0</v>
      </c>
      <c r="H201" s="191"/>
      <c r="I201" s="193">
        <f t="shared" ca="1" si="11"/>
        <v>57621622.925349794</v>
      </c>
      <c r="J201" s="36"/>
      <c r="K201" s="5"/>
    </row>
    <row r="202" spans="1:11">
      <c r="A202" s="3">
        <v>43678</v>
      </c>
      <c r="C202" s="188">
        <f>+'Purchased Power Model '!C202</f>
        <v>9.290662457042302</v>
      </c>
      <c r="D202" s="188">
        <f ca="1">+'Purchased Power Model '!D202</f>
        <v>79.479010574637257</v>
      </c>
      <c r="E202" s="103">
        <f>+'Purchased Power Model '!E202</f>
        <v>7.5499999999999998E-2</v>
      </c>
      <c r="F202" s="57">
        <f>+'Purchased Power Model '!F202</f>
        <v>31</v>
      </c>
      <c r="G202" s="57">
        <f>+'Purchased Power Model '!G202</f>
        <v>0</v>
      </c>
      <c r="H202" s="191"/>
      <c r="I202" s="193">
        <f t="shared" ca="1" si="11"/>
        <v>56310961.858900376</v>
      </c>
      <c r="J202" s="36"/>
      <c r="K202" s="5"/>
    </row>
    <row r="203" spans="1:11">
      <c r="A203" s="3">
        <v>43709</v>
      </c>
      <c r="C203" s="188">
        <f>+'Purchased Power Model '!C203</f>
        <v>81.58890848638967</v>
      </c>
      <c r="D203" s="188">
        <f ca="1">+'Purchased Power Model '!D203</f>
        <v>21.551303385523408</v>
      </c>
      <c r="E203" s="103">
        <f>+'Purchased Power Model '!E203</f>
        <v>7.5499999999999998E-2</v>
      </c>
      <c r="F203" s="57">
        <f>+'Purchased Power Model '!F203</f>
        <v>30</v>
      </c>
      <c r="G203" s="57">
        <f>+'Purchased Power Model '!G203</f>
        <v>1</v>
      </c>
      <c r="H203" s="191"/>
      <c r="I203" s="193">
        <f t="shared" ca="1" si="11"/>
        <v>56251242.421198063</v>
      </c>
      <c r="J203" s="36"/>
      <c r="K203" s="5"/>
    </row>
    <row r="204" spans="1:11">
      <c r="A204" s="3">
        <v>43739</v>
      </c>
      <c r="C204" s="188">
        <f>+'Purchased Power Model '!C204</f>
        <v>186.65785481875898</v>
      </c>
      <c r="D204" s="188">
        <f ca="1">+'Purchased Power Model '!D204</f>
        <v>4.1180834494630707</v>
      </c>
      <c r="E204" s="103">
        <f>+'Purchased Power Model '!E204</f>
        <v>7.5499999999999998E-2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3">
        <f t="shared" ca="1" si="11"/>
        <v>56402673.568356737</v>
      </c>
      <c r="J204" s="36"/>
      <c r="K204" s="5"/>
    </row>
    <row r="205" spans="1:11">
      <c r="A205" s="3">
        <v>43770</v>
      </c>
      <c r="C205" s="188">
        <f>+'Purchased Power Model '!C205</f>
        <v>387.33616389087268</v>
      </c>
      <c r="D205" s="188">
        <f ca="1">+'Purchased Power Model '!D205</f>
        <v>0</v>
      </c>
      <c r="E205" s="103">
        <f>+'Purchased Power Model '!E205</f>
        <v>7.5499999999999998E-2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3">
        <f t="shared" ca="1" si="11"/>
        <v>59096226.066150583</v>
      </c>
      <c r="J205" s="36"/>
      <c r="K205" s="5"/>
    </row>
    <row r="206" spans="1:11">
      <c r="A206" s="3">
        <v>43800</v>
      </c>
      <c r="C206" s="188">
        <f>+'Purchased Power Model '!C206</f>
        <v>399.32956451723641</v>
      </c>
      <c r="D206" s="188">
        <f ca="1">+'Purchased Power Model '!D206</f>
        <v>0</v>
      </c>
      <c r="E206" s="103">
        <f>+'Purchased Power Model '!E206</f>
        <v>7.5499999999999998E-2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3">
        <f t="shared" ca="1" si="11"/>
        <v>58944381.076803796</v>
      </c>
      <c r="J206" s="36"/>
      <c r="K206" s="5"/>
    </row>
    <row r="207" spans="1:11">
      <c r="A207" s="3"/>
      <c r="I207" s="11"/>
      <c r="J207" s="11"/>
      <c r="K207" s="11"/>
    </row>
    <row r="208" spans="1:11">
      <c r="A208" s="3"/>
      <c r="C208" s="18"/>
      <c r="D208" s="63" t="s">
        <v>60</v>
      </c>
      <c r="I208" s="47">
        <f ca="1">SUM(I3:I206)</f>
        <v>7996030803.184207</v>
      </c>
    </row>
    <row r="209" spans="1:11">
      <c r="A209" s="3"/>
      <c r="C209" s="23"/>
      <c r="D209" s="23"/>
      <c r="F209" s="180"/>
      <c r="G209" s="180"/>
      <c r="H209"/>
      <c r="I209" s="180"/>
      <c r="J209" s="36"/>
      <c r="K209" s="5" t="s">
        <v>196</v>
      </c>
    </row>
    <row r="210" spans="1:11">
      <c r="A210" s="16">
        <v>2003</v>
      </c>
      <c r="B210" s="6">
        <f>SUM(B3:B14)</f>
        <v>281244125.5</v>
      </c>
      <c r="C210" s="107"/>
      <c r="D210" s="23" t="s">
        <v>195</v>
      </c>
      <c r="E210" s="108" t="s">
        <v>107</v>
      </c>
      <c r="F210" s="180"/>
      <c r="G210" s="180"/>
      <c r="H210"/>
      <c r="I210" s="6">
        <f>SUM(I3:I14)</f>
        <v>325888817.97911716</v>
      </c>
      <c r="J210" s="36">
        <f>I210-B210</f>
        <v>44644692.479117155</v>
      </c>
      <c r="K210" s="5">
        <f>J210/B210</f>
        <v>0.15873999999021191</v>
      </c>
    </row>
    <row r="211" spans="1:11">
      <c r="A211">
        <v>2004</v>
      </c>
      <c r="B211" s="6">
        <f>SUM(B15:B26)</f>
        <v>360631980</v>
      </c>
      <c r="C211" s="107">
        <f>+B211-B210</f>
        <v>79387854.5</v>
      </c>
      <c r="D211" s="109">
        <f>+C211/B210</f>
        <v>0.28227382299581577</v>
      </c>
      <c r="E211" s="109">
        <f>RATE(1,0,-B$210,B211)</f>
        <v>0.28227382299581583</v>
      </c>
      <c r="F211" s="180"/>
      <c r="G211" s="180"/>
      <c r="H211"/>
      <c r="I211" s="6">
        <f>SUM(I15:I26)</f>
        <v>352806112.60326463</v>
      </c>
      <c r="J211" s="36">
        <f t="shared" ref="J211:J226" si="12">I211-B211</f>
        <v>-7825867.3967353702</v>
      </c>
      <c r="K211" s="5">
        <f t="shared" ref="K211:K226" si="13">J211/B211</f>
        <v>-2.1700425449610348E-2</v>
      </c>
    </row>
    <row r="212" spans="1:11">
      <c r="A212" s="16">
        <v>2005</v>
      </c>
      <c r="B212" s="6">
        <f>SUM(B27:B38)</f>
        <v>361962669</v>
      </c>
      <c r="C212" s="107">
        <f t="shared" ref="C212:C226" si="14">+B212-B211</f>
        <v>1330689</v>
      </c>
      <c r="D212" s="109">
        <f t="shared" ref="D212:D226" si="15">+C212/B211</f>
        <v>3.6898807476807797E-3</v>
      </c>
      <c r="E212" s="109">
        <f>RATE(2,0,-B$210,B212)</f>
        <v>0.13446254256742349</v>
      </c>
      <c r="F212" s="180"/>
      <c r="G212" s="180"/>
      <c r="H212"/>
      <c r="I212" s="6">
        <f>SUM(I27:I38)</f>
        <v>354815961.76462638</v>
      </c>
      <c r="J212" s="36">
        <f t="shared" si="12"/>
        <v>-7146707.2353736162</v>
      </c>
      <c r="K212" s="5">
        <f t="shared" si="13"/>
        <v>-1.9744321300088592E-2</v>
      </c>
    </row>
    <row r="213" spans="1:11">
      <c r="A213">
        <v>2006</v>
      </c>
      <c r="B213" s="6">
        <f>SUM(B39:B50)</f>
        <v>357086593</v>
      </c>
      <c r="C213" s="107">
        <f t="shared" si="14"/>
        <v>-4876076</v>
      </c>
      <c r="D213" s="109">
        <f t="shared" si="15"/>
        <v>-1.347121241389675E-2</v>
      </c>
      <c r="E213" s="109">
        <f>RATE(3,0,-B$210,B213)</f>
        <v>8.2837684740281109E-2</v>
      </c>
      <c r="F213" s="180"/>
      <c r="G213" s="180"/>
      <c r="H213"/>
      <c r="I213" s="6">
        <f>SUM(I39:I50)</f>
        <v>344683273.25991833</v>
      </c>
      <c r="J213" s="36">
        <f t="shared" si="12"/>
        <v>-12403319.740081668</v>
      </c>
      <c r="K213" s="5">
        <f t="shared" si="13"/>
        <v>-3.47347673735868E-2</v>
      </c>
    </row>
    <row r="214" spans="1:11">
      <c r="A214" s="16">
        <v>2007</v>
      </c>
      <c r="B214" s="6">
        <f>SUM(B51:B62)</f>
        <v>359144720</v>
      </c>
      <c r="C214" s="107">
        <f t="shared" si="14"/>
        <v>2058127</v>
      </c>
      <c r="D214" s="109">
        <f t="shared" si="15"/>
        <v>5.7636636052589068E-3</v>
      </c>
      <c r="E214" s="109">
        <f>RATE(4,0,-B$210,B214)</f>
        <v>6.3032412269245441E-2</v>
      </c>
      <c r="F214" s="180"/>
      <c r="G214" s="180"/>
      <c r="H214"/>
      <c r="I214" s="6">
        <f>SUM(I51:I62)</f>
        <v>338338149.65097803</v>
      </c>
      <c r="J214" s="36">
        <f t="shared" si="12"/>
        <v>-20806570.349021971</v>
      </c>
      <c r="K214" s="5">
        <f t="shared" si="13"/>
        <v>-5.7933666264178882E-2</v>
      </c>
    </row>
    <row r="215" spans="1:11">
      <c r="A215">
        <v>2008</v>
      </c>
      <c r="B215" s="6">
        <f>SUM(B63:B74)</f>
        <v>352632150</v>
      </c>
      <c r="C215" s="107">
        <f t="shared" si="14"/>
        <v>-6512570</v>
      </c>
      <c r="D215" s="109">
        <f t="shared" si="15"/>
        <v>-1.8133553515696958E-2</v>
      </c>
      <c r="E215" s="109">
        <f>RATE(5,0,-B$210,B215)</f>
        <v>4.6279434631659205E-2</v>
      </c>
      <c r="F215" s="180"/>
      <c r="G215" s="180"/>
      <c r="H215"/>
      <c r="I215" s="6">
        <f>SUM(I63:I74)</f>
        <v>326528919.63677514</v>
      </c>
      <c r="J215" s="36">
        <f t="shared" si="12"/>
        <v>-26103230.363224864</v>
      </c>
      <c r="K215" s="5">
        <f t="shared" si="13"/>
        <v>-7.402396623003564E-2</v>
      </c>
    </row>
    <row r="216" spans="1:11">
      <c r="A216" s="16">
        <v>2009</v>
      </c>
      <c r="B216" s="6">
        <f>SUM(B75:B86)</f>
        <v>349784301</v>
      </c>
      <c r="C216" s="107">
        <f t="shared" si="14"/>
        <v>-2847849</v>
      </c>
      <c r="D216" s="109">
        <f t="shared" si="15"/>
        <v>-8.0759766232318866E-3</v>
      </c>
      <c r="E216" s="109">
        <f>RATE(6,0,-B$210,B216)</f>
        <v>3.7017636058502966E-2</v>
      </c>
      <c r="F216" s="180"/>
      <c r="G216" s="180"/>
      <c r="H216"/>
      <c r="I216" s="6">
        <f>SUM(I75:I86)</f>
        <v>335716092.05009943</v>
      </c>
      <c r="J216" s="36">
        <f t="shared" si="12"/>
        <v>-14068208.949900568</v>
      </c>
      <c r="K216" s="5">
        <f t="shared" si="13"/>
        <v>-4.0219669406776973E-2</v>
      </c>
    </row>
    <row r="217" spans="1:11">
      <c r="A217">
        <v>2010</v>
      </c>
      <c r="B217" s="6">
        <f>SUM(B87:B98)</f>
        <v>355234224</v>
      </c>
      <c r="C217" s="107">
        <f t="shared" si="14"/>
        <v>5449923</v>
      </c>
      <c r="D217" s="109">
        <f t="shared" si="15"/>
        <v>1.5580810757999114E-2</v>
      </c>
      <c r="E217" s="109">
        <f>RATE(7,0,-B$210,B217)</f>
        <v>3.3927749416083189E-2</v>
      </c>
      <c r="F217" s="180"/>
      <c r="G217" s="180"/>
      <c r="H217"/>
      <c r="I217" s="6">
        <f>SUM(I87:I98)</f>
        <v>358301193.17682886</v>
      </c>
      <c r="J217" s="36">
        <f t="shared" si="12"/>
        <v>3066969.1768288612</v>
      </c>
      <c r="K217" s="5">
        <f t="shared" si="13"/>
        <v>8.633653430951127E-3</v>
      </c>
    </row>
    <row r="218" spans="1:11">
      <c r="A218">
        <v>2011</v>
      </c>
      <c r="B218" s="6">
        <f>SUM(B99:B110)</f>
        <v>359534375</v>
      </c>
      <c r="C218" s="107">
        <f t="shared" si="14"/>
        <v>4300151</v>
      </c>
      <c r="D218" s="109">
        <f t="shared" si="15"/>
        <v>1.2105114624316153E-2</v>
      </c>
      <c r="E218" s="109">
        <f>RATE(8,0,-B$210,B218)</f>
        <v>3.117439358182483E-2</v>
      </c>
      <c r="F218" s="180"/>
      <c r="G218" s="180"/>
      <c r="H218"/>
      <c r="I218" s="6">
        <f>SUM(I99:I110)</f>
        <v>351215412.40149748</v>
      </c>
      <c r="J218" s="36">
        <f t="shared" si="12"/>
        <v>-8318962.5985025167</v>
      </c>
      <c r="K218" s="5">
        <f t="shared" si="13"/>
        <v>-2.3138156396040065E-2</v>
      </c>
    </row>
    <row r="219" spans="1:11">
      <c r="A219">
        <v>2012</v>
      </c>
      <c r="B219" s="6">
        <f>SUM(B111:B122)</f>
        <v>338342507</v>
      </c>
      <c r="C219" s="107">
        <f t="shared" si="14"/>
        <v>-21191868</v>
      </c>
      <c r="D219" s="109">
        <f t="shared" si="15"/>
        <v>-5.894253644036123E-2</v>
      </c>
      <c r="E219" s="109">
        <f>RATE(9,0,-B$210,B219)</f>
        <v>2.0749635884770568E-2</v>
      </c>
      <c r="F219" s="180"/>
      <c r="G219" s="180"/>
      <c r="H219"/>
      <c r="I219" s="6">
        <f>SUM(I111:I122)</f>
        <v>360660326.91004407</v>
      </c>
      <c r="J219" s="36">
        <f t="shared" si="12"/>
        <v>22317819.910044074</v>
      </c>
      <c r="K219" s="5">
        <f t="shared" si="13"/>
        <v>6.5962211215879168E-2</v>
      </c>
    </row>
    <row r="220" spans="1:11">
      <c r="A220">
        <v>2013</v>
      </c>
      <c r="B220" s="6">
        <f>SUM(B123:B134)</f>
        <v>337123668</v>
      </c>
      <c r="C220" s="107">
        <f t="shared" si="14"/>
        <v>-1218839</v>
      </c>
      <c r="D220" s="109">
        <f t="shared" si="15"/>
        <v>-3.6023821269374231E-3</v>
      </c>
      <c r="E220" s="109">
        <f>RATE(10,0,-B$210,B220)</f>
        <v>1.8287888641059839E-2</v>
      </c>
      <c r="F220" s="180"/>
      <c r="G220" s="180"/>
      <c r="H220"/>
      <c r="I220" s="6">
        <f ca="1">SUM(I123:I134)</f>
        <v>363767053.06684959</v>
      </c>
      <c r="J220" s="36">
        <f t="shared" ca="1" si="12"/>
        <v>26643385.066849589</v>
      </c>
      <c r="K220" s="5">
        <f t="shared" ca="1" si="13"/>
        <v>7.9031487836236966E-2</v>
      </c>
    </row>
    <row r="221" spans="1:11">
      <c r="A221">
        <v>2014</v>
      </c>
      <c r="B221" s="6">
        <f ca="1">+I221</f>
        <v>698020303.51779246</v>
      </c>
      <c r="C221" s="107">
        <f t="shared" ca="1" si="14"/>
        <v>360896635.51779246</v>
      </c>
      <c r="D221" s="109">
        <f t="shared" ca="1" si="15"/>
        <v>1.0705170528632018</v>
      </c>
      <c r="E221" s="109">
        <f ca="1">RATE(11,0,-B$210,B221)</f>
        <v>8.6149255054945723E-2</v>
      </c>
      <c r="F221" s="103"/>
      <c r="G221" s="180"/>
      <c r="H221"/>
      <c r="I221" s="6">
        <f ca="1">SUM(I135:I146)</f>
        <v>698020303.51779246</v>
      </c>
      <c r="J221" s="36">
        <f t="shared" ca="1" si="12"/>
        <v>0</v>
      </c>
      <c r="K221" s="5">
        <f t="shared" ca="1" si="13"/>
        <v>0</v>
      </c>
    </row>
    <row r="222" spans="1:11">
      <c r="A222">
        <v>2015</v>
      </c>
      <c r="B222" s="6">
        <f t="shared" ref="B222:B226" ca="1" si="16">+I222</f>
        <v>697741757.91589522</v>
      </c>
      <c r="C222" s="107">
        <f t="shared" ca="1" si="14"/>
        <v>-278545.60189723969</v>
      </c>
      <c r="D222" s="109">
        <f t="shared" ca="1" si="15"/>
        <v>-3.9905085925647372E-4</v>
      </c>
      <c r="E222" s="109">
        <f ca="1">RATE(12,0,-B$210,B222)</f>
        <v>7.86592479325528E-2</v>
      </c>
      <c r="F222" s="103"/>
      <c r="G222" s="180"/>
      <c r="H222"/>
      <c r="I222" s="6">
        <f ca="1">SUM(I147:I158)</f>
        <v>697741757.91589522</v>
      </c>
      <c r="J222" s="36">
        <f t="shared" ca="1" si="12"/>
        <v>0</v>
      </c>
      <c r="K222" s="5">
        <f t="shared" ca="1" si="13"/>
        <v>0</v>
      </c>
    </row>
    <row r="223" spans="1:11">
      <c r="A223">
        <v>2016</v>
      </c>
      <c r="B223" s="6">
        <f t="shared" ca="1" si="16"/>
        <v>696829065.91990697</v>
      </c>
      <c r="C223" s="107">
        <f t="shared" ca="1" si="14"/>
        <v>-912691.99598824978</v>
      </c>
      <c r="D223" s="109">
        <f t="shared" ca="1" si="15"/>
        <v>-1.3080656068434194E-3</v>
      </c>
      <c r="E223" s="109">
        <f ca="1">RATE(13,0,-B$210,B223)</f>
        <v>7.2286860837224604E-2</v>
      </c>
      <c r="F223" s="103"/>
      <c r="G223" s="180"/>
      <c r="H223"/>
      <c r="I223" s="6">
        <f ca="1">SUM(I159:I170)</f>
        <v>696829065.91990697</v>
      </c>
      <c r="J223" s="36">
        <f t="shared" ca="1" si="12"/>
        <v>0</v>
      </c>
      <c r="K223" s="5">
        <f t="shared" ca="1" si="13"/>
        <v>0</v>
      </c>
    </row>
    <row r="224" spans="1:11">
      <c r="A224">
        <v>2017</v>
      </c>
      <c r="B224" s="6">
        <f t="shared" ca="1" si="16"/>
        <v>697184666.71210098</v>
      </c>
      <c r="C224" s="107">
        <f t="shared" ca="1" si="14"/>
        <v>355600.79219400883</v>
      </c>
      <c r="D224" s="109">
        <f t="shared" ca="1" si="15"/>
        <v>5.103128006357894E-4</v>
      </c>
      <c r="E224" s="109">
        <f ca="1">RATE(14,0,-B$210,B224)</f>
        <v>6.6993418312527475E-2</v>
      </c>
      <c r="F224" s="103"/>
      <c r="G224" s="180"/>
      <c r="H224"/>
      <c r="I224" s="6">
        <f ca="1">SUM(I171:I182)</f>
        <v>697184666.71210098</v>
      </c>
      <c r="J224" s="36">
        <f t="shared" ca="1" si="12"/>
        <v>0</v>
      </c>
      <c r="K224" s="5">
        <f t="shared" ca="1" si="13"/>
        <v>0</v>
      </c>
    </row>
    <row r="225" spans="1:11">
      <c r="A225">
        <v>2018</v>
      </c>
      <c r="B225" s="6">
        <f t="shared" ca="1" si="16"/>
        <v>696906121.11020386</v>
      </c>
      <c r="C225" s="107">
        <f t="shared" ca="1" si="14"/>
        <v>-278545.60189712048</v>
      </c>
      <c r="D225" s="109">
        <f t="shared" ca="1" si="15"/>
        <v>-3.9952915661603977E-4</v>
      </c>
      <c r="E225" s="109">
        <f ca="1">RATE(15,0,-B$210,B225)</f>
        <v>6.2362473114988104E-2</v>
      </c>
      <c r="F225" s="103"/>
      <c r="G225" s="180"/>
      <c r="H225"/>
      <c r="I225" s="6">
        <f ca="1">SUM(I183:I194)</f>
        <v>696906121.11020386</v>
      </c>
      <c r="J225" s="36">
        <f t="shared" ca="1" si="12"/>
        <v>0</v>
      </c>
      <c r="K225" s="5">
        <f t="shared" ca="1" si="13"/>
        <v>0</v>
      </c>
    </row>
    <row r="226" spans="1:11">
      <c r="A226">
        <v>2019</v>
      </c>
      <c r="B226" s="6">
        <f t="shared" ca="1" si="16"/>
        <v>696627575.5083065</v>
      </c>
      <c r="C226" s="107">
        <f t="shared" ca="1" si="14"/>
        <v>-278545.60189735889</v>
      </c>
      <c r="D226" s="109">
        <f t="shared" ca="1" si="15"/>
        <v>-3.9968884396311916E-4</v>
      </c>
      <c r="E226" s="109">
        <f ca="1">RATE(16,0,-B$210,B226)</f>
        <v>5.8326876063945585E-2</v>
      </c>
      <c r="F226" s="103"/>
      <c r="G226" s="180"/>
      <c r="H226"/>
      <c r="I226" s="6">
        <f ca="1">SUM(I195:I206)</f>
        <v>696627575.5083065</v>
      </c>
      <c r="J226" s="36">
        <f t="shared" ca="1" si="12"/>
        <v>0</v>
      </c>
      <c r="K226" s="5">
        <f t="shared" ca="1" si="13"/>
        <v>0</v>
      </c>
    </row>
    <row r="227" spans="1:11">
      <c r="C227" s="101"/>
      <c r="D227" s="180"/>
      <c r="F227" s="180"/>
      <c r="G227" s="180"/>
      <c r="H227"/>
      <c r="J227" s="180"/>
      <c r="K227" s="180"/>
    </row>
    <row r="228" spans="1:11">
      <c r="A228" t="s">
        <v>9</v>
      </c>
      <c r="B228" s="6">
        <f ca="1">SUM(B210:B226)</f>
        <v>7996030803.184206</v>
      </c>
      <c r="C228" s="101"/>
      <c r="D228" s="180"/>
      <c r="F228" s="180"/>
      <c r="G228" s="180"/>
      <c r="H228"/>
      <c r="I228" s="6">
        <f ca="1">SUM(I210:I226)</f>
        <v>7996030803.1842051</v>
      </c>
      <c r="J228" s="184">
        <f ca="1">I228-B228</f>
        <v>0</v>
      </c>
      <c r="K228" s="180"/>
    </row>
    <row r="229" spans="1:11">
      <c r="C229" s="180"/>
      <c r="D229" s="180"/>
      <c r="F229" s="180"/>
      <c r="G229" s="180"/>
      <c r="H229"/>
      <c r="I229" s="180"/>
      <c r="J229" s="62"/>
      <c r="K229" s="180"/>
    </row>
    <row r="230" spans="1:11">
      <c r="C230" s="180"/>
      <c r="D230" s="180"/>
      <c r="F230" s="180"/>
      <c r="G230" s="180"/>
      <c r="H230"/>
      <c r="I230" s="6">
        <f ca="1">SUM(I210:I226)</f>
        <v>7996030803.1842051</v>
      </c>
      <c r="J230" s="184">
        <f ca="1">I208-I230</f>
        <v>0</v>
      </c>
      <c r="K230" s="180"/>
    </row>
    <row r="231" spans="1:11">
      <c r="C231" s="180"/>
      <c r="D231" s="180"/>
      <c r="F231" s="180"/>
      <c r="G231" s="180"/>
      <c r="H231"/>
      <c r="I231" s="23"/>
      <c r="J231" s="185" t="s">
        <v>69</v>
      </c>
      <c r="K231" s="18"/>
    </row>
    <row r="243" spans="9:11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44"/>
  <sheetViews>
    <sheetView workbookViewId="0"/>
  </sheetViews>
  <sheetFormatPr defaultRowHeight="13.2"/>
  <cols>
    <col min="1" max="1" width="11.8867187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4" customWidth="1"/>
    <col min="6" max="6" width="10.109375" style="1" customWidth="1"/>
    <col min="7" max="8" width="12.44140625" style="1" customWidth="1"/>
    <col min="9" max="9" width="14" style="6" bestFit="1" customWidth="1"/>
    <col min="10" max="10" width="21" style="6" customWidth="1"/>
    <col min="11" max="11" width="11.5546875" style="6" customWidth="1"/>
    <col min="12" max="12" width="9.33203125" style="6" customWidth="1"/>
    <col min="13" max="13" width="27.33203125" style="6" bestFit="1" customWidth="1"/>
    <col min="14" max="14" width="14.5546875" style="6" bestFit="1" customWidth="1"/>
    <col min="15" max="15" width="22.88671875" style="6" bestFit="1" customWidth="1"/>
    <col min="16" max="16" width="21.88671875" style="6" bestFit="1" customWidth="1"/>
    <col min="17" max="17" width="9.6640625" style="6" bestFit="1" customWidth="1"/>
    <col min="18" max="18" width="14.6640625" bestFit="1" customWidth="1"/>
    <col min="19" max="19" width="14.33203125" bestFit="1" customWidth="1"/>
    <col min="20" max="20" width="14.6640625" bestFit="1" customWidth="1"/>
    <col min="21" max="21" width="14.33203125" bestFit="1" customWidth="1"/>
  </cols>
  <sheetData>
    <row r="2" spans="1:18" ht="42" customHeight="1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80"/>
      <c r="M2" t="s">
        <v>18</v>
      </c>
      <c r="N2"/>
      <c r="O2"/>
      <c r="P2"/>
      <c r="Q2"/>
    </row>
    <row r="3" spans="1:18" ht="13.8" thickBot="1">
      <c r="A3" s="3">
        <v>37622</v>
      </c>
      <c r="B3" s="59">
        <v>8229409</v>
      </c>
      <c r="C3" s="186">
        <f>+'Purchased Power Model '!C3</f>
        <v>786</v>
      </c>
      <c r="D3" s="186">
        <f>+'Purchased Power Model '!D3</f>
        <v>0</v>
      </c>
      <c r="E3" s="103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42">
        <v>5</v>
      </c>
      <c r="I3" s="193">
        <f>$N$18+C3*$N$19+D3*$N$20+E3*$N$21+F3*$N$22+G3*$N$23+H3*$N$24</f>
        <v>5984641.3984369971</v>
      </c>
      <c r="J3" s="36">
        <f>I3-B3</f>
        <v>-2244767.6015630029</v>
      </c>
      <c r="K3" s="5">
        <f>J3/B3</f>
        <v>-0.2727738530875064</v>
      </c>
      <c r="M3"/>
      <c r="N3"/>
      <c r="O3"/>
      <c r="P3"/>
      <c r="Q3"/>
    </row>
    <row r="4" spans="1:18">
      <c r="A4" s="3">
        <v>37653</v>
      </c>
      <c r="B4" s="59">
        <v>9779589</v>
      </c>
      <c r="C4" s="186">
        <f>+'Purchased Power Model '!C4</f>
        <v>686.5</v>
      </c>
      <c r="D4" s="186">
        <f>+'Purchased Power Model '!D4</f>
        <v>0</v>
      </c>
      <c r="E4" s="103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42">
        <v>5</v>
      </c>
      <c r="I4" s="193">
        <f t="shared" ref="I4:I67" si="0">$N$18+C4*$N$19+D4*$N$20+E4*$N$21+F4*$N$22+G4*$N$23+H4*$N$24</f>
        <v>6812435.2636933951</v>
      </c>
      <c r="J4" s="36">
        <f t="shared" ref="J4:J67" si="1">I4-B4</f>
        <v>-2967153.7363066049</v>
      </c>
      <c r="K4" s="5">
        <f t="shared" ref="K4:K67" si="2">J4/B4</f>
        <v>-0.30340270294657629</v>
      </c>
      <c r="M4" s="53" t="s">
        <v>19</v>
      </c>
      <c r="N4" s="53"/>
      <c r="O4"/>
      <c r="P4"/>
      <c r="Q4"/>
    </row>
    <row r="5" spans="1:18">
      <c r="A5" s="3">
        <v>37681</v>
      </c>
      <c r="B5" s="59">
        <v>7995083</v>
      </c>
      <c r="C5" s="186">
        <f>+'Purchased Power Model '!C5</f>
        <v>572.5</v>
      </c>
      <c r="D5" s="186">
        <f>+'Purchased Power Model '!D5</f>
        <v>0</v>
      </c>
      <c r="E5" s="103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42">
        <v>5</v>
      </c>
      <c r="I5" s="193">
        <f t="shared" si="0"/>
        <v>5722988.7216270613</v>
      </c>
      <c r="J5" s="36">
        <f t="shared" si="1"/>
        <v>-2272094.2783729387</v>
      </c>
      <c r="K5" s="5">
        <f t="shared" si="2"/>
        <v>-0.28418645289522809</v>
      </c>
      <c r="M5" s="35" t="s">
        <v>20</v>
      </c>
      <c r="N5" s="95">
        <v>0.39766862727777613</v>
      </c>
      <c r="O5"/>
      <c r="P5"/>
      <c r="Q5"/>
    </row>
    <row r="6" spans="1:18">
      <c r="A6" s="3">
        <v>37712</v>
      </c>
      <c r="B6" s="59">
        <v>6998857.7618016768</v>
      </c>
      <c r="C6" s="186">
        <f>+'Purchased Power Model '!C6</f>
        <v>403.9</v>
      </c>
      <c r="D6" s="186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</v>
      </c>
      <c r="I6" s="193">
        <f t="shared" si="0"/>
        <v>6222066.1254342739</v>
      </c>
      <c r="J6" s="36">
        <f t="shared" si="1"/>
        <v>-776791.63636740297</v>
      </c>
      <c r="K6" s="5">
        <f t="shared" si="2"/>
        <v>-0.11098834449915122</v>
      </c>
      <c r="M6" s="35" t="s">
        <v>21</v>
      </c>
      <c r="N6" s="95">
        <v>0.15814033712099082</v>
      </c>
      <c r="O6"/>
      <c r="P6"/>
      <c r="Q6"/>
    </row>
    <row r="7" spans="1:18">
      <c r="A7" s="3">
        <v>37742</v>
      </c>
      <c r="B7" s="59">
        <v>6912468.2381983213</v>
      </c>
      <c r="C7" s="186">
        <f>+'Purchased Power Model '!C7</f>
        <v>192</v>
      </c>
      <c r="D7" s="186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</v>
      </c>
      <c r="I7" s="193">
        <f t="shared" si="0"/>
        <v>6702831.6607205207</v>
      </c>
      <c r="J7" s="36">
        <f t="shared" si="1"/>
        <v>-209636.57747780066</v>
      </c>
      <c r="K7" s="5">
        <f t="shared" si="2"/>
        <v>-3.0327311497700384E-2</v>
      </c>
      <c r="M7" s="35" t="s">
        <v>22</v>
      </c>
      <c r="N7" s="95">
        <v>0.11773107330279839</v>
      </c>
      <c r="O7"/>
      <c r="P7"/>
      <c r="Q7"/>
    </row>
    <row r="8" spans="1:18">
      <c r="A8" s="3">
        <v>37773</v>
      </c>
      <c r="B8" s="59">
        <v>13464334</v>
      </c>
      <c r="C8" s="186">
        <f>+'Purchased Power Model '!C8</f>
        <v>55.1</v>
      </c>
      <c r="D8" s="186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</v>
      </c>
      <c r="I8" s="193">
        <f t="shared" si="0"/>
        <v>7819884.4569316553</v>
      </c>
      <c r="J8" s="36">
        <f t="shared" si="1"/>
        <v>-5644449.5430683447</v>
      </c>
      <c r="K8" s="5">
        <f t="shared" si="2"/>
        <v>-0.41921490829537833</v>
      </c>
      <c r="M8" s="35" t="s">
        <v>23</v>
      </c>
      <c r="N8" s="67">
        <v>1509700.8287170427</v>
      </c>
      <c r="O8"/>
      <c r="P8"/>
      <c r="Q8"/>
    </row>
    <row r="9" spans="1:18" ht="13.8" thickBot="1">
      <c r="A9" s="3">
        <v>37803</v>
      </c>
      <c r="B9" s="59">
        <v>9650306</v>
      </c>
      <c r="C9" s="186">
        <f>+'Purchased Power Model '!C9</f>
        <v>5.7</v>
      </c>
      <c r="D9" s="186">
        <f>+'Purchased Power Model '!D9</f>
        <v>59.1</v>
      </c>
      <c r="E9" s="103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42">
        <v>5</v>
      </c>
      <c r="I9" s="193">
        <f t="shared" si="0"/>
        <v>7522943.9735945296</v>
      </c>
      <c r="J9" s="36">
        <f t="shared" si="1"/>
        <v>-2127362.0264054704</v>
      </c>
      <c r="K9" s="5">
        <f t="shared" si="2"/>
        <v>-0.22044503318397057</v>
      </c>
      <c r="M9" s="51" t="s">
        <v>24</v>
      </c>
      <c r="N9" s="68">
        <v>132</v>
      </c>
      <c r="O9"/>
      <c r="P9"/>
      <c r="Q9"/>
    </row>
    <row r="10" spans="1:18">
      <c r="A10" s="3">
        <v>37834</v>
      </c>
      <c r="B10" s="59">
        <v>8699071</v>
      </c>
      <c r="C10" s="186">
        <f>+'Purchased Power Model '!C10</f>
        <v>10.4</v>
      </c>
      <c r="D10" s="186">
        <f>+'Purchased Power Model '!D10</f>
        <v>106.5</v>
      </c>
      <c r="E10" s="103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42">
        <v>5</v>
      </c>
      <c r="I10" s="193">
        <f t="shared" si="0"/>
        <v>6896729.609453097</v>
      </c>
      <c r="J10" s="36">
        <f t="shared" si="1"/>
        <v>-1802341.390546903</v>
      </c>
      <c r="K10" s="5">
        <f t="shared" si="2"/>
        <v>-0.20718780092114469</v>
      </c>
      <c r="M10"/>
      <c r="N10"/>
      <c r="O10"/>
      <c r="P10"/>
      <c r="Q10"/>
    </row>
    <row r="11" spans="1:18" ht="13.8" thickBot="1">
      <c r="A11" s="3">
        <v>37865</v>
      </c>
      <c r="B11" s="59">
        <v>11567404</v>
      </c>
      <c r="C11" s="186">
        <f>+'Purchased Power Model '!C11</f>
        <v>55.2</v>
      </c>
      <c r="D11" s="186">
        <f>+'Purchased Power Model '!D11</f>
        <v>12.1</v>
      </c>
      <c r="E11" s="103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42">
        <v>5</v>
      </c>
      <c r="I11" s="193">
        <f t="shared" si="0"/>
        <v>7229283.4033097774</v>
      </c>
      <c r="J11" s="36">
        <f t="shared" si="1"/>
        <v>-4338120.5966902226</v>
      </c>
      <c r="K11" s="5">
        <f t="shared" si="2"/>
        <v>-0.37502974709712072</v>
      </c>
      <c r="M11" t="s">
        <v>25</v>
      </c>
      <c r="N11"/>
      <c r="O11"/>
      <c r="P11"/>
      <c r="Q11"/>
    </row>
    <row r="12" spans="1:18">
      <c r="A12" s="3">
        <v>37895</v>
      </c>
      <c r="B12" s="59">
        <v>4595061</v>
      </c>
      <c r="C12" s="186">
        <f>+'Purchased Power Model '!C12</f>
        <v>289.7</v>
      </c>
      <c r="D12" s="186">
        <f>+'Purchased Power Model '!D12</f>
        <v>0</v>
      </c>
      <c r="E12" s="103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42">
        <v>5</v>
      </c>
      <c r="I12" s="193">
        <f t="shared" si="0"/>
        <v>6596195.4480026877</v>
      </c>
      <c r="J12" s="36">
        <f t="shared" si="1"/>
        <v>2001134.4480026877</v>
      </c>
      <c r="K12" s="5">
        <f t="shared" si="2"/>
        <v>0.43549681886762498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>
      <c r="A13" s="3">
        <v>37926</v>
      </c>
      <c r="B13" s="59">
        <v>4221034</v>
      </c>
      <c r="C13" s="186">
        <f>+'Purchased Power Model '!C13</f>
        <v>387.6</v>
      </c>
      <c r="D13" s="186">
        <f>+'Purchased Power Model '!D13</f>
        <v>0</v>
      </c>
      <c r="E13" s="103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42">
        <v>5</v>
      </c>
      <c r="I13" s="193">
        <f t="shared" si="0"/>
        <v>6467429.7953431085</v>
      </c>
      <c r="J13" s="36">
        <f t="shared" si="1"/>
        <v>2246395.7953431085</v>
      </c>
      <c r="K13" s="5">
        <f t="shared" si="2"/>
        <v>0.53219087914077656</v>
      </c>
      <c r="M13" s="35" t="s">
        <v>26</v>
      </c>
      <c r="N13" s="67">
        <v>6</v>
      </c>
      <c r="O13" s="67">
        <v>53517369544034.187</v>
      </c>
      <c r="P13" s="67">
        <v>8919561590672.3652</v>
      </c>
      <c r="Q13" s="67">
        <v>3.913467412633123</v>
      </c>
      <c r="R13" s="67">
        <v>1.2861945396860899E-3</v>
      </c>
    </row>
    <row r="14" spans="1:18">
      <c r="A14" s="3">
        <v>37956</v>
      </c>
      <c r="B14" s="59">
        <v>4059474</v>
      </c>
      <c r="C14" s="186">
        <f>+'Purchased Power Model '!C14</f>
        <v>548.20000000000005</v>
      </c>
      <c r="D14" s="186">
        <f>+'Purchased Power Model '!D14</f>
        <v>0</v>
      </c>
      <c r="E14" s="103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42">
        <v>5</v>
      </c>
      <c r="I14" s="193">
        <f t="shared" si="0"/>
        <v>6718900.8027231488</v>
      </c>
      <c r="J14" s="36">
        <f t="shared" si="1"/>
        <v>2659426.8027231488</v>
      </c>
      <c r="K14" s="5">
        <f t="shared" si="2"/>
        <v>0.6551161068461453</v>
      </c>
      <c r="M14" s="35" t="s">
        <v>27</v>
      </c>
      <c r="N14" s="67">
        <v>125</v>
      </c>
      <c r="O14" s="67">
        <v>284899574028615.75</v>
      </c>
      <c r="P14" s="67">
        <v>2279196592228.9258</v>
      </c>
      <c r="Q14" s="67"/>
      <c r="R14" s="67"/>
    </row>
    <row r="15" spans="1:18" ht="13.8" thickBot="1">
      <c r="A15" s="3">
        <v>37987</v>
      </c>
      <c r="B15" s="59">
        <v>3965865</v>
      </c>
      <c r="C15" s="186">
        <f>+'Purchased Power Model '!C15</f>
        <v>828.8</v>
      </c>
      <c r="D15" s="186">
        <f>+'Purchased Power Model '!D15</f>
        <v>0</v>
      </c>
      <c r="E15" s="103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42">
        <v>5</v>
      </c>
      <c r="I15" s="193">
        <f t="shared" si="0"/>
        <v>5787475.7691619787</v>
      </c>
      <c r="J15" s="36">
        <f t="shared" si="1"/>
        <v>1821610.7691619787</v>
      </c>
      <c r="K15" s="5">
        <f t="shared" si="2"/>
        <v>0.45932243512121029</v>
      </c>
      <c r="M15" s="51" t="s">
        <v>9</v>
      </c>
      <c r="N15" s="68">
        <v>131</v>
      </c>
      <c r="O15" s="68">
        <v>338416943572649.94</v>
      </c>
      <c r="P15" s="68"/>
      <c r="Q15" s="68"/>
      <c r="R15" s="68"/>
    </row>
    <row r="16" spans="1:18" ht="13.8" thickBot="1">
      <c r="A16" s="3">
        <v>38018</v>
      </c>
      <c r="B16" s="59">
        <v>4712592</v>
      </c>
      <c r="C16" s="186">
        <f>+'Purchased Power Model '!C16</f>
        <v>615.6</v>
      </c>
      <c r="D16" s="186">
        <f>+'Purchased Power Model '!D16</f>
        <v>0</v>
      </c>
      <c r="E16" s="103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42">
        <v>5</v>
      </c>
      <c r="I16" s="193">
        <f t="shared" si="0"/>
        <v>6792821.2357227029</v>
      </c>
      <c r="J16" s="36">
        <f t="shared" si="1"/>
        <v>2080229.2357227029</v>
      </c>
      <c r="K16" s="5">
        <f t="shared" si="2"/>
        <v>0.4414193369005216</v>
      </c>
      <c r="M16"/>
      <c r="N16"/>
      <c r="O16"/>
      <c r="P16"/>
      <c r="Q16"/>
    </row>
    <row r="17" spans="1:21">
      <c r="A17" s="3">
        <v>38047</v>
      </c>
      <c r="B17" s="59">
        <v>4424709</v>
      </c>
      <c r="C17" s="186">
        <f>+'Purchased Power Model '!C17</f>
        <v>487.1</v>
      </c>
      <c r="D17" s="186">
        <f>+'Purchased Power Model '!D17</f>
        <v>0</v>
      </c>
      <c r="E17" s="103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42">
        <v>5</v>
      </c>
      <c r="I17" s="193">
        <f t="shared" si="0"/>
        <v>5921668.5743936105</v>
      </c>
      <c r="J17" s="36">
        <f t="shared" si="1"/>
        <v>1496959.5743936105</v>
      </c>
      <c r="K17" s="5">
        <f t="shared" si="2"/>
        <v>0.33831819773766147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>
      <c r="A18" s="3">
        <v>38078</v>
      </c>
      <c r="B18" s="59">
        <v>4715043</v>
      </c>
      <c r="C18" s="186">
        <f>+'Purchased Power Model '!C18</f>
        <v>345</v>
      </c>
      <c r="D18" s="186">
        <f>+'Purchased Power Model '!D18</f>
        <v>0</v>
      </c>
      <c r="E18" s="103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42">
        <v>5</v>
      </c>
      <c r="I18" s="193">
        <f t="shared" si="0"/>
        <v>6447273.5897091106</v>
      </c>
      <c r="J18" s="36">
        <f t="shared" si="1"/>
        <v>1732230.5897091106</v>
      </c>
      <c r="K18" s="5">
        <f t="shared" si="2"/>
        <v>0.36738383715887862</v>
      </c>
      <c r="M18" s="35" t="s">
        <v>28</v>
      </c>
      <c r="N18" s="67">
        <v>13977572.650977213</v>
      </c>
      <c r="O18" s="67">
        <v>5183847.5761087816</v>
      </c>
      <c r="P18" s="67">
        <v>2.6963703013562328</v>
      </c>
      <c r="Q18" s="67">
        <v>7.9764391078777936E-3</v>
      </c>
      <c r="R18" s="67">
        <v>3718094.9335222002</v>
      </c>
      <c r="S18" s="67">
        <v>24237050.368432224</v>
      </c>
      <c r="T18" s="67">
        <v>3718094.9335222002</v>
      </c>
      <c r="U18" s="67">
        <v>24237050.368432224</v>
      </c>
    </row>
    <row r="19" spans="1:21">
      <c r="A19" s="3">
        <v>38108</v>
      </c>
      <c r="B19" s="59">
        <v>4535525</v>
      </c>
      <c r="C19" s="186">
        <f>+'Purchased Power Model '!C19</f>
        <v>177.5</v>
      </c>
      <c r="D19" s="186">
        <f>+'Purchased Power Model '!D19</f>
        <v>0</v>
      </c>
      <c r="E19" s="103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42">
        <v>5</v>
      </c>
      <c r="I19" s="193">
        <f t="shared" si="0"/>
        <v>6790944.4338670755</v>
      </c>
      <c r="J19" s="36">
        <f t="shared" si="1"/>
        <v>2255419.4338670755</v>
      </c>
      <c r="K19" s="5">
        <f t="shared" si="2"/>
        <v>0.49727858050988044</v>
      </c>
      <c r="M19" s="35" t="s">
        <v>3</v>
      </c>
      <c r="N19" s="67">
        <v>-3087.7182686549727</v>
      </c>
      <c r="O19" s="67">
        <v>826.74852804052477</v>
      </c>
      <c r="P19" s="67">
        <v>-3.7347732278074548</v>
      </c>
      <c r="Q19" s="67">
        <v>2.8425301336588489E-4</v>
      </c>
      <c r="R19" s="67">
        <v>-4723.9562129306132</v>
      </c>
      <c r="S19" s="67">
        <v>-1451.4803243793322</v>
      </c>
      <c r="T19" s="67">
        <v>-4723.9562129306132</v>
      </c>
      <c r="U19" s="67">
        <v>-1451.4803243793322</v>
      </c>
    </row>
    <row r="20" spans="1:21">
      <c r="A20" s="3">
        <v>38139</v>
      </c>
      <c r="B20" s="59">
        <v>4710606</v>
      </c>
      <c r="C20" s="186">
        <f>+'Purchased Power Model '!C20</f>
        <v>73.2</v>
      </c>
      <c r="D20" s="186">
        <f>+'Purchased Power Model '!D20</f>
        <v>15.6</v>
      </c>
      <c r="E20" s="103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42">
        <v>6</v>
      </c>
      <c r="I20" s="193">
        <f t="shared" si="0"/>
        <v>8172417.5509972088</v>
      </c>
      <c r="J20" s="36">
        <f t="shared" si="1"/>
        <v>3461811.5509972088</v>
      </c>
      <c r="K20" s="5">
        <f t="shared" si="2"/>
        <v>0.73489728306659674</v>
      </c>
      <c r="M20" s="35" t="s">
        <v>4</v>
      </c>
      <c r="N20" s="67">
        <v>-12905.107347653086</v>
      </c>
      <c r="O20" s="67">
        <v>6112.4565575804036</v>
      </c>
      <c r="P20" s="67">
        <v>-2.1112800109227332</v>
      </c>
      <c r="Q20" s="67">
        <v>3.6739795118637154E-2</v>
      </c>
      <c r="R20" s="67">
        <v>-25002.417488566061</v>
      </c>
      <c r="S20" s="67">
        <v>-807.79720674010787</v>
      </c>
      <c r="T20" s="67">
        <v>-25002.417488566061</v>
      </c>
      <c r="U20" s="67">
        <v>-807.79720674010787</v>
      </c>
    </row>
    <row r="21" spans="1:21">
      <c r="A21" s="3">
        <v>38169</v>
      </c>
      <c r="B21" s="59">
        <v>4855687</v>
      </c>
      <c r="C21" s="186">
        <f>+'Purchased Power Model '!C21</f>
        <v>2</v>
      </c>
      <c r="D21" s="186">
        <f>+'Purchased Power Model '!D21</f>
        <v>69.3</v>
      </c>
      <c r="E21" s="103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42">
        <v>6</v>
      </c>
      <c r="I21" s="193">
        <f t="shared" si="0"/>
        <v>7504066.432189201</v>
      </c>
      <c r="J21" s="36">
        <f t="shared" si="1"/>
        <v>2648379.432189201</v>
      </c>
      <c r="K21" s="5">
        <f t="shared" si="2"/>
        <v>0.54541807002576592</v>
      </c>
      <c r="M21" s="35" t="s">
        <v>218</v>
      </c>
      <c r="N21" s="67">
        <v>-21670429.125528928</v>
      </c>
      <c r="O21" s="67">
        <v>13324833.298967447</v>
      </c>
      <c r="P21" s="67">
        <v>-1.6263189669478408</v>
      </c>
      <c r="Q21" s="67">
        <v>0.10640026263941271</v>
      </c>
      <c r="R21" s="67">
        <v>-48041927.96156846</v>
      </c>
      <c r="S21" s="67">
        <v>4701069.7105106041</v>
      </c>
      <c r="T21" s="67">
        <v>-48041927.96156846</v>
      </c>
      <c r="U21" s="67">
        <v>4701069.7105106041</v>
      </c>
    </row>
    <row r="22" spans="1:21">
      <c r="A22" s="3">
        <v>38200</v>
      </c>
      <c r="B22" s="59">
        <v>7779324</v>
      </c>
      <c r="C22" s="186">
        <f>+'Purchased Power Model '!C22</f>
        <v>19.600000000000001</v>
      </c>
      <c r="D22" s="186">
        <f>+'Purchased Power Model '!D22</f>
        <v>53.6</v>
      </c>
      <c r="E22" s="103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42">
        <v>6</v>
      </c>
      <c r="I22" s="193">
        <f t="shared" si="0"/>
        <v>7652332.7760190284</v>
      </c>
      <c r="J22" s="36">
        <f t="shared" si="1"/>
        <v>-126991.22398097161</v>
      </c>
      <c r="K22" s="5">
        <f t="shared" si="2"/>
        <v>-1.632419783273863E-2</v>
      </c>
      <c r="M22" s="35" t="s">
        <v>5</v>
      </c>
      <c r="N22" s="67">
        <v>-173521.96584174255</v>
      </c>
      <c r="O22" s="67">
        <v>169547.78794667605</v>
      </c>
      <c r="P22" s="67">
        <v>-1.0234398687425896</v>
      </c>
      <c r="Q22" s="67">
        <v>0.30807648300287183</v>
      </c>
      <c r="R22" s="67">
        <v>-509078.08066648291</v>
      </c>
      <c r="S22" s="67">
        <v>162034.14898299784</v>
      </c>
      <c r="T22" s="67">
        <v>-509078.08066648291</v>
      </c>
      <c r="U22" s="67">
        <v>162034.14898299784</v>
      </c>
    </row>
    <row r="23" spans="1:21">
      <c r="A23" s="3">
        <v>38231</v>
      </c>
      <c r="B23" s="59">
        <v>7343101</v>
      </c>
      <c r="C23" s="186">
        <f>+'Purchased Power Model '!C23</f>
        <v>41.7</v>
      </c>
      <c r="D23" s="186">
        <f>+'Purchased Power Model '!D23</f>
        <v>26.7</v>
      </c>
      <c r="E23" s="103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42">
        <v>6</v>
      </c>
      <c r="I23" s="193">
        <f t="shared" si="0"/>
        <v>7183883.0286075929</v>
      </c>
      <c r="J23" s="36">
        <f t="shared" si="1"/>
        <v>-159217.97139240708</v>
      </c>
      <c r="K23" s="5">
        <f t="shared" si="2"/>
        <v>-2.168266123432145E-2</v>
      </c>
      <c r="M23" s="35" t="s">
        <v>17</v>
      </c>
      <c r="N23" s="67">
        <v>-920880.52716777171</v>
      </c>
      <c r="O23" s="67">
        <v>342124.9937184779</v>
      </c>
      <c r="P23" s="67">
        <v>-2.6916493798331804</v>
      </c>
      <c r="Q23" s="67">
        <v>8.0838164908012371E-3</v>
      </c>
      <c r="R23" s="67">
        <v>-1597988.3506724772</v>
      </c>
      <c r="S23" s="67">
        <v>-243772.70366306626</v>
      </c>
      <c r="T23" s="67">
        <v>-1597988.3506724772</v>
      </c>
      <c r="U23" s="67">
        <v>-243772.70366306626</v>
      </c>
    </row>
    <row r="24" spans="1:21" ht="13.8" thickBot="1">
      <c r="A24" s="3">
        <v>38261</v>
      </c>
      <c r="B24" s="59">
        <v>3756788</v>
      </c>
      <c r="C24" s="186">
        <f>+'Purchased Power Model '!C24</f>
        <v>235</v>
      </c>
      <c r="D24" s="186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6</v>
      </c>
      <c r="I24" s="193">
        <f t="shared" si="0"/>
        <v>6693060.2002405934</v>
      </c>
      <c r="J24" s="36">
        <f t="shared" si="1"/>
        <v>2936272.2002405934</v>
      </c>
      <c r="K24" s="5">
        <f t="shared" si="2"/>
        <v>0.78159113589603502</v>
      </c>
      <c r="M24" s="51" t="s">
        <v>59</v>
      </c>
      <c r="N24" s="68">
        <v>166341.28332329451</v>
      </c>
      <c r="O24" s="68">
        <v>109344.84610766565</v>
      </c>
      <c r="P24" s="68">
        <v>1.5212539890495407</v>
      </c>
      <c r="Q24" s="68">
        <v>0.1307217500233771</v>
      </c>
      <c r="R24" s="68">
        <v>-50065.737849621655</v>
      </c>
      <c r="S24" s="68">
        <v>382748.30449621065</v>
      </c>
      <c r="T24" s="68">
        <v>-50065.737849621655</v>
      </c>
      <c r="U24" s="68">
        <v>382748.30449621065</v>
      </c>
    </row>
    <row r="25" spans="1:21">
      <c r="A25" s="3">
        <v>38292</v>
      </c>
      <c r="B25" s="59">
        <v>8659336</v>
      </c>
      <c r="C25" s="186">
        <f>+'Purchased Power Model '!C25</f>
        <v>385.7</v>
      </c>
      <c r="D25" s="186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7</v>
      </c>
      <c r="I25" s="193">
        <f t="shared" si="0"/>
        <v>6567604.3063193243</v>
      </c>
      <c r="J25" s="36">
        <f t="shared" si="1"/>
        <v>-2091731.6936806757</v>
      </c>
      <c r="K25" s="5">
        <f t="shared" si="2"/>
        <v>-0.24155797784964986</v>
      </c>
      <c r="M25"/>
      <c r="N25"/>
      <c r="O25"/>
      <c r="P25"/>
      <c r="Q25"/>
    </row>
    <row r="26" spans="1:21">
      <c r="A26" s="3">
        <v>38322</v>
      </c>
      <c r="B26" s="59">
        <v>6217492</v>
      </c>
      <c r="C26" s="186">
        <f>+'Purchased Power Model '!C26</f>
        <v>627.5</v>
      </c>
      <c r="D26" s="186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7</v>
      </c>
      <c r="I26" s="193">
        <f t="shared" si="0"/>
        <v>6568352.5902845822</v>
      </c>
      <c r="J26" s="36">
        <f t="shared" si="1"/>
        <v>350860.59028458223</v>
      </c>
      <c r="K26" s="5">
        <f t="shared" si="2"/>
        <v>5.6431208964093919E-2</v>
      </c>
      <c r="M26"/>
      <c r="N26"/>
      <c r="O26"/>
      <c r="P26"/>
      <c r="Q26"/>
    </row>
    <row r="27" spans="1:21">
      <c r="A27" s="3">
        <v>38353</v>
      </c>
      <c r="B27" s="59">
        <v>6020518</v>
      </c>
      <c r="C27" s="186">
        <f>+'Purchased Power Model '!C27</f>
        <v>745.5</v>
      </c>
      <c r="D27" s="186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7</v>
      </c>
      <c r="I27" s="193">
        <f t="shared" si="0"/>
        <v>5900615.8268258888</v>
      </c>
      <c r="J27" s="36">
        <f t="shared" si="1"/>
        <v>-119902.17317411117</v>
      </c>
      <c r="K27" s="5">
        <f t="shared" si="2"/>
        <v>-1.9915590846852575E-2</v>
      </c>
      <c r="M27"/>
      <c r="N27"/>
      <c r="O27"/>
      <c r="P27"/>
      <c r="Q27"/>
    </row>
    <row r="28" spans="1:21">
      <c r="A28" s="3">
        <v>38384</v>
      </c>
      <c r="B28" s="59">
        <v>5932546</v>
      </c>
      <c r="C28" s="186">
        <f>+'Purchased Power Model '!C28</f>
        <v>589.5</v>
      </c>
      <c r="D28" s="186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7</v>
      </c>
      <c r="I28" s="193">
        <f t="shared" si="0"/>
        <v>6902865.774261293</v>
      </c>
      <c r="J28" s="36">
        <f t="shared" si="1"/>
        <v>970319.774261293</v>
      </c>
      <c r="K28" s="5">
        <f t="shared" si="2"/>
        <v>0.16355874429988287</v>
      </c>
    </row>
    <row r="29" spans="1:21">
      <c r="A29" s="3">
        <v>38412</v>
      </c>
      <c r="B29" s="59">
        <v>5206627</v>
      </c>
      <c r="C29" s="186">
        <f>+'Purchased Power Model '!C29</f>
        <v>578.29999999999995</v>
      </c>
      <c r="D29" s="186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7</v>
      </c>
      <c r="I29" s="193">
        <f t="shared" si="0"/>
        <v>5496001.7941772295</v>
      </c>
      <c r="J29" s="36">
        <f t="shared" si="1"/>
        <v>289374.79417722952</v>
      </c>
      <c r="K29" s="5">
        <f t="shared" si="2"/>
        <v>5.5578168779370891E-2</v>
      </c>
    </row>
    <row r="30" spans="1:21">
      <c r="A30" s="3">
        <v>38443</v>
      </c>
      <c r="B30" s="59">
        <v>5609943</v>
      </c>
      <c r="C30" s="186">
        <f>+'Purchased Power Model '!C30</f>
        <v>325.3</v>
      </c>
      <c r="D30" s="186">
        <f>+'Purchased Power Model '!D30</f>
        <v>0</v>
      </c>
      <c r="E30" s="103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42">
        <v>7</v>
      </c>
      <c r="I30" s="193">
        <f t="shared" si="0"/>
        <v>6624079.9149929117</v>
      </c>
      <c r="J30" s="36">
        <f t="shared" si="1"/>
        <v>1014136.9149929117</v>
      </c>
      <c r="K30" s="5">
        <f t="shared" si="2"/>
        <v>0.18077490537656296</v>
      </c>
    </row>
    <row r="31" spans="1:21">
      <c r="A31" s="3">
        <v>38473</v>
      </c>
      <c r="B31" s="59">
        <v>5261262</v>
      </c>
      <c r="C31" s="186">
        <f>+'Purchased Power Model '!C31</f>
        <v>216.1</v>
      </c>
      <c r="D31" s="186">
        <f>+'Purchased Power Model '!D31</f>
        <v>0.3</v>
      </c>
      <c r="E31" s="103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42">
        <v>7</v>
      </c>
      <c r="I31" s="193">
        <f t="shared" si="0"/>
        <v>6783865.2518839957</v>
      </c>
      <c r="J31" s="36">
        <f t="shared" si="1"/>
        <v>1522603.2518839957</v>
      </c>
      <c r="K31" s="5">
        <f t="shared" si="2"/>
        <v>0.28939886511715168</v>
      </c>
    </row>
    <row r="32" spans="1:21">
      <c r="A32" s="3">
        <v>38504</v>
      </c>
      <c r="B32" s="59">
        <v>5408132</v>
      </c>
      <c r="C32" s="186">
        <f>+'Purchased Power Model '!C32</f>
        <v>13.7</v>
      </c>
      <c r="D32" s="186">
        <f>+'Purchased Power Model '!D32</f>
        <v>89.9</v>
      </c>
      <c r="E32" s="103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42">
        <v>7</v>
      </c>
      <c r="I32" s="193">
        <f t="shared" si="0"/>
        <v>7346924.3041195618</v>
      </c>
      <c r="J32" s="36">
        <f t="shared" si="1"/>
        <v>1938792.3041195618</v>
      </c>
      <c r="K32" s="5">
        <f t="shared" si="2"/>
        <v>0.35849574383901167</v>
      </c>
    </row>
    <row r="33" spans="1:11">
      <c r="A33" s="3">
        <v>38534</v>
      </c>
      <c r="B33" s="59">
        <v>6003912</v>
      </c>
      <c r="C33" s="186">
        <f>+'Purchased Power Model '!C33</f>
        <v>2.2000000000000002</v>
      </c>
      <c r="D33" s="186">
        <f>+'Purchased Power Model '!D33</f>
        <v>153</v>
      </c>
      <c r="E33" s="103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42">
        <v>7</v>
      </c>
      <c r="I33" s="193">
        <f t="shared" si="0"/>
        <v>6524621.3994836137</v>
      </c>
      <c r="J33" s="36">
        <f t="shared" si="1"/>
        <v>520709.39948361367</v>
      </c>
      <c r="K33" s="5">
        <f t="shared" si="2"/>
        <v>8.6728353027761509E-2</v>
      </c>
    </row>
    <row r="34" spans="1:11">
      <c r="A34" s="3">
        <v>38565</v>
      </c>
      <c r="B34" s="59">
        <v>4771393</v>
      </c>
      <c r="C34" s="186">
        <f>+'Purchased Power Model '!C34</f>
        <v>0</v>
      </c>
      <c r="D34" s="186">
        <f>+'Purchased Power Model '!D34</f>
        <v>108</v>
      </c>
      <c r="E34" s="103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42">
        <v>7</v>
      </c>
      <c r="I34" s="193">
        <f t="shared" si="0"/>
        <v>7112144.2103190422</v>
      </c>
      <c r="J34" s="36">
        <f t="shared" si="1"/>
        <v>2340751.2103190422</v>
      </c>
      <c r="K34" s="5">
        <f t="shared" si="2"/>
        <v>0.49058025828495833</v>
      </c>
    </row>
    <row r="35" spans="1:11">
      <c r="A35" s="3">
        <v>38596</v>
      </c>
      <c r="B35" s="59">
        <v>4712005</v>
      </c>
      <c r="C35" s="186">
        <f>+'Purchased Power Model '!C35</f>
        <v>36.700000000000003</v>
      </c>
      <c r="D35" s="186">
        <f>+'Purchased Power Model '!D35</f>
        <v>32.799999999999997</v>
      </c>
      <c r="E35" s="103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42">
        <v>8</v>
      </c>
      <c r="I35" s="193">
        <f t="shared" si="0"/>
        <v>7388271.7444001855</v>
      </c>
      <c r="J35" s="36">
        <f t="shared" si="1"/>
        <v>2676266.7444001855</v>
      </c>
      <c r="K35" s="5">
        <f t="shared" si="2"/>
        <v>0.56796772168114962</v>
      </c>
    </row>
    <row r="36" spans="1:11">
      <c r="A36" s="3">
        <v>38626</v>
      </c>
      <c r="B36" s="59">
        <v>6089306</v>
      </c>
      <c r="C36" s="186">
        <f>+'Purchased Power Model '!C36</f>
        <v>223.8</v>
      </c>
      <c r="D36" s="186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8</v>
      </c>
      <c r="I36" s="193">
        <f t="shared" si="0"/>
        <v>6858838.7956925314</v>
      </c>
      <c r="J36" s="36">
        <f t="shared" si="1"/>
        <v>769532.79569253139</v>
      </c>
      <c r="K36" s="5">
        <f t="shared" si="2"/>
        <v>0.12637446626800022</v>
      </c>
    </row>
    <row r="37" spans="1:11">
      <c r="A37" s="3">
        <v>38657</v>
      </c>
      <c r="B37" s="59">
        <v>5939258</v>
      </c>
      <c r="C37" s="186">
        <f>+'Purchased Power Model '!C37</f>
        <v>398.5</v>
      </c>
      <c r="D37" s="186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8</v>
      </c>
      <c r="I37" s="193">
        <f t="shared" si="0"/>
        <v>6499388.9336740756</v>
      </c>
      <c r="J37" s="36">
        <f t="shared" si="1"/>
        <v>560130.93367407564</v>
      </c>
      <c r="K37" s="5">
        <f t="shared" si="2"/>
        <v>9.4309917783345271E-2</v>
      </c>
    </row>
    <row r="38" spans="1:11">
      <c r="A38" s="3">
        <v>38687</v>
      </c>
      <c r="B38" s="59">
        <v>6062059</v>
      </c>
      <c r="C38" s="186">
        <f>+'Purchased Power Model '!C38</f>
        <v>641.1</v>
      </c>
      <c r="D38" s="186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8</v>
      </c>
      <c r="I38" s="193">
        <f t="shared" si="0"/>
        <v>6497667.0430244086</v>
      </c>
      <c r="J38" s="36">
        <f t="shared" si="1"/>
        <v>435608.04302440863</v>
      </c>
      <c r="K38" s="5">
        <f t="shared" si="2"/>
        <v>7.1858100197376609E-2</v>
      </c>
    </row>
    <row r="39" spans="1:11">
      <c r="A39" s="3">
        <v>38718</v>
      </c>
      <c r="B39" s="60">
        <v>6150389</v>
      </c>
      <c r="C39" s="186">
        <f>+'Purchased Power Model '!C39</f>
        <v>558.20000000000005</v>
      </c>
      <c r="D39" s="186">
        <f>+'Purchased Power Model '!D39</f>
        <v>0</v>
      </c>
      <c r="E39" s="103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42">
        <v>8</v>
      </c>
      <c r="I39" s="193">
        <f t="shared" si="0"/>
        <v>6775309.3166214349</v>
      </c>
      <c r="J39" s="36">
        <f t="shared" si="1"/>
        <v>624920.31662143487</v>
      </c>
      <c r="K39" s="5">
        <f t="shared" si="2"/>
        <v>0.10160663278720011</v>
      </c>
    </row>
    <row r="40" spans="1:11">
      <c r="A40" s="3">
        <v>38749</v>
      </c>
      <c r="B40" s="60">
        <v>7134398</v>
      </c>
      <c r="C40" s="186">
        <f>+'Purchased Power Model '!C40</f>
        <v>608.79999999999995</v>
      </c>
      <c r="D40" s="186">
        <f>+'Purchased Power Model '!D40</f>
        <v>0</v>
      </c>
      <c r="E40" s="103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42">
        <v>9</v>
      </c>
      <c r="I40" s="193">
        <f t="shared" si="0"/>
        <v>7305977.9530760152</v>
      </c>
      <c r="J40" s="36">
        <f t="shared" si="1"/>
        <v>171579.95307601523</v>
      </c>
      <c r="K40" s="5">
        <f t="shared" si="2"/>
        <v>2.4049674979727122E-2</v>
      </c>
    </row>
    <row r="41" spans="1:11">
      <c r="A41" s="3">
        <v>38777</v>
      </c>
      <c r="B41" s="60">
        <v>6002687</v>
      </c>
      <c r="C41" s="186">
        <f>+'Purchased Power Model '!C41</f>
        <v>534</v>
      </c>
      <c r="D41" s="186">
        <f>+'Purchased Power Model '!D41</f>
        <v>0</v>
      </c>
      <c r="E41" s="103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42">
        <v>9</v>
      </c>
      <c r="I41" s="193">
        <f t="shared" si="0"/>
        <v>6095492.8548784079</v>
      </c>
      <c r="J41" s="36">
        <f t="shared" si="1"/>
        <v>92805.854878407903</v>
      </c>
      <c r="K41" s="5">
        <f t="shared" si="2"/>
        <v>1.5460718654563848E-2</v>
      </c>
    </row>
    <row r="42" spans="1:11">
      <c r="A42" s="3">
        <v>38808</v>
      </c>
      <c r="B42" s="60">
        <v>6280632</v>
      </c>
      <c r="C42" s="186">
        <f>+'Purchased Power Model '!C42</f>
        <v>323.60000000000002</v>
      </c>
      <c r="D42" s="186">
        <f>+'Purchased Power Model '!D42</f>
        <v>0</v>
      </c>
      <c r="E42" s="103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42">
        <v>9</v>
      </c>
      <c r="I42" s="193">
        <f t="shared" si="0"/>
        <v>6940341.1735706851</v>
      </c>
      <c r="J42" s="36">
        <f t="shared" si="1"/>
        <v>659709.17357068509</v>
      </c>
      <c r="K42" s="5">
        <f t="shared" si="2"/>
        <v>0.10503866069062558</v>
      </c>
    </row>
    <row r="43" spans="1:11">
      <c r="A43" s="3">
        <v>38838</v>
      </c>
      <c r="B43" s="60">
        <v>6707382</v>
      </c>
      <c r="C43" s="186">
        <f>+'Purchased Power Model '!C43</f>
        <v>172.6</v>
      </c>
      <c r="D43" s="186">
        <f>+'Purchased Power Model '!D43</f>
        <v>12.8</v>
      </c>
      <c r="E43" s="103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42">
        <v>9</v>
      </c>
      <c r="I43" s="193">
        <f t="shared" si="0"/>
        <v>7067879.2922458844</v>
      </c>
      <c r="J43" s="36">
        <f t="shared" si="1"/>
        <v>360497.29224588443</v>
      </c>
      <c r="K43" s="5">
        <f t="shared" si="2"/>
        <v>5.3746348761094034E-2</v>
      </c>
    </row>
    <row r="44" spans="1:11">
      <c r="A44" s="3">
        <v>38869</v>
      </c>
      <c r="B44" s="60">
        <v>7015587</v>
      </c>
      <c r="C44" s="186">
        <f>+'Purchased Power Model '!C44</f>
        <v>22.6</v>
      </c>
      <c r="D44" s="186">
        <f>+'Purchased Power Model '!D44</f>
        <v>36.200000000000003</v>
      </c>
      <c r="E44" s="103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42">
        <v>9</v>
      </c>
      <c r="I44" s="193">
        <f t="shared" si="0"/>
        <v>8323460.0136185633</v>
      </c>
      <c r="J44" s="36">
        <f t="shared" si="1"/>
        <v>1307873.0136185633</v>
      </c>
      <c r="K44" s="5">
        <f t="shared" si="2"/>
        <v>0.18642388920821071</v>
      </c>
    </row>
    <row r="45" spans="1:11">
      <c r="A45" s="3">
        <v>38899</v>
      </c>
      <c r="B45" s="60">
        <v>7531984</v>
      </c>
      <c r="C45" s="186">
        <f>+'Purchased Power Model '!C45</f>
        <v>1.7</v>
      </c>
      <c r="D45" s="186">
        <f>+'Purchased Power Model '!D45</f>
        <v>107.6</v>
      </c>
      <c r="E45" s="103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42">
        <v>9</v>
      </c>
      <c r="I45" s="193">
        <f t="shared" si="0"/>
        <v>7249705.8367182203</v>
      </c>
      <c r="J45" s="36">
        <f t="shared" si="1"/>
        <v>-282278.16328177974</v>
      </c>
      <c r="K45" s="5">
        <f t="shared" si="2"/>
        <v>-3.7477265390072491E-2</v>
      </c>
    </row>
    <row r="46" spans="1:11">
      <c r="A46" s="3">
        <v>38930</v>
      </c>
      <c r="B46" s="60">
        <v>8281927</v>
      </c>
      <c r="C46" s="186">
        <f>+'Purchased Power Model '!C46</f>
        <v>4.4000000000000004</v>
      </c>
      <c r="D46" s="186">
        <f>+'Purchased Power Model '!D46</f>
        <v>82.1</v>
      </c>
      <c r="E46" s="103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42">
        <v>9</v>
      </c>
      <c r="I46" s="193">
        <f t="shared" si="0"/>
        <v>7570449.2347580064</v>
      </c>
      <c r="J46" s="36">
        <f t="shared" si="1"/>
        <v>-711477.76524199359</v>
      </c>
      <c r="K46" s="5">
        <f t="shared" si="2"/>
        <v>-8.5907273179538238E-2</v>
      </c>
    </row>
    <row r="47" spans="1:11">
      <c r="A47" s="3">
        <v>38961</v>
      </c>
      <c r="B47" s="60">
        <v>7868182</v>
      </c>
      <c r="C47" s="186">
        <f>+'Purchased Power Model '!C47</f>
        <v>70.7</v>
      </c>
      <c r="D47" s="186">
        <f>+'Purchased Power Model '!D47</f>
        <v>5.0999999999999996</v>
      </c>
      <c r="E47" s="103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42">
        <v>10</v>
      </c>
      <c r="I47" s="193">
        <f t="shared" si="0"/>
        <v>7778409.5013127355</v>
      </c>
      <c r="J47" s="36">
        <f t="shared" si="1"/>
        <v>-89772.498687264509</v>
      </c>
      <c r="K47" s="5">
        <f t="shared" si="2"/>
        <v>-1.1409560516935743E-2</v>
      </c>
    </row>
    <row r="48" spans="1:11">
      <c r="A48" s="3">
        <v>38991</v>
      </c>
      <c r="B48" s="60">
        <v>7173982</v>
      </c>
      <c r="C48" s="186">
        <f>+'Purchased Power Model '!C48</f>
        <v>274.60000000000002</v>
      </c>
      <c r="D48" s="186">
        <f>+'Purchased Power Model '!D48</f>
        <v>0</v>
      </c>
      <c r="E48" s="103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42">
        <v>9</v>
      </c>
      <c r="I48" s="193">
        <f t="shared" si="0"/>
        <v>6853106.1155164493</v>
      </c>
      <c r="J48" s="36">
        <f t="shared" si="1"/>
        <v>-320875.88448355068</v>
      </c>
      <c r="K48" s="5">
        <f t="shared" si="2"/>
        <v>-4.4727723666375334E-2</v>
      </c>
    </row>
    <row r="49" spans="1:11">
      <c r="A49" s="3">
        <v>39022</v>
      </c>
      <c r="B49" s="60">
        <v>2527936</v>
      </c>
      <c r="C49" s="186">
        <f>+'Purchased Power Model '!C49</f>
        <v>367.5</v>
      </c>
      <c r="D49" s="186">
        <f>+'Purchased Power Model '!D49</f>
        <v>0</v>
      </c>
      <c r="E49" s="103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42">
        <v>9</v>
      </c>
      <c r="I49" s="193">
        <f t="shared" si="0"/>
        <v>6739779.0542001463</v>
      </c>
      <c r="J49" s="36">
        <f t="shared" si="1"/>
        <v>4211843.0542001463</v>
      </c>
      <c r="K49" s="5">
        <f t="shared" si="2"/>
        <v>1.6661193377522794</v>
      </c>
    </row>
    <row r="50" spans="1:11">
      <c r="A50" s="3">
        <v>39052</v>
      </c>
      <c r="B50" s="60">
        <v>7843678</v>
      </c>
      <c r="C50" s="186">
        <f>+'Purchased Power Model '!C50</f>
        <v>471.5</v>
      </c>
      <c r="D50" s="186">
        <f>+'Purchased Power Model '!D50</f>
        <v>0</v>
      </c>
      <c r="E50" s="103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42">
        <v>9</v>
      </c>
      <c r="I50" s="193">
        <f t="shared" si="0"/>
        <v>7166014.9155860581</v>
      </c>
      <c r="J50" s="36">
        <f t="shared" si="1"/>
        <v>-677663.08441394195</v>
      </c>
      <c r="K50" s="5">
        <f t="shared" si="2"/>
        <v>-8.6396086684581125E-2</v>
      </c>
    </row>
    <row r="51" spans="1:11">
      <c r="A51" s="3">
        <v>39083</v>
      </c>
      <c r="B51" s="60">
        <v>11402139</v>
      </c>
      <c r="C51" s="186">
        <f>+'Purchased Power Model '!C51</f>
        <v>573.1</v>
      </c>
      <c r="D51" s="186">
        <f>+'Purchased Power Model '!D51</f>
        <v>0</v>
      </c>
      <c r="E51" s="103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42">
        <v>9</v>
      </c>
      <c r="I51" s="193">
        <f t="shared" si="0"/>
        <v>7003995.7433694135</v>
      </c>
      <c r="J51" s="36">
        <f t="shared" si="1"/>
        <v>-4398143.2566305865</v>
      </c>
      <c r="K51" s="5">
        <f t="shared" si="2"/>
        <v>-0.38572966498922584</v>
      </c>
    </row>
    <row r="52" spans="1:11">
      <c r="A52" s="3">
        <v>39114</v>
      </c>
      <c r="B52" s="60">
        <v>7839057</v>
      </c>
      <c r="C52" s="186">
        <f>+'Purchased Power Model '!C52</f>
        <v>693.5</v>
      </c>
      <c r="D52" s="186">
        <f>+'Purchased Power Model '!D52</f>
        <v>0</v>
      </c>
      <c r="E52" s="103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42">
        <v>9</v>
      </c>
      <c r="I52" s="193">
        <f t="shared" si="0"/>
        <v>7152800.3613485834</v>
      </c>
      <c r="J52" s="36">
        <f t="shared" si="1"/>
        <v>-686256.63865141664</v>
      </c>
      <c r="K52" s="5">
        <f t="shared" si="2"/>
        <v>-8.7543264279289795E-2</v>
      </c>
    </row>
    <row r="53" spans="1:11">
      <c r="A53" s="3">
        <v>39142</v>
      </c>
      <c r="B53" s="60">
        <v>7255977</v>
      </c>
      <c r="C53" s="186">
        <f>+'Purchased Power Model '!C53</f>
        <v>477.9</v>
      </c>
      <c r="D53" s="186">
        <f>+'Purchased Power Model '!D53</f>
        <v>0</v>
      </c>
      <c r="E53" s="103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42">
        <v>9</v>
      </c>
      <c r="I53" s="193">
        <f t="shared" si="0"/>
        <v>6377065.9953775955</v>
      </c>
      <c r="J53" s="36">
        <f t="shared" si="1"/>
        <v>-878911.00462240446</v>
      </c>
      <c r="K53" s="5">
        <f t="shared" si="2"/>
        <v>-0.12112924346678669</v>
      </c>
    </row>
    <row r="54" spans="1:11">
      <c r="A54" s="3">
        <v>39173</v>
      </c>
      <c r="B54" s="60">
        <v>8929951</v>
      </c>
      <c r="C54" s="186">
        <f>+'Purchased Power Model '!C54</f>
        <v>280.39999999999998</v>
      </c>
      <c r="D54" s="186">
        <f>+'Purchased Power Model '!D54</f>
        <v>0</v>
      </c>
      <c r="E54" s="103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42">
        <v>9</v>
      </c>
      <c r="I54" s="193">
        <f t="shared" si="0"/>
        <v>7182082.7484042253</v>
      </c>
      <c r="J54" s="36">
        <f t="shared" si="1"/>
        <v>-1747868.2515957747</v>
      </c>
      <c r="K54" s="5">
        <f t="shared" si="2"/>
        <v>-0.19573100139023997</v>
      </c>
    </row>
    <row r="55" spans="1:11">
      <c r="A55" s="3">
        <v>39203</v>
      </c>
      <c r="B55" s="60">
        <v>7508485</v>
      </c>
      <c r="C55" s="186">
        <f>+'Purchased Power Model '!C55</f>
        <v>72.8</v>
      </c>
      <c r="D55" s="186">
        <f>+'Purchased Power Model '!D55</f>
        <v>4.5</v>
      </c>
      <c r="E55" s="103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42">
        <v>9</v>
      </c>
      <c r="I55" s="193">
        <f t="shared" si="0"/>
        <v>7591498.1120708147</v>
      </c>
      <c r="J55" s="36">
        <f t="shared" si="1"/>
        <v>83013.112070814706</v>
      </c>
      <c r="K55" s="5">
        <f t="shared" si="2"/>
        <v>1.1055907026625839E-2</v>
      </c>
    </row>
    <row r="56" spans="1:11">
      <c r="A56" s="3">
        <v>39234</v>
      </c>
      <c r="B56" s="60">
        <v>8191968</v>
      </c>
      <c r="C56" s="186">
        <f>+'Purchased Power Model '!C56</f>
        <v>6.2</v>
      </c>
      <c r="D56" s="186">
        <f>+'Purchased Power Model '!D56</f>
        <v>32.799999999999997</v>
      </c>
      <c r="E56" s="103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42">
        <v>9</v>
      </c>
      <c r="I56" s="193">
        <f t="shared" si="0"/>
        <v>8526328.103834169</v>
      </c>
      <c r="J56" s="36">
        <f t="shared" si="1"/>
        <v>334360.10383416899</v>
      </c>
      <c r="K56" s="5">
        <f t="shared" si="2"/>
        <v>4.0815601798513984E-2</v>
      </c>
    </row>
    <row r="57" spans="1:11">
      <c r="A57" s="3">
        <v>39264</v>
      </c>
      <c r="B57" s="60">
        <v>8759508</v>
      </c>
      <c r="C57" s="186">
        <f>+'Purchased Power Model '!C57</f>
        <v>8.6999999999999993</v>
      </c>
      <c r="D57" s="186">
        <f>+'Purchased Power Model '!D57</f>
        <v>41.6</v>
      </c>
      <c r="E57" s="103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42">
        <v>9</v>
      </c>
      <c r="I57" s="193">
        <f t="shared" si="0"/>
        <v>8123169.752033798</v>
      </c>
      <c r="J57" s="36">
        <f t="shared" si="1"/>
        <v>-636338.24796620198</v>
      </c>
      <c r="K57" s="5">
        <f t="shared" si="2"/>
        <v>-7.2645432593497483E-2</v>
      </c>
    </row>
    <row r="58" spans="1:11">
      <c r="A58" s="3">
        <v>39295</v>
      </c>
      <c r="B58" s="60">
        <v>8784825</v>
      </c>
      <c r="C58" s="186">
        <f>+'Purchased Power Model '!C58</f>
        <v>4</v>
      </c>
      <c r="D58" s="186">
        <f>+'Purchased Power Model '!D58</f>
        <v>87.8</v>
      </c>
      <c r="E58" s="103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42">
        <v>9</v>
      </c>
      <c r="I58" s="193">
        <f t="shared" si="0"/>
        <v>7541466.0684349034</v>
      </c>
      <c r="J58" s="36">
        <f t="shared" si="1"/>
        <v>-1243358.9315650966</v>
      </c>
      <c r="K58" s="5">
        <f t="shared" si="2"/>
        <v>-0.14153485488499731</v>
      </c>
    </row>
    <row r="59" spans="1:11">
      <c r="A59" s="3">
        <v>39326</v>
      </c>
      <c r="B59" s="60">
        <v>9224371</v>
      </c>
      <c r="C59" s="186">
        <f>+'Purchased Power Model '!C59</f>
        <v>20.100000000000001</v>
      </c>
      <c r="D59" s="186">
        <f>+'Purchased Power Model '!D59</f>
        <v>12.3</v>
      </c>
      <c r="E59" s="103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42">
        <v>9</v>
      </c>
      <c r="I59" s="193">
        <f t="shared" si="0"/>
        <v>7718730.847731337</v>
      </c>
      <c r="J59" s="36">
        <f t="shared" si="1"/>
        <v>-1505640.152268663</v>
      </c>
      <c r="K59" s="5">
        <f t="shared" si="2"/>
        <v>-0.16322415395788645</v>
      </c>
    </row>
    <row r="60" spans="1:11">
      <c r="A60" s="3">
        <v>39356</v>
      </c>
      <c r="B60" s="60">
        <v>8687502</v>
      </c>
      <c r="C60" s="186">
        <f>+'Purchased Power Model '!C60</f>
        <v>101.5</v>
      </c>
      <c r="D60" s="186">
        <f>+'Purchased Power Model '!D60</f>
        <v>0</v>
      </c>
      <c r="E60" s="103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42">
        <v>9</v>
      </c>
      <c r="I60" s="193">
        <f t="shared" si="0"/>
        <v>7495942.2934482703</v>
      </c>
      <c r="J60" s="36">
        <f t="shared" si="1"/>
        <v>-1191559.7065517297</v>
      </c>
      <c r="K60" s="5">
        <f t="shared" si="2"/>
        <v>-0.13715792025736853</v>
      </c>
    </row>
    <row r="61" spans="1:11">
      <c r="A61" s="3">
        <v>39387</v>
      </c>
      <c r="B61" s="60">
        <v>8832509</v>
      </c>
      <c r="C61" s="186">
        <f>+'Purchased Power Model '!C61</f>
        <v>314.10000000000002</v>
      </c>
      <c r="D61" s="186">
        <f>+'Purchased Power Model '!D61</f>
        <v>0</v>
      </c>
      <c r="E61" s="103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42">
        <v>9</v>
      </c>
      <c r="I61" s="193">
        <f t="shared" si="0"/>
        <v>7013015.3553739656</v>
      </c>
      <c r="J61" s="36">
        <f t="shared" si="1"/>
        <v>-1819493.6446260344</v>
      </c>
      <c r="K61" s="5">
        <f t="shared" si="2"/>
        <v>-0.20599963664073645</v>
      </c>
    </row>
    <row r="62" spans="1:11">
      <c r="A62" s="3">
        <v>39417</v>
      </c>
      <c r="B62" s="60">
        <v>8453705</v>
      </c>
      <c r="C62" s="186">
        <f>+'Purchased Power Model '!C62</f>
        <v>337.8</v>
      </c>
      <c r="D62" s="186">
        <f>+'Purchased Power Model '!D62</f>
        <v>0</v>
      </c>
      <c r="E62" s="103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42">
        <v>9</v>
      </c>
      <c r="I62" s="193">
        <f t="shared" si="0"/>
        <v>7687194.9937328715</v>
      </c>
      <c r="J62" s="36">
        <f t="shared" si="1"/>
        <v>-766510.00626712851</v>
      </c>
      <c r="K62" s="5">
        <f t="shared" si="2"/>
        <v>-9.0671487385368718E-2</v>
      </c>
    </row>
    <row r="63" spans="1:11">
      <c r="A63" s="3">
        <v>39448</v>
      </c>
      <c r="B63" s="61">
        <v>8872502</v>
      </c>
      <c r="C63" s="187">
        <f>+'Purchased Power Model '!C63</f>
        <v>432.8</v>
      </c>
      <c r="D63" s="187">
        <f>+'Purchased Power Model '!D63</f>
        <v>0</v>
      </c>
      <c r="E63" s="103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42">
        <v>9</v>
      </c>
      <c r="I63" s="193">
        <f t="shared" si="0"/>
        <v>7372191.3290851209</v>
      </c>
      <c r="J63" s="36">
        <f t="shared" si="1"/>
        <v>-1500310.6709148791</v>
      </c>
      <c r="K63" s="5">
        <f t="shared" si="2"/>
        <v>-0.16909668444311188</v>
      </c>
    </row>
    <row r="64" spans="1:11">
      <c r="A64" s="3">
        <v>39479</v>
      </c>
      <c r="B64" s="61">
        <v>9386946</v>
      </c>
      <c r="C64" s="187">
        <f>+'Purchased Power Model '!C64</f>
        <v>317.60000000000002</v>
      </c>
      <c r="D64" s="187">
        <f>+'Purchased Power Model '!D64</f>
        <v>0</v>
      </c>
      <c r="E64" s="103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42">
        <v>9</v>
      </c>
      <c r="I64" s="193">
        <f t="shared" si="0"/>
        <v>8074940.4053176576</v>
      </c>
      <c r="J64" s="36">
        <f t="shared" si="1"/>
        <v>-1312005.5946823424</v>
      </c>
      <c r="K64" s="5">
        <f t="shared" si="2"/>
        <v>-0.13976916397328187</v>
      </c>
    </row>
    <row r="65" spans="1:17">
      <c r="A65" s="3">
        <v>39508</v>
      </c>
      <c r="B65" s="61">
        <v>7792760.1255280245</v>
      </c>
      <c r="C65" s="187">
        <f>+'Purchased Power Model '!C65</f>
        <v>430</v>
      </c>
      <c r="D65" s="187">
        <f>+'Purchased Power Model '!D65</f>
        <v>0</v>
      </c>
      <c r="E65" s="103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42">
        <v>9</v>
      </c>
      <c r="I65" s="193">
        <f t="shared" si="0"/>
        <v>6459956.4130695825</v>
      </c>
      <c r="J65" s="36">
        <f t="shared" si="1"/>
        <v>-1332803.712458442</v>
      </c>
      <c r="K65" s="5">
        <f t="shared" si="2"/>
        <v>-0.17103101994534103</v>
      </c>
    </row>
    <row r="66" spans="1:17">
      <c r="A66" s="3">
        <v>39539</v>
      </c>
      <c r="B66" s="61">
        <v>8704234.279269319</v>
      </c>
      <c r="C66" s="187">
        <f>+'Purchased Power Model '!C66</f>
        <v>144.6</v>
      </c>
      <c r="D66" s="187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9</v>
      </c>
      <c r="I66" s="193">
        <f t="shared" si="0"/>
        <v>7298008.8815301657</v>
      </c>
      <c r="J66" s="36">
        <f t="shared" si="1"/>
        <v>-1406225.3977391534</v>
      </c>
      <c r="K66" s="5">
        <f t="shared" si="2"/>
        <v>-0.16155647385185037</v>
      </c>
    </row>
    <row r="67" spans="1:17">
      <c r="A67" s="3">
        <v>39569</v>
      </c>
      <c r="B67" s="61">
        <v>8210467.2029812597</v>
      </c>
      <c r="C67" s="187">
        <f>+'Purchased Power Model '!C67</f>
        <v>151</v>
      </c>
      <c r="D67" s="187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9</v>
      </c>
      <c r="I67" s="193">
        <f t="shared" si="0"/>
        <v>7104725.5187690305</v>
      </c>
      <c r="J67" s="36">
        <f t="shared" si="1"/>
        <v>-1105741.6842122292</v>
      </c>
      <c r="K67" s="5">
        <f t="shared" si="2"/>
        <v>-0.13467463627535461</v>
      </c>
    </row>
    <row r="68" spans="1:17">
      <c r="A68" s="3">
        <v>39600</v>
      </c>
      <c r="B68" s="61">
        <v>8656676.3922213931</v>
      </c>
      <c r="C68" s="187">
        <f>+'Purchased Power Model '!C68</f>
        <v>15.5</v>
      </c>
      <c r="D68" s="187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9</v>
      </c>
      <c r="I68" s="193">
        <f t="shared" ref="I68:I131" si="3">$N$18+C68*$N$19+D68*$N$20+E68*$N$21+F68*$N$22+G68*$N$23+H68*$N$24</f>
        <v>8312953.3037766805</v>
      </c>
      <c r="J68" s="36">
        <f t="shared" ref="J68:J131" si="4">I68-B68</f>
        <v>-343723.08844471257</v>
      </c>
      <c r="K68" s="5">
        <f t="shared" ref="K68:K131" si="5">J68/B68</f>
        <v>-3.970612656302723E-2</v>
      </c>
    </row>
    <row r="69" spans="1:17">
      <c r="A69" s="3">
        <v>39630</v>
      </c>
      <c r="B69" s="61">
        <v>11794162</v>
      </c>
      <c r="C69" s="187">
        <f>+'Purchased Power Model '!C69</f>
        <v>1</v>
      </c>
      <c r="D69" s="187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9</v>
      </c>
      <c r="I69" s="193">
        <f t="shared" si="3"/>
        <v>7826412.7698423229</v>
      </c>
      <c r="J69" s="36">
        <f t="shared" si="4"/>
        <v>-3967749.2301576771</v>
      </c>
      <c r="K69" s="5">
        <f t="shared" si="5"/>
        <v>-0.3364163753353292</v>
      </c>
    </row>
    <row r="70" spans="1:17">
      <c r="A70" s="3">
        <v>39661</v>
      </c>
      <c r="B70" s="61">
        <v>10143998</v>
      </c>
      <c r="C70" s="187">
        <f>+'Purchased Power Model '!C70</f>
        <v>13.8</v>
      </c>
      <c r="D70" s="187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9</v>
      </c>
      <c r="I70" s="193">
        <f t="shared" si="3"/>
        <v>8193400.857454611</v>
      </c>
      <c r="J70" s="36">
        <f t="shared" si="4"/>
        <v>-1950597.142545389</v>
      </c>
      <c r="K70" s="5">
        <f t="shared" si="5"/>
        <v>-0.19229076568680209</v>
      </c>
    </row>
    <row r="71" spans="1:17">
      <c r="A71" s="3">
        <v>39692</v>
      </c>
      <c r="B71" s="61">
        <v>9744604</v>
      </c>
      <c r="C71" s="187">
        <f>+'Purchased Power Model '!C71</f>
        <v>51.6</v>
      </c>
      <c r="D71" s="187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8</v>
      </c>
      <c r="I71" s="193">
        <f t="shared" si="3"/>
        <v>7353980.8509953963</v>
      </c>
      <c r="J71" s="36">
        <f t="shared" si="4"/>
        <v>-2390623.1490046037</v>
      </c>
      <c r="K71" s="5">
        <f t="shared" si="5"/>
        <v>-0.24532789110820755</v>
      </c>
    </row>
    <row r="72" spans="1:17">
      <c r="A72" s="3">
        <v>39722</v>
      </c>
      <c r="B72" s="61">
        <v>6653295</v>
      </c>
      <c r="C72" s="187">
        <f>+'Purchased Power Model '!C72</f>
        <v>203.1</v>
      </c>
      <c r="D72" s="187">
        <f>+'Purchased Power Model '!D72</f>
        <v>0</v>
      </c>
      <c r="E72" s="103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42">
        <v>8</v>
      </c>
      <c r="I72" s="193">
        <f t="shared" si="3"/>
        <v>6669161.9680211674</v>
      </c>
      <c r="J72" s="36">
        <f t="shared" si="4"/>
        <v>15866.968021167442</v>
      </c>
      <c r="K72" s="5">
        <f t="shared" si="5"/>
        <v>2.3848285730855828E-3</v>
      </c>
    </row>
    <row r="73" spans="1:17">
      <c r="A73" s="3">
        <v>39753</v>
      </c>
      <c r="B73" s="61">
        <v>6374833</v>
      </c>
      <c r="C73" s="187">
        <f>+'Purchased Power Model '!C73</f>
        <v>268.8</v>
      </c>
      <c r="D73" s="187">
        <f>+'Purchased Power Model '!D73</f>
        <v>0</v>
      </c>
      <c r="E73" s="103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42">
        <v>9</v>
      </c>
      <c r="I73" s="193">
        <f t="shared" si="3"/>
        <v>6806162.1269355733</v>
      </c>
      <c r="J73" s="36">
        <f t="shared" si="4"/>
        <v>431329.12693557329</v>
      </c>
      <c r="K73" s="5">
        <f t="shared" si="5"/>
        <v>6.7661243351092221E-2</v>
      </c>
    </row>
    <row r="74" spans="1:17">
      <c r="A74" s="3">
        <v>39783</v>
      </c>
      <c r="B74" s="61">
        <v>6098794</v>
      </c>
      <c r="C74" s="187">
        <f>+'Purchased Power Model '!C74</f>
        <v>378.9</v>
      </c>
      <c r="D74" s="187">
        <f>+'Purchased Power Model '!D74</f>
        <v>0</v>
      </c>
      <c r="E74" s="103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42">
        <v>9</v>
      </c>
      <c r="I74" s="193">
        <f t="shared" si="3"/>
        <v>7213562.9068826903</v>
      </c>
      <c r="J74" s="36">
        <f t="shared" si="4"/>
        <v>1114768.9068826903</v>
      </c>
      <c r="K74" s="5">
        <f t="shared" si="5"/>
        <v>0.18278513864916413</v>
      </c>
    </row>
    <row r="75" spans="1:17" s="14" customFormat="1">
      <c r="A75" s="3">
        <v>39814</v>
      </c>
      <c r="B75" s="61">
        <v>6324203</v>
      </c>
      <c r="C75" s="187">
        <f>+'Purchased Power Model '!C75</f>
        <v>684.3</v>
      </c>
      <c r="D75" s="187">
        <f>+'Purchased Power Model '!D75</f>
        <v>0</v>
      </c>
      <c r="E75" s="103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42">
        <v>10</v>
      </c>
      <c r="I75" s="193">
        <f t="shared" si="3"/>
        <v>6306892.4562055813</v>
      </c>
      <c r="J75" s="36">
        <f t="shared" si="4"/>
        <v>-17310.543794418685</v>
      </c>
      <c r="K75" s="5">
        <f t="shared" si="5"/>
        <v>-2.7371897762324651E-3</v>
      </c>
      <c r="L75" s="11"/>
      <c r="M75" s="11"/>
      <c r="N75" s="11"/>
      <c r="O75" s="11"/>
      <c r="P75" s="11"/>
      <c r="Q75" s="11"/>
    </row>
    <row r="76" spans="1:17">
      <c r="A76" s="3">
        <v>39845</v>
      </c>
      <c r="B76" s="61">
        <v>7540439</v>
      </c>
      <c r="C76" s="187">
        <f>+'Purchased Power Model '!C76</f>
        <v>595.29999999999995</v>
      </c>
      <c r="D76" s="187">
        <f>+'Purchased Power Model '!D76</f>
        <v>0</v>
      </c>
      <c r="E76" s="103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42">
        <v>11</v>
      </c>
      <c r="I76" s="193">
        <f t="shared" si="3"/>
        <v>7268606.5629643956</v>
      </c>
      <c r="J76" s="36">
        <f t="shared" si="4"/>
        <v>-271832.43703560438</v>
      </c>
      <c r="K76" s="5">
        <f t="shared" si="5"/>
        <v>-3.6049948422844397E-2</v>
      </c>
    </row>
    <row r="77" spans="1:17">
      <c r="A77" s="3">
        <v>39873</v>
      </c>
      <c r="B77" s="61">
        <v>6967085</v>
      </c>
      <c r="C77" s="187">
        <f>+'Purchased Power Model '!C77</f>
        <v>442.2</v>
      </c>
      <c r="D77" s="187">
        <f>+'Purchased Power Model '!D77</f>
        <v>0</v>
      </c>
      <c r="E77" s="103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42">
        <v>11</v>
      </c>
      <c r="I77" s="193">
        <f t="shared" si="3"/>
        <v>6299889.805202472</v>
      </c>
      <c r="J77" s="36">
        <f t="shared" si="4"/>
        <v>-667195.19479752798</v>
      </c>
      <c r="K77" s="5">
        <f t="shared" si="5"/>
        <v>-9.5763894770557273E-2</v>
      </c>
    </row>
    <row r="78" spans="1:17">
      <c r="A78" s="3">
        <v>39904</v>
      </c>
      <c r="B78" s="61">
        <v>7626479</v>
      </c>
      <c r="C78" s="187">
        <f>+'Purchased Power Model '!C78</f>
        <v>313.8</v>
      </c>
      <c r="D78" s="187">
        <f>+'Purchased Power Model '!D78</f>
        <v>0</v>
      </c>
      <c r="E78" s="103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42">
        <v>11</v>
      </c>
      <c r="I78" s="193">
        <f t="shared" si="3"/>
        <v>6826533.9384884574</v>
      </c>
      <c r="J78" s="36">
        <f t="shared" si="4"/>
        <v>-799945.06151154265</v>
      </c>
      <c r="K78" s="5">
        <f t="shared" si="5"/>
        <v>-0.10489048242466054</v>
      </c>
    </row>
    <row r="79" spans="1:17">
      <c r="A79" s="3">
        <v>39934</v>
      </c>
      <c r="B79" s="61">
        <v>7428122</v>
      </c>
      <c r="C79" s="187">
        <f>+'Purchased Power Model '!C79</f>
        <v>170.1</v>
      </c>
      <c r="D79" s="187">
        <f>+'Purchased Power Model '!D79</f>
        <v>0</v>
      </c>
      <c r="E79" s="103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42">
        <v>11</v>
      </c>
      <c r="I79" s="193">
        <f t="shared" si="3"/>
        <v>7096717.0878524324</v>
      </c>
      <c r="J79" s="36">
        <f t="shared" si="4"/>
        <v>-331404.91214756761</v>
      </c>
      <c r="K79" s="5">
        <f t="shared" si="5"/>
        <v>-4.4614898913556834E-2</v>
      </c>
    </row>
    <row r="80" spans="1:17">
      <c r="A80" s="3">
        <v>39965</v>
      </c>
      <c r="B80" s="61">
        <v>7082227</v>
      </c>
      <c r="C80" s="187">
        <f>+'Purchased Power Model '!C80</f>
        <v>57.9</v>
      </c>
      <c r="D80" s="187">
        <f>+'Purchased Power Model '!D80</f>
        <v>26.3</v>
      </c>
      <c r="E80" s="103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42">
        <v>11</v>
      </c>
      <c r="I80" s="193">
        <f t="shared" si="3"/>
        <v>8198157.2473617615</v>
      </c>
      <c r="J80" s="36">
        <f t="shared" si="4"/>
        <v>1115930.2473617615</v>
      </c>
      <c r="K80" s="5">
        <f t="shared" si="5"/>
        <v>0.15756770396681177</v>
      </c>
    </row>
    <row r="81" spans="1:17">
      <c r="A81" s="3">
        <v>39995</v>
      </c>
      <c r="B81" s="61">
        <v>7025798</v>
      </c>
      <c r="C81" s="187">
        <f>+'Purchased Power Model '!C81</f>
        <v>16.8</v>
      </c>
      <c r="D81" s="187">
        <f>+'Purchased Power Model '!D81</f>
        <v>25.6</v>
      </c>
      <c r="E81" s="103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42">
        <v>11</v>
      </c>
      <c r="I81" s="193">
        <f t="shared" si="3"/>
        <v>8052221.9318774492</v>
      </c>
      <c r="J81" s="36">
        <f t="shared" si="4"/>
        <v>1026423.9318774492</v>
      </c>
      <c r="K81" s="5">
        <f t="shared" si="5"/>
        <v>0.14609357284075761</v>
      </c>
    </row>
    <row r="82" spans="1:17">
      <c r="A82" s="3">
        <v>40026</v>
      </c>
      <c r="B82" s="61">
        <v>7419480</v>
      </c>
      <c r="C82" s="187">
        <f>+'Purchased Power Model '!C82</f>
        <v>13.1</v>
      </c>
      <c r="D82" s="187">
        <f>+'Purchased Power Model '!D82</f>
        <v>77.7</v>
      </c>
      <c r="E82" s="103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42">
        <v>11</v>
      </c>
      <c r="I82" s="193">
        <f t="shared" si="3"/>
        <v>7391290.3966587465</v>
      </c>
      <c r="J82" s="36">
        <f t="shared" si="4"/>
        <v>-28189.603341253474</v>
      </c>
      <c r="K82" s="5">
        <f t="shared" si="5"/>
        <v>-3.7994041821331785E-3</v>
      </c>
    </row>
    <row r="83" spans="1:17">
      <c r="A83" s="3">
        <v>40057</v>
      </c>
      <c r="B83" s="61">
        <v>8034531</v>
      </c>
      <c r="C83" s="187">
        <f>+'Purchased Power Model '!C83</f>
        <v>64.8</v>
      </c>
      <c r="D83" s="187">
        <f>+'Purchased Power Model '!D83</f>
        <v>9</v>
      </c>
      <c r="E83" s="103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42">
        <v>10</v>
      </c>
      <c r="I83" s="193">
        <f t="shared" si="3"/>
        <v>7204536.3923037285</v>
      </c>
      <c r="J83" s="36">
        <f t="shared" si="4"/>
        <v>-829994.6076962715</v>
      </c>
      <c r="K83" s="5">
        <f t="shared" si="5"/>
        <v>-0.10330342962100358</v>
      </c>
    </row>
    <row r="84" spans="1:17">
      <c r="A84" s="3">
        <v>40087</v>
      </c>
      <c r="B84" s="61">
        <v>7591096</v>
      </c>
      <c r="C84" s="187">
        <f>+'Purchased Power Model '!C84</f>
        <v>287.89999999999998</v>
      </c>
      <c r="D84" s="187">
        <f>+'Purchased Power Model '!D84</f>
        <v>0</v>
      </c>
      <c r="E84" s="103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42">
        <v>10</v>
      </c>
      <c r="I84" s="193">
        <f t="shared" si="3"/>
        <v>6306597.4429752361</v>
      </c>
      <c r="J84" s="36">
        <f t="shared" si="4"/>
        <v>-1284498.5570247639</v>
      </c>
      <c r="K84" s="5">
        <f t="shared" si="5"/>
        <v>-0.16921121232359121</v>
      </c>
    </row>
    <row r="85" spans="1:17">
      <c r="A85" s="3">
        <v>40118</v>
      </c>
      <c r="B85" s="61">
        <v>7256083</v>
      </c>
      <c r="C85" s="187">
        <f>+'Purchased Power Model '!C85</f>
        <v>347.4</v>
      </c>
      <c r="D85" s="187">
        <f>+'Purchased Power Model '!D85</f>
        <v>0</v>
      </c>
      <c r="E85" s="103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42">
        <v>10</v>
      </c>
      <c r="I85" s="193">
        <f t="shared" si="3"/>
        <v>6296400.1718320074</v>
      </c>
      <c r="J85" s="36">
        <f t="shared" si="4"/>
        <v>-959682.82816799264</v>
      </c>
      <c r="K85" s="5">
        <f t="shared" si="5"/>
        <v>-0.13225907533968295</v>
      </c>
    </row>
    <row r="86" spans="1:17" s="31" customFormat="1">
      <c r="A86" s="3">
        <v>40148</v>
      </c>
      <c r="B86" s="61">
        <v>6942046</v>
      </c>
      <c r="C86" s="187">
        <f>+'Purchased Power Model '!C86</f>
        <v>619.1</v>
      </c>
      <c r="D86" s="187">
        <f>+'Purchased Power Model '!D86</f>
        <v>0</v>
      </c>
      <c r="E86" s="103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42">
        <v>10</v>
      </c>
      <c r="I86" s="193">
        <f t="shared" si="3"/>
        <v>6204825.6795644807</v>
      </c>
      <c r="J86" s="36">
        <f t="shared" si="4"/>
        <v>-737220.32043551933</v>
      </c>
      <c r="K86" s="5">
        <f t="shared" si="5"/>
        <v>-0.10619640383188463</v>
      </c>
      <c r="L86" s="27"/>
      <c r="M86" s="27"/>
      <c r="N86" s="27"/>
      <c r="O86" s="27"/>
      <c r="P86" s="27"/>
      <c r="Q86" s="27"/>
    </row>
    <row r="87" spans="1:17">
      <c r="A87" s="3">
        <v>40179</v>
      </c>
      <c r="B87" s="59">
        <v>6922167</v>
      </c>
      <c r="C87" s="187">
        <f>+'Purchased Power Model '!C87</f>
        <v>699.9</v>
      </c>
      <c r="D87" s="187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10</v>
      </c>
      <c r="I87" s="193">
        <f t="shared" si="3"/>
        <v>5868656.3269550437</v>
      </c>
      <c r="J87" s="36">
        <f t="shared" si="4"/>
        <v>-1053510.6730449563</v>
      </c>
      <c r="K87" s="5">
        <f t="shared" si="5"/>
        <v>-0.15219376721840955</v>
      </c>
    </row>
    <row r="88" spans="1:17">
      <c r="A88" s="3">
        <v>40210</v>
      </c>
      <c r="B88" s="59">
        <v>6769873</v>
      </c>
      <c r="C88" s="187">
        <f>+'Purchased Power Model '!C88</f>
        <v>583.79999999999995</v>
      </c>
      <c r="D88" s="187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10</v>
      </c>
      <c r="I88" s="193">
        <f t="shared" si="3"/>
        <v>6747706.3154711127</v>
      </c>
      <c r="J88" s="36">
        <f t="shared" si="4"/>
        <v>-22166.684528887272</v>
      </c>
      <c r="K88" s="5">
        <f t="shared" si="5"/>
        <v>-3.2743132003934597E-3</v>
      </c>
    </row>
    <row r="89" spans="1:17">
      <c r="A89" s="3">
        <v>40238</v>
      </c>
      <c r="B89" s="59">
        <v>6183539</v>
      </c>
      <c r="C89" s="187">
        <f>+'Purchased Power Model '!C89</f>
        <v>411</v>
      </c>
      <c r="D89" s="187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10</v>
      </c>
      <c r="I89" s="193">
        <f t="shared" si="3"/>
        <v>5839817.6076016929</v>
      </c>
      <c r="J89" s="36">
        <f t="shared" si="4"/>
        <v>-343721.3923983071</v>
      </c>
      <c r="K89" s="5">
        <f t="shared" si="5"/>
        <v>-5.5586516458990085E-2</v>
      </c>
    </row>
    <row r="90" spans="1:17">
      <c r="A90" s="3">
        <v>40269</v>
      </c>
      <c r="B90" s="59">
        <v>6688111</v>
      </c>
      <c r="C90" s="187">
        <f>+'Purchased Power Model '!C90</f>
        <v>244</v>
      </c>
      <c r="D90" s="187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10</v>
      </c>
      <c r="I90" s="193">
        <f t="shared" si="3"/>
        <v>6615670.2408109317</v>
      </c>
      <c r="J90" s="36">
        <f t="shared" si="4"/>
        <v>-72440.75918906834</v>
      </c>
      <c r="K90" s="5">
        <f t="shared" si="5"/>
        <v>-1.0831273462576852E-2</v>
      </c>
    </row>
    <row r="91" spans="1:17">
      <c r="A91" s="3">
        <v>40299</v>
      </c>
      <c r="B91" s="59">
        <v>6399287</v>
      </c>
      <c r="C91" s="187">
        <f>+'Purchased Power Model '!C91</f>
        <v>121.7</v>
      </c>
      <c r="D91" s="187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10</v>
      </c>
      <c r="I91" s="193">
        <f t="shared" si="3"/>
        <v>6520377.72876014</v>
      </c>
      <c r="J91" s="36">
        <f t="shared" si="4"/>
        <v>121090.72876014002</v>
      </c>
      <c r="K91" s="5">
        <f t="shared" si="5"/>
        <v>1.892253445737627E-2</v>
      </c>
    </row>
    <row r="92" spans="1:17">
      <c r="A92" s="3">
        <v>40330</v>
      </c>
      <c r="B92" s="59">
        <v>6643174</v>
      </c>
      <c r="C92" s="187">
        <f>+'Purchased Power Model '!C92</f>
        <v>19.399999999999999</v>
      </c>
      <c r="D92" s="187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10</v>
      </c>
      <c r="I92" s="193">
        <f t="shared" si="3"/>
        <v>7628674.2887179777</v>
      </c>
      <c r="J92" s="36">
        <f t="shared" si="4"/>
        <v>985500.2887179777</v>
      </c>
      <c r="K92" s="5">
        <f t="shared" si="5"/>
        <v>0.1483478061417596</v>
      </c>
    </row>
    <row r="93" spans="1:17">
      <c r="A93" s="3">
        <v>40360</v>
      </c>
      <c r="B93" s="59">
        <v>6816956</v>
      </c>
      <c r="C93" s="187">
        <f>+'Purchased Power Model '!C93</f>
        <v>3.5</v>
      </c>
      <c r="D93" s="187">
        <f>+'Purchased Power Model '!D93</f>
        <v>124</v>
      </c>
      <c r="E93" s="103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42">
        <v>10</v>
      </c>
      <c r="I93" s="193">
        <f t="shared" si="3"/>
        <v>6397039.5890118564</v>
      </c>
      <c r="J93" s="36">
        <f t="shared" si="4"/>
        <v>-419916.41098814365</v>
      </c>
      <c r="K93" s="5">
        <f t="shared" si="5"/>
        <v>-6.1598814923866846E-2</v>
      </c>
    </row>
    <row r="94" spans="1:17">
      <c r="A94" s="3">
        <v>40391</v>
      </c>
      <c r="B94" s="59">
        <v>7350724</v>
      </c>
      <c r="C94" s="187">
        <f>+'Purchased Power Model '!C94</f>
        <v>3.2</v>
      </c>
      <c r="D94" s="187">
        <f>+'Purchased Power Model '!D94</f>
        <v>96.8</v>
      </c>
      <c r="E94" s="103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42">
        <v>10</v>
      </c>
      <c r="I94" s="193">
        <f t="shared" si="3"/>
        <v>6748984.8243486146</v>
      </c>
      <c r="J94" s="36">
        <f t="shared" si="4"/>
        <v>-601739.17565138545</v>
      </c>
      <c r="K94" s="5">
        <f t="shared" si="5"/>
        <v>-8.1861211991007335E-2</v>
      </c>
    </row>
    <row r="95" spans="1:17">
      <c r="A95" s="3">
        <v>40422</v>
      </c>
      <c r="B95" s="59">
        <v>7400612</v>
      </c>
      <c r="C95" s="187">
        <f>+'Purchased Power Model '!C95</f>
        <v>85.5</v>
      </c>
      <c r="D95" s="187">
        <f>+'Purchased Power Model '!D95</f>
        <v>18.5</v>
      </c>
      <c r="E95" s="103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42">
        <v>10</v>
      </c>
      <c r="I95" s="193">
        <f t="shared" si="3"/>
        <v>6757976.9548335178</v>
      </c>
      <c r="J95" s="36">
        <f t="shared" si="4"/>
        <v>-642635.04516648222</v>
      </c>
      <c r="K95" s="5">
        <f t="shared" si="5"/>
        <v>-8.6835392149525237E-2</v>
      </c>
    </row>
    <row r="96" spans="1:17">
      <c r="A96" s="3">
        <v>40452</v>
      </c>
      <c r="B96" s="59">
        <v>6682210</v>
      </c>
      <c r="C96" s="187">
        <f>+'Purchased Power Model '!C96</f>
        <v>247.8</v>
      </c>
      <c r="D96" s="187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10</v>
      </c>
      <c r="I96" s="193">
        <f t="shared" si="3"/>
        <v>6560437.5203014743</v>
      </c>
      <c r="J96" s="36">
        <f t="shared" si="4"/>
        <v>-121772.47969852574</v>
      </c>
      <c r="K96" s="5">
        <f t="shared" si="5"/>
        <v>-1.8223384134668882E-2</v>
      </c>
    </row>
    <row r="97" spans="1:11">
      <c r="A97" s="3">
        <v>40483</v>
      </c>
      <c r="B97" s="59">
        <v>6558043</v>
      </c>
      <c r="C97" s="187">
        <f>+'Purchased Power Model '!C97</f>
        <v>389.2</v>
      </c>
      <c r="D97" s="187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10</v>
      </c>
      <c r="I97" s="193">
        <f t="shared" si="3"/>
        <v>6297356.1229554052</v>
      </c>
      <c r="J97" s="36">
        <f t="shared" si="4"/>
        <v>-260686.87704459485</v>
      </c>
      <c r="K97" s="5">
        <f t="shared" si="5"/>
        <v>-3.9750711766390501E-2</v>
      </c>
    </row>
    <row r="98" spans="1:11">
      <c r="A98" s="3">
        <v>40513</v>
      </c>
      <c r="B98" s="59">
        <v>6368445</v>
      </c>
      <c r="C98" s="187">
        <f>+'Purchased Power Model '!C98</f>
        <v>628.70000000000005</v>
      </c>
      <c r="D98" s="187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10</v>
      </c>
      <c r="I98" s="193">
        <f t="shared" si="3"/>
        <v>6305206.1589385672</v>
      </c>
      <c r="J98" s="36">
        <f t="shared" si="4"/>
        <v>-63238.841061432846</v>
      </c>
      <c r="K98" s="5">
        <f t="shared" si="5"/>
        <v>-9.9300286116050067E-3</v>
      </c>
    </row>
    <row r="99" spans="1:11">
      <c r="A99" s="3">
        <v>40544</v>
      </c>
      <c r="B99" s="105">
        <v>6443673</v>
      </c>
      <c r="C99" s="190">
        <f>+'Purchased Power Model '!C99</f>
        <v>760.9</v>
      </c>
      <c r="D99" s="190">
        <f>+'Purchased Power Model '!D99</f>
        <v>0</v>
      </c>
      <c r="E99" s="103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42">
        <v>10</v>
      </c>
      <c r="I99" s="193">
        <f t="shared" si="3"/>
        <v>6027032.3785755532</v>
      </c>
      <c r="J99" s="36">
        <f t="shared" si="4"/>
        <v>-416640.62142444681</v>
      </c>
      <c r="K99" s="5">
        <f t="shared" si="5"/>
        <v>-6.4658871023474784E-2</v>
      </c>
    </row>
    <row r="100" spans="1:11">
      <c r="A100" s="3">
        <v>40575</v>
      </c>
      <c r="B100" s="105">
        <v>6570423</v>
      </c>
      <c r="C100" s="190">
        <f>+'Purchased Power Model '!C100</f>
        <v>634.19999999999993</v>
      </c>
      <c r="D100" s="190">
        <f>+'Purchased Power Model '!D100</f>
        <v>0</v>
      </c>
      <c r="E100" s="103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42">
        <v>10</v>
      </c>
      <c r="I100" s="193">
        <f t="shared" si="3"/>
        <v>6938812.1807393655</v>
      </c>
      <c r="J100" s="36">
        <f t="shared" si="4"/>
        <v>368389.18073936552</v>
      </c>
      <c r="K100" s="5">
        <f t="shared" si="5"/>
        <v>5.6067802748676232E-2</v>
      </c>
    </row>
    <row r="101" spans="1:11">
      <c r="A101" s="3">
        <v>40603</v>
      </c>
      <c r="B101" s="105">
        <v>5927522</v>
      </c>
      <c r="C101" s="190">
        <f>+'Purchased Power Model '!C101</f>
        <v>559.80000000000007</v>
      </c>
      <c r="D101" s="190">
        <f>+'Purchased Power Model '!D101</f>
        <v>0</v>
      </c>
      <c r="E101" s="103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42">
        <v>10</v>
      </c>
      <c r="I101" s="193">
        <f t="shared" si="3"/>
        <v>5727091.9952342957</v>
      </c>
      <c r="J101" s="36">
        <f t="shared" si="4"/>
        <v>-200430.00476570427</v>
      </c>
      <c r="K101" s="5">
        <f t="shared" si="5"/>
        <v>-3.3813456072487674E-2</v>
      </c>
    </row>
    <row r="102" spans="1:11">
      <c r="A102" s="3">
        <v>40634</v>
      </c>
      <c r="B102" s="105">
        <v>6620336</v>
      </c>
      <c r="C102" s="190">
        <f>+'Purchased Power Model '!C102</f>
        <v>350.79999999999995</v>
      </c>
      <c r="D102" s="190">
        <f>+'Purchased Power Model '!D102</f>
        <v>0</v>
      </c>
      <c r="E102" s="103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42">
        <v>10</v>
      </c>
      <c r="I102" s="193">
        <f t="shared" si="3"/>
        <v>6415924.5044717556</v>
      </c>
      <c r="J102" s="36">
        <f t="shared" si="4"/>
        <v>-204411.49552824441</v>
      </c>
      <c r="K102" s="5">
        <f t="shared" si="5"/>
        <v>-3.0876302279558683E-2</v>
      </c>
    </row>
    <row r="103" spans="1:11">
      <c r="A103" s="3">
        <v>40664</v>
      </c>
      <c r="B103" s="105">
        <v>6116607</v>
      </c>
      <c r="C103" s="190">
        <f>+'Purchased Power Model '!C103</f>
        <v>157.69999999999996</v>
      </c>
      <c r="D103" s="190">
        <f>+'Purchased Power Model '!D103</f>
        <v>2.8</v>
      </c>
      <c r="E103" s="103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42">
        <v>10</v>
      </c>
      <c r="I103" s="193">
        <f t="shared" si="3"/>
        <v>6802506.6357338578</v>
      </c>
      <c r="J103" s="36">
        <f t="shared" si="4"/>
        <v>685899.63573385775</v>
      </c>
      <c r="K103" s="5">
        <f t="shared" si="5"/>
        <v>0.11213727410210558</v>
      </c>
    </row>
    <row r="104" spans="1:11">
      <c r="A104" s="3">
        <v>40695</v>
      </c>
      <c r="B104" s="105">
        <v>6577568</v>
      </c>
      <c r="C104" s="190">
        <f>+'Purchased Power Model '!C104</f>
        <v>26.699999999999996</v>
      </c>
      <c r="D104" s="190">
        <f>+'Purchased Power Model '!D104</f>
        <v>36.900000000000006</v>
      </c>
      <c r="E104" s="103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42">
        <v>10</v>
      </c>
      <c r="I104" s="193">
        <f t="shared" si="3"/>
        <v>7861336.0613822043</v>
      </c>
      <c r="J104" s="36">
        <f t="shared" si="4"/>
        <v>1283768.0613822043</v>
      </c>
      <c r="K104" s="5">
        <f t="shared" si="5"/>
        <v>0.19517366622164975</v>
      </c>
    </row>
    <row r="105" spans="1:11">
      <c r="A105" s="3">
        <v>40725</v>
      </c>
      <c r="B105" s="105">
        <v>6856409</v>
      </c>
      <c r="C105" s="190">
        <f>+'Purchased Power Model '!C105</f>
        <v>0.2</v>
      </c>
      <c r="D105" s="190">
        <f>+'Purchased Power Model '!D105</f>
        <v>141.19999999999999</v>
      </c>
      <c r="E105" s="103">
        <f>+'Purchased Power Model '!E105</f>
        <v>7.0999999999999994E-2</v>
      </c>
      <c r="F105" s="57">
        <f>+'Purchased Power Model '!F105</f>
        <v>31</v>
      </c>
      <c r="G105" s="57">
        <f>+'Purchased Power Model '!G105</f>
        <v>0</v>
      </c>
      <c r="H105" s="42">
        <v>10</v>
      </c>
      <c r="I105" s="193">
        <f t="shared" si="3"/>
        <v>6900385.374061239</v>
      </c>
      <c r="J105" s="36">
        <f t="shared" si="4"/>
        <v>43976.374061238952</v>
      </c>
      <c r="K105" s="5">
        <f t="shared" si="5"/>
        <v>6.413907639004463E-3</v>
      </c>
    </row>
    <row r="106" spans="1:11">
      <c r="A106" s="3">
        <v>40756</v>
      </c>
      <c r="B106" s="105">
        <v>7306163</v>
      </c>
      <c r="C106" s="190">
        <f>+'Purchased Power Model '!C106</f>
        <v>3.7</v>
      </c>
      <c r="D106" s="190">
        <f>+'Purchased Power Model '!D106</f>
        <v>80.499999999999957</v>
      </c>
      <c r="E106" s="103">
        <f>+'Purchased Power Model '!E106</f>
        <v>7.0999999999999994E-2</v>
      </c>
      <c r="F106" s="57">
        <f>+'Purchased Power Model '!F106</f>
        <v>31</v>
      </c>
      <c r="G106" s="57">
        <f>+'Purchased Power Model '!G106</f>
        <v>0</v>
      </c>
      <c r="H106" s="42">
        <v>10</v>
      </c>
      <c r="I106" s="193">
        <f t="shared" si="3"/>
        <v>7672918.3761234889</v>
      </c>
      <c r="J106" s="36">
        <f t="shared" si="4"/>
        <v>366755.37612348888</v>
      </c>
      <c r="K106" s="5">
        <f t="shared" si="5"/>
        <v>5.0198082923073151E-2</v>
      </c>
    </row>
    <row r="107" spans="1:11">
      <c r="A107" s="3">
        <v>40787</v>
      </c>
      <c r="B107" s="105">
        <v>7539867</v>
      </c>
      <c r="C107" s="190">
        <f>+'Purchased Power Model '!C107</f>
        <v>48.900000000000006</v>
      </c>
      <c r="D107" s="190">
        <f>+'Purchased Power Model '!D107</f>
        <v>34.6</v>
      </c>
      <c r="E107" s="103">
        <f>+'Purchased Power Model '!E107</f>
        <v>7.0999999999999994E-2</v>
      </c>
      <c r="F107" s="57">
        <f>+'Purchased Power Model '!F107</f>
        <v>30</v>
      </c>
      <c r="G107" s="57">
        <f>+'Purchased Power Model '!G107</f>
        <v>1</v>
      </c>
      <c r="H107" s="42">
        <v>10</v>
      </c>
      <c r="I107" s="193">
        <f t="shared" si="3"/>
        <v>7378339.3763115285</v>
      </c>
      <c r="J107" s="36">
        <f t="shared" si="4"/>
        <v>-161527.6236884715</v>
      </c>
      <c r="K107" s="5">
        <f t="shared" si="5"/>
        <v>-2.1423139650669103E-2</v>
      </c>
    </row>
    <row r="108" spans="1:11">
      <c r="A108" s="3">
        <v>40817</v>
      </c>
      <c r="B108" s="105">
        <v>7091875</v>
      </c>
      <c r="C108" s="190">
        <f>+'Purchased Power Model '!C108</f>
        <v>225.29999999999998</v>
      </c>
      <c r="D108" s="190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42">
        <v>10</v>
      </c>
      <c r="I108" s="193">
        <f t="shared" si="3"/>
        <v>7041649.3347312603</v>
      </c>
      <c r="J108" s="36">
        <f t="shared" si="4"/>
        <v>-50225.665268739685</v>
      </c>
      <c r="K108" s="5">
        <f t="shared" si="5"/>
        <v>-7.0821419256176521E-3</v>
      </c>
    </row>
    <row r="109" spans="1:11">
      <c r="A109" s="3">
        <v>40848</v>
      </c>
      <c r="B109" s="105">
        <v>6525631</v>
      </c>
      <c r="C109" s="190">
        <f>+'Purchased Power Model '!C109</f>
        <v>349.69999999999993</v>
      </c>
      <c r="D109" s="190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42">
        <v>10</v>
      </c>
      <c r="I109" s="193">
        <f t="shared" si="3"/>
        <v>6831059.1479523247</v>
      </c>
      <c r="J109" s="36">
        <f t="shared" si="4"/>
        <v>305428.14795232471</v>
      </c>
      <c r="K109" s="5">
        <f t="shared" si="5"/>
        <v>4.6804385346386382E-2</v>
      </c>
    </row>
    <row r="110" spans="1:11">
      <c r="A110" s="3">
        <v>40878</v>
      </c>
      <c r="B110" s="105">
        <v>6331942</v>
      </c>
      <c r="C110" s="190">
        <f>+'Purchased Power Model '!C110</f>
        <v>531.20000000000005</v>
      </c>
      <c r="D110" s="190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42">
        <v>10</v>
      </c>
      <c r="I110" s="193">
        <f t="shared" si="3"/>
        <v>7017996.8435174758</v>
      </c>
      <c r="J110" s="36">
        <f t="shared" si="4"/>
        <v>686054.84351747576</v>
      </c>
      <c r="K110" s="5">
        <f t="shared" si="5"/>
        <v>0.10834825137650909</v>
      </c>
    </row>
    <row r="111" spans="1:11">
      <c r="A111" s="3">
        <v>40909</v>
      </c>
      <c r="B111" s="105">
        <v>6179904</v>
      </c>
      <c r="C111" s="190">
        <f>+'Purchased Power Model '!C111</f>
        <v>611</v>
      </c>
      <c r="D111" s="190">
        <f>+'Purchased Power Model '!D111</f>
        <v>0</v>
      </c>
      <c r="E111" s="103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42">
        <v>10</v>
      </c>
      <c r="I111" s="193">
        <f t="shared" si="3"/>
        <v>6641574.3509256365</v>
      </c>
      <c r="J111" s="36">
        <f t="shared" si="4"/>
        <v>461670.35092563648</v>
      </c>
      <c r="K111" s="5">
        <f t="shared" si="5"/>
        <v>7.4705100746813621E-2</v>
      </c>
    </row>
    <row r="112" spans="1:11">
      <c r="A112" s="3">
        <v>40940</v>
      </c>
      <c r="B112" s="105">
        <v>6319705</v>
      </c>
      <c r="C112" s="190">
        <f>+'Purchased Power Model '!C112</f>
        <v>536.20000000000005</v>
      </c>
      <c r="D112" s="190">
        <f>+'Purchased Power Model '!D112</f>
        <v>0</v>
      </c>
      <c r="E112" s="103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42">
        <v>10</v>
      </c>
      <c r="I112" s="193">
        <f t="shared" si="3"/>
        <v>7219579.6091045141</v>
      </c>
      <c r="J112" s="36">
        <f t="shared" si="4"/>
        <v>899874.60910451412</v>
      </c>
      <c r="K112" s="5">
        <f t="shared" si="5"/>
        <v>0.14239186941550502</v>
      </c>
    </row>
    <row r="113" spans="1:11">
      <c r="A113" s="3">
        <v>40969</v>
      </c>
      <c r="B113" s="105">
        <v>5970171</v>
      </c>
      <c r="C113" s="190">
        <f>+'Purchased Power Model '!C113</f>
        <v>399.39999999999992</v>
      </c>
      <c r="D113" s="190">
        <f>+'Purchased Power Model '!D113</f>
        <v>0</v>
      </c>
      <c r="E113" s="103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42">
        <v>10</v>
      </c>
      <c r="I113" s="193">
        <f t="shared" si="3"/>
        <v>6374055.0094052572</v>
      </c>
      <c r="J113" s="36">
        <f t="shared" si="4"/>
        <v>403884.00940525718</v>
      </c>
      <c r="K113" s="5">
        <f t="shared" si="5"/>
        <v>6.7650325159071184E-2</v>
      </c>
    </row>
    <row r="114" spans="1:11">
      <c r="A114" s="3">
        <v>41000</v>
      </c>
      <c r="B114" s="105">
        <v>6499928</v>
      </c>
      <c r="C114" s="190">
        <f>+'Purchased Power Model '!C114</f>
        <v>336.89999999999992</v>
      </c>
      <c r="D114" s="190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42">
        <v>10</v>
      </c>
      <c r="I114" s="193">
        <f t="shared" si="3"/>
        <v>6653877.6505358191</v>
      </c>
      <c r="J114" s="36">
        <f t="shared" si="4"/>
        <v>153949.65053581912</v>
      </c>
      <c r="K114" s="5">
        <f t="shared" si="5"/>
        <v>2.3684823975868522E-2</v>
      </c>
    </row>
    <row r="115" spans="1:11">
      <c r="A115" s="3">
        <v>41030</v>
      </c>
      <c r="B115" s="105">
        <v>5793832</v>
      </c>
      <c r="C115" s="190">
        <f>+'Purchased Power Model '!C115</f>
        <v>109.30000000000001</v>
      </c>
      <c r="D115" s="190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42">
        <v>10</v>
      </c>
      <c r="I115" s="193">
        <f t="shared" si="3"/>
        <v>6901789.0224611089</v>
      </c>
      <c r="J115" s="36">
        <f t="shared" si="4"/>
        <v>1107957.0224611089</v>
      </c>
      <c r="K115" s="5">
        <f t="shared" si="5"/>
        <v>0.19123043651612764</v>
      </c>
    </row>
    <row r="116" spans="1:11">
      <c r="A116" s="3">
        <v>41061</v>
      </c>
      <c r="B116" s="105">
        <v>6390914</v>
      </c>
      <c r="C116" s="190">
        <f>+'Purchased Power Model '!C116</f>
        <v>28.2</v>
      </c>
      <c r="D116" s="190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42">
        <v>10</v>
      </c>
      <c r="I116" s="193">
        <f t="shared" si="3"/>
        <v>7698138.404783288</v>
      </c>
      <c r="J116" s="36">
        <f t="shared" si="4"/>
        <v>1307224.404783288</v>
      </c>
      <c r="K116" s="5">
        <f t="shared" si="5"/>
        <v>0.20454420209429949</v>
      </c>
    </row>
    <row r="117" spans="1:11">
      <c r="A117" s="3">
        <v>41091</v>
      </c>
      <c r="B117" s="105">
        <v>6665317</v>
      </c>
      <c r="C117" s="190">
        <f>+'Purchased Power Model '!C117</f>
        <v>0</v>
      </c>
      <c r="D117" s="190">
        <f>+'Purchased Power Model '!D117</f>
        <v>155.30000000000001</v>
      </c>
      <c r="E117" s="103">
        <f>+'Purchased Power Model '!E117</f>
        <v>9.0999999999999998E-2</v>
      </c>
      <c r="F117" s="57">
        <f>+'Purchased Power Model '!F117</f>
        <v>31</v>
      </c>
      <c r="G117" s="57">
        <f>+'Purchased Power Model '!G117</f>
        <v>0</v>
      </c>
      <c r="H117" s="42">
        <v>10</v>
      </c>
      <c r="I117" s="193">
        <f t="shared" si="3"/>
        <v>6285632.3216024814</v>
      </c>
      <c r="J117" s="36">
        <f t="shared" si="4"/>
        <v>-379684.67839751858</v>
      </c>
      <c r="K117" s="5">
        <f t="shared" si="5"/>
        <v>-5.6964234168835268E-2</v>
      </c>
    </row>
    <row r="118" spans="1:11">
      <c r="A118" s="3">
        <v>41122</v>
      </c>
      <c r="B118" s="105">
        <v>7277776</v>
      </c>
      <c r="C118" s="190">
        <f>+'Purchased Power Model '!C118</f>
        <v>4.4000000000000004</v>
      </c>
      <c r="D118" s="190">
        <f>+'Purchased Power Model '!D118</f>
        <v>102.79999999999998</v>
      </c>
      <c r="E118" s="103">
        <f>+'Purchased Power Model '!E118</f>
        <v>9.0999999999999998E-2</v>
      </c>
      <c r="F118" s="57">
        <f>+'Purchased Power Model '!F118</f>
        <v>31</v>
      </c>
      <c r="G118" s="57">
        <f>+'Purchased Power Model '!G118</f>
        <v>0</v>
      </c>
      <c r="H118" s="42">
        <v>10</v>
      </c>
      <c r="I118" s="193">
        <f t="shared" si="3"/>
        <v>6949564.4969721874</v>
      </c>
      <c r="J118" s="36">
        <f t="shared" si="4"/>
        <v>-328211.50302781258</v>
      </c>
      <c r="K118" s="5">
        <f t="shared" si="5"/>
        <v>-4.509777479106427E-2</v>
      </c>
    </row>
    <row r="119" spans="1:11">
      <c r="A119" s="3">
        <v>41153</v>
      </c>
      <c r="B119" s="105">
        <v>7136835</v>
      </c>
      <c r="C119" s="190">
        <f>+'Purchased Power Model '!C119</f>
        <v>84</v>
      </c>
      <c r="D119" s="190">
        <f>+'Purchased Power Model '!D119</f>
        <v>24.400000000000002</v>
      </c>
      <c r="E119" s="103">
        <f>+'Purchased Power Model '!E119</f>
        <v>9.0999999999999998E-2</v>
      </c>
      <c r="F119" s="57">
        <f>+'Purchased Power Model '!F119</f>
        <v>30</v>
      </c>
      <c r="G119" s="57">
        <f>+'Purchased Power Model '!G119</f>
        <v>1</v>
      </c>
      <c r="H119" s="42">
        <v>10</v>
      </c>
      <c r="I119" s="193">
        <f t="shared" si="3"/>
        <v>6968183.9775172239</v>
      </c>
      <c r="J119" s="36">
        <f t="shared" si="4"/>
        <v>-168651.02248277608</v>
      </c>
      <c r="K119" s="5">
        <f t="shared" si="5"/>
        <v>-2.3631066499754595E-2</v>
      </c>
    </row>
    <row r="120" spans="1:11">
      <c r="A120" s="3">
        <v>41183</v>
      </c>
      <c r="B120" s="105">
        <v>6492045</v>
      </c>
      <c r="C120" s="190">
        <f>+'Purchased Power Model '!C120</f>
        <v>228.99999999999994</v>
      </c>
      <c r="D120" s="190">
        <f>+'Purchased Power Model '!D120</f>
        <v>0</v>
      </c>
      <c r="E120" s="103">
        <f>+'Purchased Power Model '!E120</f>
        <v>9.6000000000000002E-2</v>
      </c>
      <c r="F120" s="57">
        <f>+'Purchased Power Model '!F120</f>
        <v>31</v>
      </c>
      <c r="G120" s="57">
        <f>+'Purchased Power Model '!G120</f>
        <v>1</v>
      </c>
      <c r="H120" s="42">
        <v>11</v>
      </c>
      <c r="I120" s="193">
        <f t="shared" si="3"/>
        <v>6719816.6196988961</v>
      </c>
      <c r="J120" s="36">
        <f t="shared" si="4"/>
        <v>227771.61969889607</v>
      </c>
      <c r="K120" s="5">
        <f t="shared" si="5"/>
        <v>3.5084725952900214E-2</v>
      </c>
    </row>
    <row r="121" spans="1:11">
      <c r="A121" s="3">
        <v>41214</v>
      </c>
      <c r="B121" s="105">
        <v>6332984</v>
      </c>
      <c r="C121" s="190">
        <f>+'Purchased Power Model '!C121</f>
        <v>427.89999999999992</v>
      </c>
      <c r="D121" s="190">
        <f>+'Purchased Power Model '!D121</f>
        <v>0</v>
      </c>
      <c r="E121" s="103">
        <f>+'Purchased Power Model '!E121</f>
        <v>9.6000000000000002E-2</v>
      </c>
      <c r="F121" s="57">
        <f>+'Purchased Power Model '!F121</f>
        <v>30</v>
      </c>
      <c r="G121" s="57">
        <f>+'Purchased Power Model '!G121</f>
        <v>1</v>
      </c>
      <c r="H121" s="42">
        <v>11</v>
      </c>
      <c r="I121" s="193">
        <f t="shared" si="3"/>
        <v>6279191.4219051655</v>
      </c>
      <c r="J121" s="36">
        <f t="shared" si="4"/>
        <v>-53792.578094834462</v>
      </c>
      <c r="K121" s="5">
        <f t="shared" si="5"/>
        <v>-8.4940334753466074E-3</v>
      </c>
    </row>
    <row r="122" spans="1:11">
      <c r="A122" s="3">
        <v>41244</v>
      </c>
      <c r="B122" s="105">
        <v>5768726</v>
      </c>
      <c r="C122" s="190">
        <f>+'Purchased Power Model '!C122</f>
        <v>451.09999999999997</v>
      </c>
      <c r="D122" s="190">
        <f>+'Purchased Power Model '!D122</f>
        <v>0</v>
      </c>
      <c r="E122" s="103">
        <f>+'Purchased Power Model '!E122</f>
        <v>9.6000000000000002E-2</v>
      </c>
      <c r="F122" s="57">
        <f>+'Purchased Power Model '!F122</f>
        <v>31</v>
      </c>
      <c r="G122" s="57">
        <f>+'Purchased Power Model '!G122</f>
        <v>0</v>
      </c>
      <c r="H122" s="42">
        <v>11</v>
      </c>
      <c r="I122" s="193">
        <f t="shared" si="3"/>
        <v>6954914.9193983972</v>
      </c>
      <c r="J122" s="36">
        <f t="shared" si="4"/>
        <v>1186188.9193983972</v>
      </c>
      <c r="K122" s="5">
        <f t="shared" si="5"/>
        <v>0.20562407009769526</v>
      </c>
    </row>
    <row r="123" spans="1:11">
      <c r="A123" s="3">
        <v>41275</v>
      </c>
      <c r="B123" s="105">
        <v>6271283</v>
      </c>
      <c r="C123" s="190">
        <f>+'Purchased Power Model '!C123</f>
        <v>615.40000000000009</v>
      </c>
      <c r="D123" s="190">
        <f>+'Purchased Power Model '!D123</f>
        <v>0</v>
      </c>
      <c r="E123" s="103">
        <f>+'Purchased Power Model '!E123</f>
        <v>8.6000110000000005E-2</v>
      </c>
      <c r="F123" s="57">
        <f>+'Purchased Power Model '!F123</f>
        <v>31</v>
      </c>
      <c r="G123" s="57">
        <f>+'Purchased Power Model '!G123</f>
        <v>0</v>
      </c>
      <c r="H123" s="42">
        <v>11</v>
      </c>
      <c r="I123" s="193">
        <f t="shared" si="3"/>
        <v>6664304.7153664716</v>
      </c>
      <c r="J123" s="36">
        <f t="shared" si="4"/>
        <v>393021.71536647156</v>
      </c>
      <c r="K123" s="5">
        <f t="shared" si="5"/>
        <v>6.267006533853943E-2</v>
      </c>
    </row>
    <row r="124" spans="1:11">
      <c r="A124" s="3">
        <v>41306</v>
      </c>
      <c r="B124" s="105">
        <v>6472376</v>
      </c>
      <c r="C124" s="190">
        <f>+'Purchased Power Model '!C124</f>
        <v>611.5</v>
      </c>
      <c r="D124" s="190">
        <f>+'Purchased Power Model '!D124</f>
        <v>0</v>
      </c>
      <c r="E124" s="103">
        <f>+'Purchased Power Model '!E124</f>
        <v>8.6000110000000005E-2</v>
      </c>
      <c r="F124" s="57">
        <f>+'Purchased Power Model '!F124</f>
        <v>28</v>
      </c>
      <c r="G124" s="57">
        <f>+'Purchased Power Model '!G124</f>
        <v>0</v>
      </c>
      <c r="H124" s="42">
        <v>11</v>
      </c>
      <c r="I124" s="193">
        <f t="shared" si="3"/>
        <v>7196912.7141394531</v>
      </c>
      <c r="J124" s="36">
        <f t="shared" si="4"/>
        <v>724536.71413945314</v>
      </c>
      <c r="K124" s="5">
        <f t="shared" si="5"/>
        <v>0.11194292700848238</v>
      </c>
    </row>
    <row r="125" spans="1:11">
      <c r="A125" s="3">
        <v>41334</v>
      </c>
      <c r="B125" s="105">
        <v>5759394</v>
      </c>
      <c r="C125" s="190">
        <f>+'Purchased Power Model '!C125</f>
        <v>545</v>
      </c>
      <c r="D125" s="190">
        <f>+'Purchased Power Model '!D125</f>
        <v>0</v>
      </c>
      <c r="E125" s="103">
        <f>+'Purchased Power Model '!E125</f>
        <v>8.6000110000000005E-2</v>
      </c>
      <c r="F125" s="57">
        <f>+'Purchased Power Model '!F125</f>
        <v>31</v>
      </c>
      <c r="G125" s="57">
        <f>+'Purchased Power Model '!G125</f>
        <v>1</v>
      </c>
      <c r="H125" s="42">
        <v>11</v>
      </c>
      <c r="I125" s="193">
        <f t="shared" si="3"/>
        <v>5960799.5543120084</v>
      </c>
      <c r="J125" s="36">
        <f t="shared" si="4"/>
        <v>201405.55431200843</v>
      </c>
      <c r="K125" s="5">
        <f t="shared" si="5"/>
        <v>3.496992119518276E-2</v>
      </c>
    </row>
    <row r="126" spans="1:11">
      <c r="A126" s="3">
        <v>41365</v>
      </c>
      <c r="B126" s="105">
        <v>6287655</v>
      </c>
      <c r="C126" s="190">
        <f>+'Purchased Power Model '!C126</f>
        <v>366.49999999999994</v>
      </c>
      <c r="D126" s="190">
        <f>+'Purchased Power Model '!D126</f>
        <v>0</v>
      </c>
      <c r="E126" s="103">
        <f>+'Purchased Power Model '!E126</f>
        <v>7.8295169999999997E-2</v>
      </c>
      <c r="F126" s="57">
        <f>+'Purchased Power Model '!F126</f>
        <v>30</v>
      </c>
      <c r="G126" s="57">
        <f>+'Purchased Power Model '!G126</f>
        <v>1</v>
      </c>
      <c r="H126" s="42">
        <v>11</v>
      </c>
      <c r="I126" s="193">
        <f t="shared" si="3"/>
        <v>6852448.5872951187</v>
      </c>
      <c r="J126" s="36">
        <f t="shared" si="4"/>
        <v>564793.58729511872</v>
      </c>
      <c r="K126" s="5">
        <f t="shared" si="5"/>
        <v>8.9825791538358693E-2</v>
      </c>
    </row>
    <row r="127" spans="1:11">
      <c r="A127" s="3">
        <v>41395</v>
      </c>
      <c r="B127" s="105">
        <v>6190002</v>
      </c>
      <c r="C127" s="190">
        <f>+'Purchased Power Model '!C127</f>
        <v>133.4</v>
      </c>
      <c r="D127" s="190">
        <f>+'Purchased Power Model '!D127</f>
        <v>3</v>
      </c>
      <c r="E127" s="103">
        <f>+'Purchased Power Model '!E127</f>
        <v>7.8295169999999997E-2</v>
      </c>
      <c r="F127" s="57">
        <f>+'Purchased Power Model '!F127</f>
        <v>31</v>
      </c>
      <c r="G127" s="57">
        <f>+'Purchased Power Model '!G127</f>
        <v>1</v>
      </c>
      <c r="H127" s="42">
        <v>11</v>
      </c>
      <c r="I127" s="193">
        <f t="shared" si="3"/>
        <v>7359958.4278338896</v>
      </c>
      <c r="J127" s="36">
        <f t="shared" si="4"/>
        <v>1169956.4278338896</v>
      </c>
      <c r="K127" s="5">
        <f t="shared" si="5"/>
        <v>0.18900743938917783</v>
      </c>
    </row>
    <row r="128" spans="1:11">
      <c r="A128" s="3">
        <v>41426</v>
      </c>
      <c r="B128" s="105">
        <v>6529850</v>
      </c>
      <c r="C128" s="190">
        <f>+'Purchased Power Model '!C128</f>
        <v>42.900000000000006</v>
      </c>
      <c r="D128" s="190">
        <f>+'Purchased Power Model '!D128</f>
        <v>32.200000000000003</v>
      </c>
      <c r="E128" s="103">
        <f>+'Purchased Power Model '!E128</f>
        <v>7.8295169999999997E-2</v>
      </c>
      <c r="F128" s="57">
        <f>+'Purchased Power Model '!F128</f>
        <v>30</v>
      </c>
      <c r="G128" s="57">
        <f>+'Purchased Power Model '!G128</f>
        <v>0</v>
      </c>
      <c r="H128" s="42">
        <v>11</v>
      </c>
      <c r="I128" s="193">
        <f t="shared" si="3"/>
        <v>8356970.2896052087</v>
      </c>
      <c r="J128" s="36">
        <f t="shared" si="4"/>
        <v>1827120.2896052087</v>
      </c>
      <c r="K128" s="5">
        <f t="shared" si="5"/>
        <v>0.27981045347216377</v>
      </c>
    </row>
    <row r="129" spans="1:11">
      <c r="A129" s="3">
        <v>41456</v>
      </c>
      <c r="B129" s="105">
        <v>6851836</v>
      </c>
      <c r="C129" s="190">
        <f>+'Purchased Power Model '!C129</f>
        <v>4.4000000000000004</v>
      </c>
      <c r="D129" s="190">
        <f>+'Purchased Power Model '!D129</f>
        <v>109.99999999999999</v>
      </c>
      <c r="E129" s="103">
        <f>+'Purchased Power Model '!E129</f>
        <v>6.7434110000000005E-2</v>
      </c>
      <c r="F129" s="57">
        <f>+'Purchased Power Model '!F129</f>
        <v>31</v>
      </c>
      <c r="G129" s="57">
        <f>+'Purchased Power Model '!G129</f>
        <v>0</v>
      </c>
      <c r="H129" s="42">
        <v>11</v>
      </c>
      <c r="I129" s="193">
        <f t="shared" si="3"/>
        <v>7533671.9564173911</v>
      </c>
      <c r="J129" s="36">
        <f t="shared" si="4"/>
        <v>681835.95641739108</v>
      </c>
      <c r="K129" s="5">
        <f t="shared" si="5"/>
        <v>9.9511423860318762E-2</v>
      </c>
    </row>
    <row r="130" spans="1:11">
      <c r="A130" s="3">
        <v>41487</v>
      </c>
      <c r="B130" s="105">
        <v>7451969</v>
      </c>
      <c r="C130" s="190">
        <f>+'Purchased Power Model '!C130</f>
        <v>11</v>
      </c>
      <c r="D130" s="190">
        <f>+'Purchased Power Model '!D130</f>
        <v>57.899999999999991</v>
      </c>
      <c r="E130" s="103">
        <f>+'Purchased Power Model '!E130</f>
        <v>6.7434110000000005E-2</v>
      </c>
      <c r="F130" s="57">
        <f>+'Purchased Power Model '!F130</f>
        <v>31</v>
      </c>
      <c r="G130" s="57">
        <f>+'Purchased Power Model '!G130</f>
        <v>0</v>
      </c>
      <c r="H130" s="42">
        <v>11</v>
      </c>
      <c r="I130" s="193">
        <f t="shared" si="3"/>
        <v>8185649.1086569931</v>
      </c>
      <c r="J130" s="36">
        <f t="shared" si="4"/>
        <v>733680.10865699314</v>
      </c>
      <c r="K130" s="5">
        <f t="shared" si="5"/>
        <v>9.845453042772899E-2</v>
      </c>
    </row>
    <row r="131" spans="1:11">
      <c r="A131" s="3">
        <v>41518</v>
      </c>
      <c r="B131" s="105">
        <v>7376956</v>
      </c>
      <c r="C131" s="190">
        <f>+'Purchased Power Model '!C131</f>
        <v>96.600000000000009</v>
      </c>
      <c r="D131" s="190">
        <f>+'Purchased Power Model '!D131</f>
        <v>15.700000000000001</v>
      </c>
      <c r="E131" s="103">
        <f>+'Purchased Power Model '!E131</f>
        <v>6.7434110000000005E-2</v>
      </c>
      <c r="F131" s="57">
        <f>+'Purchased Power Model '!F131</f>
        <v>30</v>
      </c>
      <c r="G131" s="57">
        <f>+'Purchased Power Model '!G131</f>
        <v>1</v>
      </c>
      <c r="H131" s="42">
        <v>11</v>
      </c>
      <c r="I131" s="193">
        <f t="shared" si="3"/>
        <v>7718577.393605059</v>
      </c>
      <c r="J131" s="36">
        <f t="shared" si="4"/>
        <v>341621.39360505901</v>
      </c>
      <c r="K131" s="5">
        <f t="shared" si="5"/>
        <v>4.6309262737239995E-2</v>
      </c>
    </row>
    <row r="132" spans="1:11">
      <c r="A132" s="3">
        <v>41548</v>
      </c>
      <c r="B132" s="105">
        <v>6807968</v>
      </c>
      <c r="C132" s="190">
        <f>+'Purchased Power Model '!C132</f>
        <v>221</v>
      </c>
      <c r="D132" s="190">
        <f>+'Purchased Power Model '!D132</f>
        <v>3</v>
      </c>
      <c r="E132" s="103">
        <f>+'Purchased Power Model '!E132</f>
        <v>7.5499999999999998E-2</v>
      </c>
      <c r="F132" s="57">
        <f>+'Purchased Power Model '!F132</f>
        <v>31</v>
      </c>
      <c r="G132" s="57">
        <f>+'Purchased Power Model '!G132</f>
        <v>1</v>
      </c>
      <c r="H132" s="42">
        <v>11</v>
      </c>
      <c r="I132" s="193">
        <f t="shared" ref="I132:I195" si="6">$N$18+C132*$N$19+D132*$N$20+E132*$N$21+F132*$N$22+G132*$N$23+H132*$N$24</f>
        <v>7150046.8408785192</v>
      </c>
      <c r="J132" s="36">
        <f t="shared" ref="J132:J133" si="7">I132-B132</f>
        <v>342078.84087851923</v>
      </c>
      <c r="K132" s="5">
        <f t="shared" ref="K132:K133" si="8">J132/B132</f>
        <v>5.0246834426736324E-2</v>
      </c>
    </row>
    <row r="133" spans="1:11">
      <c r="A133" s="3">
        <v>41579</v>
      </c>
      <c r="B133" s="105">
        <v>6819877</v>
      </c>
      <c r="C133" s="190">
        <f>+'Purchased Power Model '!C133</f>
        <v>458.6</v>
      </c>
      <c r="D133" s="190">
        <f>+'Purchased Power Model '!D133</f>
        <v>0</v>
      </c>
      <c r="E133" s="103">
        <f>+'Purchased Power Model '!E133</f>
        <v>7.5499999999999998E-2</v>
      </c>
      <c r="F133" s="57">
        <f>+'Purchased Power Model '!F133</f>
        <v>30</v>
      </c>
      <c r="G133" s="57">
        <f>+'Purchased Power Model '!G133</f>
        <v>1</v>
      </c>
      <c r="H133" s="42">
        <v>11</v>
      </c>
      <c r="I133" s="193">
        <f t="shared" si="6"/>
        <v>6628642.2681307998</v>
      </c>
      <c r="J133" s="36">
        <f t="shared" si="7"/>
        <v>-191234.73186920024</v>
      </c>
      <c r="K133" s="5">
        <f t="shared" si="8"/>
        <v>-2.8040788986253014E-2</v>
      </c>
    </row>
    <row r="134" spans="1:11">
      <c r="A134" s="3">
        <v>41609</v>
      </c>
      <c r="B134" s="105">
        <v>6357067</v>
      </c>
      <c r="C134" s="190">
        <f>+'Purchased Power Model '!C134</f>
        <v>472.8</v>
      </c>
      <c r="D134" s="190">
        <f ca="1">+'Purchased Power Model '!D134</f>
        <v>0</v>
      </c>
      <c r="E134" s="103">
        <f>+'Purchased Power Model '!E134</f>
        <v>7.5499999999999998E-2</v>
      </c>
      <c r="F134" s="57">
        <f>+'Purchased Power Model '!F134</f>
        <v>31</v>
      </c>
      <c r="G134" s="57">
        <f>+'Purchased Power Model '!G134</f>
        <v>0</v>
      </c>
      <c r="H134" s="42">
        <v>11</v>
      </c>
      <c r="I134" s="193">
        <f t="shared" ca="1" si="6"/>
        <v>7332155.2300419267</v>
      </c>
      <c r="J134" s="36">
        <f t="shared" ref="J134" ca="1" si="9">I134-B134</f>
        <v>975088.23004192673</v>
      </c>
      <c r="K134" s="5">
        <f t="shared" ref="K134" ca="1" si="10">J134/B134</f>
        <v>0.15338649569713939</v>
      </c>
    </row>
    <row r="135" spans="1:11">
      <c r="A135" s="3">
        <v>41640</v>
      </c>
      <c r="C135" s="188">
        <f>+'Purchased Power Model '!C135</f>
        <v>552.13385193331999</v>
      </c>
      <c r="D135" s="188">
        <f ca="1">+'Purchased Power Model '!D135</f>
        <v>0</v>
      </c>
      <c r="E135" s="103">
        <f>+'Purchased Power Model '!E135</f>
        <v>7.5499999999999998E-2</v>
      </c>
      <c r="F135" s="57">
        <f>+'Purchased Power Model '!F135</f>
        <v>31</v>
      </c>
      <c r="G135" s="57">
        <f>+'Purchased Power Model '!G135</f>
        <v>0</v>
      </c>
      <c r="H135" s="17"/>
      <c r="I135" s="193">
        <f t="shared" ca="1" si="6"/>
        <v>5257440.5295484075</v>
      </c>
      <c r="J135" s="36"/>
      <c r="K135" s="5"/>
    </row>
    <row r="136" spans="1:11">
      <c r="A136" s="3">
        <v>41671</v>
      </c>
      <c r="C136" s="188">
        <f>+'Purchased Power Model '!C136</f>
        <v>548.63479112321284</v>
      </c>
      <c r="D136" s="188">
        <f ca="1">+'Purchased Power Model '!D136</f>
        <v>0</v>
      </c>
      <c r="E136" s="103">
        <f>+'Purchased Power Model '!E136</f>
        <v>7.5499999999999998E-2</v>
      </c>
      <c r="F136" s="57">
        <f>+'Purchased Power Model '!F136</f>
        <v>28</v>
      </c>
      <c r="G136" s="57">
        <f>+'Purchased Power Model '!G136</f>
        <v>0</v>
      </c>
      <c r="H136" s="17"/>
      <c r="I136" s="193">
        <f t="shared" ca="1" si="6"/>
        <v>5788810.5410601385</v>
      </c>
      <c r="J136" s="36"/>
      <c r="K136" s="5"/>
    </row>
    <row r="137" spans="1:11">
      <c r="A137" s="3">
        <v>41699</v>
      </c>
      <c r="C137" s="188">
        <f>+'Purchased Power Model '!C137</f>
        <v>488.97131833548809</v>
      </c>
      <c r="D137" s="188">
        <f ca="1">+'Purchased Power Model '!D137</f>
        <v>0</v>
      </c>
      <c r="E137" s="103">
        <f>+'Purchased Power Model '!E137</f>
        <v>7.5499999999999998E-2</v>
      </c>
      <c r="F137" s="57">
        <f>+'Purchased Power Model '!F137</f>
        <v>31</v>
      </c>
      <c r="G137" s="57">
        <f>+'Purchased Power Model '!G137</f>
        <v>1</v>
      </c>
      <c r="H137" s="17"/>
      <c r="I137" s="193">
        <f t="shared" ca="1" si="6"/>
        <v>4531588.1112651937</v>
      </c>
      <c r="J137" s="36"/>
      <c r="K137" s="5"/>
    </row>
    <row r="138" spans="1:11">
      <c r="A138" s="3">
        <v>41730</v>
      </c>
      <c r="C138" s="188">
        <f>+'Purchased Power Model '!C138</f>
        <v>328.82199664212175</v>
      </c>
      <c r="D138" s="188">
        <f ca="1">+'Purchased Power Model '!D138</f>
        <v>0</v>
      </c>
      <c r="E138" s="103">
        <f>+'Purchased Power Model '!E138</f>
        <v>7.5499999999999998E-2</v>
      </c>
      <c r="F138" s="57">
        <f>+'Purchased Power Model '!F138</f>
        <v>30</v>
      </c>
      <c r="G138" s="57">
        <f>+'Purchased Power Model '!G138</f>
        <v>1</v>
      </c>
      <c r="H138" s="17"/>
      <c r="I138" s="193">
        <f t="shared" ca="1" si="6"/>
        <v>5199606.0634122463</v>
      </c>
      <c r="J138" s="36"/>
      <c r="K138" s="5"/>
    </row>
    <row r="139" spans="1:11">
      <c r="A139" s="3">
        <v>41760</v>
      </c>
      <c r="C139" s="188">
        <f>+'Purchased Power Model '!C139</f>
        <v>119.68582360725524</v>
      </c>
      <c r="D139" s="188">
        <f ca="1">+'Purchased Power Model '!D139</f>
        <v>3.6853840478727715</v>
      </c>
      <c r="E139" s="103">
        <f>+'Purchased Power Model '!E139</f>
        <v>7.5499999999999998E-2</v>
      </c>
      <c r="F139" s="57">
        <f>+'Purchased Power Model '!F139</f>
        <v>31</v>
      </c>
      <c r="G139" s="57">
        <f>+'Purchased Power Model '!G139</f>
        <v>1</v>
      </c>
      <c r="H139" s="17"/>
      <c r="I139" s="193">
        <f t="shared" ca="1" si="6"/>
        <v>5624277.4029317219</v>
      </c>
      <c r="J139" s="36"/>
      <c r="K139" s="5"/>
    </row>
    <row r="140" spans="1:11">
      <c r="A140" s="3">
        <v>41791</v>
      </c>
      <c r="C140" s="188">
        <f>+'Purchased Power Model '!C140</f>
        <v>38.489668911178789</v>
      </c>
      <c r="D140" s="188">
        <f ca="1">+'Purchased Power Model '!D140</f>
        <v>39.55645544716775</v>
      </c>
      <c r="E140" s="103">
        <f>+'Purchased Power Model '!E140</f>
        <v>7.5499999999999998E-2</v>
      </c>
      <c r="F140" s="57">
        <f>+'Purchased Power Model '!F140</f>
        <v>30</v>
      </c>
      <c r="G140" s="57">
        <f>+'Purchased Power Model '!G140</f>
        <v>0</v>
      </c>
      <c r="H140" s="17"/>
      <c r="I140" s="193">
        <f t="shared" ca="1" si="6"/>
        <v>6506470.7190576177</v>
      </c>
      <c r="J140" s="36"/>
      <c r="K140" s="5"/>
    </row>
    <row r="141" spans="1:11">
      <c r="A141" s="3">
        <v>41821</v>
      </c>
      <c r="C141" s="188">
        <f>+'Purchased Power Model '!C141</f>
        <v>3.9476583498644913</v>
      </c>
      <c r="D141" s="188">
        <f ca="1">+'Purchased Power Model '!D141</f>
        <v>135.1307484220016</v>
      </c>
      <c r="E141" s="103">
        <f>+'Purchased Power Model '!E141</f>
        <v>7.5499999999999998E-2</v>
      </c>
      <c r="F141" s="57">
        <f>+'Purchased Power Model '!F141</f>
        <v>31</v>
      </c>
      <c r="G141" s="57">
        <f>+'Purchased Power Model '!G141</f>
        <v>0</v>
      </c>
      <c r="H141" s="17"/>
      <c r="I141" s="193">
        <f t="shared" ca="1" si="6"/>
        <v>5206208.2397458395</v>
      </c>
      <c r="J141" s="36"/>
      <c r="K141" s="5"/>
    </row>
    <row r="142" spans="1:11">
      <c r="A142" s="3">
        <v>41852</v>
      </c>
      <c r="C142" s="188">
        <f>+'Purchased Power Model '!C142</f>
        <v>9.8691458746612266</v>
      </c>
      <c r="D142" s="188">
        <f ca="1">+'Purchased Power Model '!D142</f>
        <v>71.127912123944469</v>
      </c>
      <c r="E142" s="103">
        <f>+'Purchased Power Model '!E142</f>
        <v>7.5499999999999998E-2</v>
      </c>
      <c r="F142" s="57">
        <f>+'Purchased Power Model '!F142</f>
        <v>31</v>
      </c>
      <c r="G142" s="57">
        <f>+'Purchased Power Model '!G142</f>
        <v>0</v>
      </c>
      <c r="H142" s="17"/>
      <c r="I142" s="193">
        <f t="shared" ca="1" si="6"/>
        <v>6013887.8275186075</v>
      </c>
      <c r="J142" s="36"/>
      <c r="K142" s="5"/>
    </row>
    <row r="143" spans="1:11">
      <c r="A143" s="3">
        <v>41883</v>
      </c>
      <c r="C143" s="188">
        <f>+'Purchased Power Model '!C143</f>
        <v>86.669044681115878</v>
      </c>
      <c r="D143" s="188">
        <f ca="1">+'Purchased Power Model '!D143</f>
        <v>19.286843183867507</v>
      </c>
      <c r="E143" s="103">
        <f>+'Purchased Power Model '!E143</f>
        <v>7.5499999999999998E-2</v>
      </c>
      <c r="F143" s="57">
        <f>+'Purchased Power Model '!F143</f>
        <v>30</v>
      </c>
      <c r="G143" s="57">
        <f>+'Purchased Power Model '!G143</f>
        <v>1</v>
      </c>
      <c r="H143" s="17"/>
      <c r="I143" s="193">
        <f t="shared" ca="1" si="6"/>
        <v>5698407.3753058119</v>
      </c>
      <c r="J143" s="36"/>
      <c r="K143" s="5"/>
    </row>
    <row r="144" spans="1:11">
      <c r="A144" s="3">
        <v>41913</v>
      </c>
      <c r="C144" s="188">
        <f>+'Purchased Power Model '!C144</f>
        <v>198.2801125727392</v>
      </c>
      <c r="D144" s="188">
        <f ca="1">+'Purchased Power Model '!D144</f>
        <v>3.6853840478727715</v>
      </c>
      <c r="E144" s="103">
        <f>+'Purchased Power Model '!E144</f>
        <v>7.5499999999999998E-2</v>
      </c>
      <c r="F144" s="57">
        <f>+'Purchased Power Model '!F144</f>
        <v>31</v>
      </c>
      <c r="G144" s="57">
        <f>+'Purchased Power Model '!G144</f>
        <v>1</v>
      </c>
      <c r="H144" s="17"/>
      <c r="I144" s="193">
        <f t="shared" ca="1" si="6"/>
        <v>5381600.3810810503</v>
      </c>
      <c r="J144" s="36"/>
      <c r="K144" s="5"/>
    </row>
    <row r="145" spans="1:11">
      <c r="A145" s="3">
        <v>41944</v>
      </c>
      <c r="C145" s="188">
        <f>+'Purchased Power Model '!C145</f>
        <v>411.45366346542176</v>
      </c>
      <c r="D145" s="188">
        <f ca="1">+'Purchased Power Model '!D145</f>
        <v>0</v>
      </c>
      <c r="E145" s="103">
        <f>+'Purchased Power Model '!E145</f>
        <v>7.5499999999999998E-2</v>
      </c>
      <c r="F145" s="57">
        <f>+'Purchased Power Model '!F145</f>
        <v>30</v>
      </c>
      <c r="G145" s="57">
        <f>+'Purchased Power Model '!G145</f>
        <v>1</v>
      </c>
      <c r="H145" s="17"/>
      <c r="I145" s="193">
        <f t="shared" ca="1" si="6"/>
        <v>4944462.7561925324</v>
      </c>
      <c r="J145" s="36"/>
      <c r="K145" s="5"/>
    </row>
    <row r="146" spans="1:11">
      <c r="A146" s="3">
        <v>41974</v>
      </c>
      <c r="C146" s="188">
        <f>+'Purchased Power Model '!C146</f>
        <v>424.19383359452985</v>
      </c>
      <c r="D146" s="188">
        <f ca="1">+'Purchased Power Model '!D146</f>
        <v>0</v>
      </c>
      <c r="E146" s="103">
        <f>+'Purchased Power Model '!E146</f>
        <v>7.5499999999999998E-2</v>
      </c>
      <c r="F146" s="57">
        <f>+'Purchased Power Model '!F146</f>
        <v>31</v>
      </c>
      <c r="G146" s="57">
        <f>+'Purchased Power Model '!G146</f>
        <v>0</v>
      </c>
      <c r="H146" s="17"/>
      <c r="I146" s="193">
        <f t="shared" ca="1" si="6"/>
        <v>5652483.2614651425</v>
      </c>
      <c r="J146" s="36"/>
      <c r="K146" s="5"/>
    </row>
    <row r="147" spans="1:11">
      <c r="A147" s="3">
        <v>42005</v>
      </c>
      <c r="C147" s="188">
        <f>+'Purchased Power Model '!C147</f>
        <v>545.6611483841823</v>
      </c>
      <c r="D147" s="188">
        <f ca="1">+'Purchased Power Model '!D147</f>
        <v>0</v>
      </c>
      <c r="E147" s="103">
        <f>+'Purchased Power Model '!E147</f>
        <v>7.5499999999999998E-2</v>
      </c>
      <c r="F147" s="57">
        <f>+'Purchased Power Model '!F147</f>
        <v>31</v>
      </c>
      <c r="G147" s="57">
        <f>+'Purchased Power Model '!G147</f>
        <v>0</v>
      </c>
      <c r="H147" s="17"/>
      <c r="I147" s="193">
        <f t="shared" ca="1" si="6"/>
        <v>5277426.4145446671</v>
      </c>
      <c r="J147" s="36"/>
      <c r="K147" s="5"/>
    </row>
    <row r="148" spans="1:11">
      <c r="A148" s="3">
        <v>42036</v>
      </c>
      <c r="C148" s="188">
        <f>+'Purchased Power Model '!C148</f>
        <v>542.20310730732444</v>
      </c>
      <c r="D148" s="188">
        <f ca="1">+'Purchased Power Model '!D148</f>
        <v>0</v>
      </c>
      <c r="E148" s="103">
        <f>+'Purchased Power Model '!E148</f>
        <v>7.5499999999999998E-2</v>
      </c>
      <c r="F148" s="57">
        <f>+'Purchased Power Model '!F148</f>
        <v>28</v>
      </c>
      <c r="G148" s="57">
        <f>+'Purchased Power Model '!G148</f>
        <v>0</v>
      </c>
      <c r="H148" s="17"/>
      <c r="I148" s="193">
        <f t="shared" ca="1" si="6"/>
        <v>5808669.7686766684</v>
      </c>
      <c r="J148" s="36"/>
      <c r="K148" s="5"/>
    </row>
    <row r="149" spans="1:11">
      <c r="A149" s="3">
        <v>42064</v>
      </c>
      <c r="C149" s="188">
        <f>+'Purchased Power Model '!C149</f>
        <v>483.23907356090245</v>
      </c>
      <c r="D149" s="188">
        <f ca="1">+'Purchased Power Model '!D149</f>
        <v>0</v>
      </c>
      <c r="E149" s="103">
        <f>+'Purchased Power Model '!E149</f>
        <v>7.5499999999999998E-2</v>
      </c>
      <c r="F149" s="57">
        <f>+'Purchased Power Model '!F149</f>
        <v>31</v>
      </c>
      <c r="G149" s="57">
        <f>+'Purchased Power Model '!G149</f>
        <v>1</v>
      </c>
      <c r="H149" s="17"/>
      <c r="I149" s="193">
        <f t="shared" ca="1" si="6"/>
        <v>4549287.6681760848</v>
      </c>
      <c r="J149" s="36"/>
      <c r="K149" s="5"/>
    </row>
    <row r="150" spans="1:11">
      <c r="A150" s="3">
        <v>42095</v>
      </c>
      <c r="C150" s="188">
        <f>+'Purchased Power Model '!C150</f>
        <v>324.96719350471687</v>
      </c>
      <c r="D150" s="188">
        <f ca="1">+'Purchased Power Model '!D150</f>
        <v>0</v>
      </c>
      <c r="E150" s="103">
        <f>+'Purchased Power Model '!E150</f>
        <v>7.5499999999999998E-2</v>
      </c>
      <c r="F150" s="57">
        <f>+'Purchased Power Model '!F150</f>
        <v>30</v>
      </c>
      <c r="G150" s="57">
        <f>+'Purchased Power Model '!G150</f>
        <v>1</v>
      </c>
      <c r="H150" s="17"/>
      <c r="I150" s="193">
        <f t="shared" ca="1" si="6"/>
        <v>5211508.6094816802</v>
      </c>
      <c r="J150" s="36"/>
      <c r="K150" s="5"/>
    </row>
    <row r="151" spans="1:11">
      <c r="A151" s="3">
        <v>42125</v>
      </c>
      <c r="C151" s="188">
        <f>+'Purchased Power Model '!C151</f>
        <v>118.28273837252181</v>
      </c>
      <c r="D151" s="188">
        <f ca="1">+'Purchased Power Model '!D151</f>
        <v>3.7719239281908306</v>
      </c>
      <c r="E151" s="103">
        <f>+'Purchased Power Model '!E151</f>
        <v>7.5499999999999998E-2</v>
      </c>
      <c r="F151" s="57">
        <f>+'Purchased Power Model '!F151</f>
        <v>31</v>
      </c>
      <c r="G151" s="57">
        <f>+'Purchased Power Model '!G151</f>
        <v>1</v>
      </c>
      <c r="H151" s="17"/>
      <c r="I151" s="193">
        <f t="shared" ca="1" si="6"/>
        <v>5627492.9283981305</v>
      </c>
      <c r="J151" s="36"/>
      <c r="K151" s="5"/>
    </row>
    <row r="152" spans="1:11">
      <c r="A152" s="3">
        <v>42156</v>
      </c>
      <c r="C152" s="188">
        <f>+'Purchased Power Model '!C152</f>
        <v>38.038451845436171</v>
      </c>
      <c r="D152" s="188">
        <f ca="1">+'Purchased Power Model '!D152</f>
        <v>40.485316829248255</v>
      </c>
      <c r="E152" s="103">
        <f>+'Purchased Power Model '!E152</f>
        <v>7.5499999999999998E-2</v>
      </c>
      <c r="F152" s="57">
        <f>+'Purchased Power Model '!F152</f>
        <v>30</v>
      </c>
      <c r="G152" s="57">
        <f>+'Purchased Power Model '!G152</f>
        <v>0</v>
      </c>
      <c r="H152" s="17"/>
      <c r="I152" s="193">
        <f t="shared" ca="1" si="6"/>
        <v>6495876.8943878002</v>
      </c>
      <c r="J152" s="36"/>
      <c r="K152" s="5"/>
    </row>
    <row r="153" spans="1:11">
      <c r="A153" s="3">
        <v>42186</v>
      </c>
      <c r="C153" s="188">
        <f>+'Purchased Power Model '!C153</f>
        <v>3.9013796764549924</v>
      </c>
      <c r="D153" s="188">
        <f ca="1">+'Purchased Power Model '!D153</f>
        <v>138.30387736699711</v>
      </c>
      <c r="E153" s="103">
        <f>+'Purchased Power Model '!E153</f>
        <v>7.5499999999999998E-2</v>
      </c>
      <c r="F153" s="57">
        <f>+'Purchased Power Model '!F153</f>
        <v>31</v>
      </c>
      <c r="G153" s="57">
        <f>+'Purchased Power Model '!G153</f>
        <v>0</v>
      </c>
      <c r="H153" s="17"/>
      <c r="I153" s="193">
        <f t="shared" ca="1" si="6"/>
        <v>5165401.5655880654</v>
      </c>
      <c r="J153" s="36"/>
      <c r="K153" s="5"/>
    </row>
    <row r="154" spans="1:11">
      <c r="A154" s="3">
        <v>42217</v>
      </c>
      <c r="C154" s="188">
        <f>+'Purchased Power Model '!C154</f>
        <v>9.753449191137479</v>
      </c>
      <c r="D154" s="188">
        <f ca="1">+'Purchased Power Model '!D154</f>
        <v>72.798131814083021</v>
      </c>
      <c r="E154" s="103">
        <f>+'Purchased Power Model '!E154</f>
        <v>7.5499999999999998E-2</v>
      </c>
      <c r="F154" s="57">
        <f>+'Purchased Power Model '!F154</f>
        <v>31</v>
      </c>
      <c r="G154" s="57">
        <f>+'Purchased Power Model '!G154</f>
        <v>0</v>
      </c>
      <c r="H154" s="17"/>
      <c r="I154" s="193">
        <f t="shared" ca="1" si="6"/>
        <v>5992690.7018865449</v>
      </c>
      <c r="J154" s="36"/>
      <c r="K154" s="5"/>
    </row>
    <row r="155" spans="1:11">
      <c r="A155" s="3">
        <v>42248</v>
      </c>
      <c r="C155" s="188">
        <f>+'Purchased Power Model '!C155</f>
        <v>85.653017442170963</v>
      </c>
      <c r="D155" s="188">
        <f ca="1">+'Purchased Power Model '!D155</f>
        <v>19.739735224198682</v>
      </c>
      <c r="E155" s="103">
        <f>+'Purchased Power Model '!E155</f>
        <v>7.5499999999999998E-2</v>
      </c>
      <c r="F155" s="57">
        <f>+'Purchased Power Model '!F155</f>
        <v>30</v>
      </c>
      <c r="G155" s="57">
        <f>+'Purchased Power Model '!G155</f>
        <v>1</v>
      </c>
      <c r="H155" s="17"/>
      <c r="I155" s="193">
        <f t="shared" ca="1" si="6"/>
        <v>5695699.9607755831</v>
      </c>
      <c r="J155" s="36"/>
      <c r="K155" s="5"/>
    </row>
    <row r="156" spans="1:11">
      <c r="A156" s="3">
        <v>42278</v>
      </c>
      <c r="C156" s="188">
        <f>+'Purchased Power Model '!C156</f>
        <v>195.95566102194391</v>
      </c>
      <c r="D156" s="188">
        <f ca="1">+'Purchased Power Model '!D156</f>
        <v>3.7719239281908306</v>
      </c>
      <c r="E156" s="103">
        <f>+'Purchased Power Model '!E156</f>
        <v>7.5499999999999998E-2</v>
      </c>
      <c r="F156" s="57">
        <f>+'Purchased Power Model '!F156</f>
        <v>31</v>
      </c>
      <c r="G156" s="57">
        <f>+'Purchased Power Model '!G156</f>
        <v>1</v>
      </c>
      <c r="H156" s="17"/>
      <c r="I156" s="193">
        <f t="shared" ca="1" si="6"/>
        <v>5387660.8261536863</v>
      </c>
      <c r="J156" s="36"/>
      <c r="K156" s="5"/>
    </row>
    <row r="157" spans="1:11">
      <c r="A157" s="3">
        <v>42309</v>
      </c>
      <c r="C157" s="188">
        <f>+'Purchased Power Model '!C157</f>
        <v>406.63016355051349</v>
      </c>
      <c r="D157" s="188">
        <f ca="1">+'Purchased Power Model '!D157</f>
        <v>0</v>
      </c>
      <c r="E157" s="103">
        <f>+'Purchased Power Model '!E157</f>
        <v>7.5499999999999998E-2</v>
      </c>
      <c r="F157" s="57">
        <f>+'Purchased Power Model '!F157</f>
        <v>30</v>
      </c>
      <c r="G157" s="57">
        <f>+'Purchased Power Model '!G157</f>
        <v>1</v>
      </c>
      <c r="H157" s="17"/>
      <c r="I157" s="193">
        <f t="shared" ca="1" si="6"/>
        <v>4959356.3649986507</v>
      </c>
      <c r="J157" s="36"/>
      <c r="K157" s="5"/>
    </row>
    <row r="158" spans="1:11">
      <c r="A158" s="3">
        <v>42339</v>
      </c>
      <c r="C158" s="188">
        <f>+'Purchased Power Model '!C158</f>
        <v>419.22097977907276</v>
      </c>
      <c r="D158" s="188">
        <f ca="1">+'Purchased Power Model '!D158</f>
        <v>0</v>
      </c>
      <c r="E158" s="103">
        <f>+'Purchased Power Model '!E158</f>
        <v>7.5499999999999998E-2</v>
      </c>
      <c r="F158" s="57">
        <f>+'Purchased Power Model '!F158</f>
        <v>31</v>
      </c>
      <c r="G158" s="57">
        <f>+'Purchased Power Model '!G158</f>
        <v>0</v>
      </c>
      <c r="H158" s="17"/>
      <c r="I158" s="193">
        <f t="shared" ca="1" si="6"/>
        <v>5667838.0330384793</v>
      </c>
      <c r="J158" s="36"/>
      <c r="K158" s="5"/>
    </row>
    <row r="159" spans="1:11">
      <c r="A159" s="3">
        <v>42370</v>
      </c>
      <c r="C159" s="188">
        <f>+'Purchased Power Model '!C159</f>
        <v>539.18844483504199</v>
      </c>
      <c r="D159" s="188">
        <f ca="1">+'Purchased Power Model '!D159</f>
        <v>0</v>
      </c>
      <c r="E159" s="103">
        <f>+'Purchased Power Model '!E159</f>
        <v>7.5499999999999998E-2</v>
      </c>
      <c r="F159" s="57">
        <f>+'Purchased Power Model '!F159</f>
        <v>31</v>
      </c>
      <c r="G159" s="57">
        <f>+'Purchased Power Model '!G159</f>
        <v>0</v>
      </c>
      <c r="H159" s="17"/>
      <c r="I159" s="193">
        <f t="shared" ca="1" si="6"/>
        <v>5297412.299540936</v>
      </c>
      <c r="J159" s="36"/>
      <c r="K159" s="5"/>
    </row>
    <row r="160" spans="1:11">
      <c r="A160" s="3">
        <v>42401</v>
      </c>
      <c r="C160" s="188">
        <f>+'Purchased Power Model '!C160</f>
        <v>535.77142349143355</v>
      </c>
      <c r="D160" s="188">
        <f ca="1">+'Purchased Power Model '!D160</f>
        <v>0</v>
      </c>
      <c r="E160" s="103">
        <f>+'Purchased Power Model '!E160</f>
        <v>7.5499999999999998E-2</v>
      </c>
      <c r="F160" s="57">
        <f>+'Purchased Power Model '!F160</f>
        <v>29</v>
      </c>
      <c r="G160" s="57">
        <f>+'Purchased Power Model '!G160</f>
        <v>0</v>
      </c>
      <c r="H160" s="17"/>
      <c r="I160" s="193">
        <f t="shared" ca="1" si="6"/>
        <v>5655007.0304514654</v>
      </c>
      <c r="J160" s="36"/>
      <c r="K160" s="5"/>
    </row>
    <row r="161" spans="1:11">
      <c r="A161" s="3">
        <v>42430</v>
      </c>
      <c r="C161" s="188">
        <f>+'Purchased Power Model '!C161</f>
        <v>477.50682878631443</v>
      </c>
      <c r="D161" s="188">
        <f ca="1">+'Purchased Power Model '!D161</f>
        <v>0</v>
      </c>
      <c r="E161" s="103">
        <f>+'Purchased Power Model '!E161</f>
        <v>7.5499999999999998E-2</v>
      </c>
      <c r="F161" s="57">
        <f>+'Purchased Power Model '!F161</f>
        <v>31</v>
      </c>
      <c r="G161" s="57">
        <f>+'Purchased Power Model '!G161</f>
        <v>1</v>
      </c>
      <c r="H161" s="17"/>
      <c r="I161" s="193">
        <f t="shared" ca="1" si="6"/>
        <v>4566987.2250869814</v>
      </c>
      <c r="J161" s="36"/>
      <c r="K161" s="5"/>
    </row>
    <row r="162" spans="1:11">
      <c r="A162" s="3">
        <v>42461</v>
      </c>
      <c r="C162" s="188">
        <f>+'Purchased Power Model '!C162</f>
        <v>321.11239036731047</v>
      </c>
      <c r="D162" s="188">
        <f ca="1">+'Purchased Power Model '!D162</f>
        <v>0</v>
      </c>
      <c r="E162" s="103">
        <f>+'Purchased Power Model '!E162</f>
        <v>7.5499999999999998E-2</v>
      </c>
      <c r="F162" s="57">
        <f>+'Purchased Power Model '!F162</f>
        <v>30</v>
      </c>
      <c r="G162" s="57">
        <f>+'Purchased Power Model '!G162</f>
        <v>1</v>
      </c>
      <c r="H162" s="17"/>
      <c r="I162" s="193">
        <f t="shared" ca="1" si="6"/>
        <v>5223411.1555511197</v>
      </c>
      <c r="J162" s="36"/>
      <c r="K162" s="5"/>
    </row>
    <row r="163" spans="1:11">
      <c r="A163" s="3">
        <v>42491</v>
      </c>
      <c r="C163" s="188">
        <f>+'Purchased Power Model '!C163</f>
        <v>116.8796531377878</v>
      </c>
      <c r="D163" s="188">
        <f ca="1">+'Purchased Power Model '!D163</f>
        <v>3.8584638085088909</v>
      </c>
      <c r="E163" s="103">
        <f>+'Purchased Power Model '!E163</f>
        <v>7.5499999999999998E-2</v>
      </c>
      <c r="F163" s="57">
        <f>+'Purchased Power Model '!F163</f>
        <v>31</v>
      </c>
      <c r="G163" s="57">
        <f>+'Purchased Power Model '!G163</f>
        <v>1</v>
      </c>
      <c r="H163" s="17"/>
      <c r="I163" s="193">
        <f t="shared" ca="1" si="6"/>
        <v>5630708.4538645428</v>
      </c>
      <c r="J163" s="36"/>
      <c r="K163" s="5"/>
    </row>
    <row r="164" spans="1:11">
      <c r="A164" s="3">
        <v>42522</v>
      </c>
      <c r="C164" s="188">
        <f>+'Purchased Power Model '!C164</f>
        <v>37.587234779693375</v>
      </c>
      <c r="D164" s="188">
        <f ca="1">+'Purchased Power Model '!D164</f>
        <v>41.414178211328768</v>
      </c>
      <c r="E164" s="103">
        <f>+'Purchased Power Model '!E164</f>
        <v>7.5499999999999998E-2</v>
      </c>
      <c r="F164" s="57">
        <f>+'Purchased Power Model '!F164</f>
        <v>30</v>
      </c>
      <c r="G164" s="57">
        <f>+'Purchased Power Model '!G164</f>
        <v>0</v>
      </c>
      <c r="H164" s="17"/>
      <c r="I164" s="193">
        <f t="shared" ca="1" si="6"/>
        <v>6485283.0697179865</v>
      </c>
      <c r="J164" s="36"/>
      <c r="K164" s="5"/>
    </row>
    <row r="165" spans="1:11">
      <c r="A165" s="3">
        <v>42552</v>
      </c>
      <c r="C165" s="188">
        <f>+'Purchased Power Model '!C165</f>
        <v>3.8551010030454749</v>
      </c>
      <c r="D165" s="188">
        <f ca="1">+'Purchased Power Model '!D165</f>
        <v>141.47700631199265</v>
      </c>
      <c r="E165" s="103">
        <f>+'Purchased Power Model '!E165</f>
        <v>7.5499999999999998E-2</v>
      </c>
      <c r="F165" s="57">
        <f>+'Purchased Power Model '!F165</f>
        <v>31</v>
      </c>
      <c r="G165" s="57">
        <f>+'Purchased Power Model '!G165</f>
        <v>0</v>
      </c>
      <c r="H165" s="17"/>
      <c r="I165" s="193">
        <f t="shared" ca="1" si="6"/>
        <v>5124594.8914302876</v>
      </c>
      <c r="J165" s="36"/>
      <c r="K165" s="5"/>
    </row>
    <row r="166" spans="1:11">
      <c r="A166" s="3">
        <v>42583</v>
      </c>
      <c r="C166" s="188">
        <f>+'Purchased Power Model '!C166</f>
        <v>9.6377525076136852</v>
      </c>
      <c r="D166" s="188">
        <f ca="1">+'Purchased Power Model '!D166</f>
        <v>74.468351504221573</v>
      </c>
      <c r="E166" s="103">
        <f>+'Purchased Power Model '!E166</f>
        <v>7.5499999999999998E-2</v>
      </c>
      <c r="F166" s="57">
        <f>+'Purchased Power Model '!F166</f>
        <v>31</v>
      </c>
      <c r="G166" s="57">
        <f>+'Purchased Power Model '!G166</f>
        <v>0</v>
      </c>
      <c r="H166" s="17"/>
      <c r="I166" s="193">
        <f t="shared" ca="1" si="6"/>
        <v>5971493.5762544824</v>
      </c>
      <c r="J166" s="36"/>
      <c r="K166" s="5"/>
    </row>
    <row r="167" spans="1:11">
      <c r="A167" s="3">
        <v>42614</v>
      </c>
      <c r="C167" s="188">
        <f>+'Purchased Power Model '!C167</f>
        <v>84.636990203225636</v>
      </c>
      <c r="D167" s="188">
        <f ca="1">+'Purchased Power Model '!D167</f>
        <v>20.192627264529865</v>
      </c>
      <c r="E167" s="103">
        <f>+'Purchased Power Model '!E167</f>
        <v>7.5499999999999998E-2</v>
      </c>
      <c r="F167" s="57">
        <f>+'Purchased Power Model '!F167</f>
        <v>30</v>
      </c>
      <c r="G167" s="57">
        <f>+'Purchased Power Model '!G167</f>
        <v>1</v>
      </c>
      <c r="H167" s="17"/>
      <c r="I167" s="193">
        <f t="shared" ca="1" si="6"/>
        <v>5692992.5462453542</v>
      </c>
      <c r="J167" s="36"/>
      <c r="K167" s="5"/>
    </row>
    <row r="168" spans="1:11">
      <c r="A168" s="3">
        <v>42644</v>
      </c>
      <c r="C168" s="188">
        <f>+'Purchased Power Model '!C168</f>
        <v>193.63120947114768</v>
      </c>
      <c r="D168" s="188">
        <f ca="1">+'Purchased Power Model '!D168</f>
        <v>3.8584638085088909</v>
      </c>
      <c r="E168" s="103">
        <f>+'Purchased Power Model '!E168</f>
        <v>7.5499999999999998E-2</v>
      </c>
      <c r="F168" s="57">
        <f>+'Purchased Power Model '!F168</f>
        <v>31</v>
      </c>
      <c r="G168" s="57">
        <f>+'Purchased Power Model '!G168</f>
        <v>1</v>
      </c>
      <c r="H168" s="17"/>
      <c r="I168" s="193">
        <f t="shared" ca="1" si="6"/>
        <v>5393721.271226326</v>
      </c>
      <c r="J168" s="36"/>
      <c r="K168" s="5"/>
    </row>
    <row r="169" spans="1:11">
      <c r="A169" s="3">
        <v>42675</v>
      </c>
      <c r="C169" s="188">
        <f>+'Purchased Power Model '!C169</f>
        <v>401.80666363560329</v>
      </c>
      <c r="D169" s="188">
        <f ca="1">+'Purchased Power Model '!D169</f>
        <v>0</v>
      </c>
      <c r="E169" s="103">
        <f>+'Purchased Power Model '!E169</f>
        <v>7.5499999999999998E-2</v>
      </c>
      <c r="F169" s="57">
        <f>+'Purchased Power Model '!F169</f>
        <v>30</v>
      </c>
      <c r="G169" s="57">
        <f>+'Purchased Power Model '!G169</f>
        <v>1</v>
      </c>
      <c r="H169" s="17"/>
      <c r="I169" s="193">
        <f t="shared" ca="1" si="6"/>
        <v>4974249.9738047747</v>
      </c>
      <c r="J169" s="36"/>
      <c r="K169" s="5"/>
    </row>
    <row r="170" spans="1:11">
      <c r="A170" s="3">
        <v>42705</v>
      </c>
      <c r="C170" s="188">
        <f>+'Purchased Power Model '!C170</f>
        <v>414.24812596361369</v>
      </c>
      <c r="D170" s="188">
        <f ca="1">+'Purchased Power Model '!D170</f>
        <v>0</v>
      </c>
      <c r="E170" s="103">
        <f>+'Purchased Power Model '!E170</f>
        <v>7.5499999999999998E-2</v>
      </c>
      <c r="F170" s="57">
        <f>+'Purchased Power Model '!F170</f>
        <v>31</v>
      </c>
      <c r="G170" s="57">
        <f>+'Purchased Power Model '!G170</f>
        <v>0</v>
      </c>
      <c r="H170" s="17"/>
      <c r="I170" s="193">
        <f t="shared" ca="1" si="6"/>
        <v>5683192.8046118235</v>
      </c>
      <c r="J170" s="36"/>
      <c r="K170" s="5"/>
    </row>
    <row r="171" spans="1:11">
      <c r="A171" s="3">
        <v>42736</v>
      </c>
      <c r="C171" s="188">
        <f>+'Purchased Power Model '!C171</f>
        <v>532.7157412859018</v>
      </c>
      <c r="D171" s="188">
        <f ca="1">+'Purchased Power Model '!D171</f>
        <v>0</v>
      </c>
      <c r="E171" s="103">
        <f>+'Purchased Power Model '!E171</f>
        <v>7.5499999999999998E-2</v>
      </c>
      <c r="F171" s="57">
        <f>+'Purchased Power Model '!F171</f>
        <v>31</v>
      </c>
      <c r="G171" s="57">
        <f>+'Purchased Power Model '!G171</f>
        <v>0</v>
      </c>
      <c r="H171" s="17"/>
      <c r="I171" s="193">
        <f t="shared" ca="1" si="6"/>
        <v>5317398.1845372049</v>
      </c>
      <c r="J171" s="36"/>
      <c r="K171" s="5"/>
    </row>
    <row r="172" spans="1:11">
      <c r="A172" s="3">
        <v>42767</v>
      </c>
      <c r="C172" s="188">
        <f>+'Purchased Power Model '!C172</f>
        <v>529.33973967554266</v>
      </c>
      <c r="D172" s="188">
        <f ca="1">+'Purchased Power Model '!D172</f>
        <v>0</v>
      </c>
      <c r="E172" s="103">
        <f>+'Purchased Power Model '!E172</f>
        <v>7.5499999999999998E-2</v>
      </c>
      <c r="F172" s="57">
        <f>+'Purchased Power Model '!F172</f>
        <v>28</v>
      </c>
      <c r="G172" s="57">
        <f>+'Purchased Power Model '!G172</f>
        <v>0</v>
      </c>
      <c r="H172" s="17"/>
      <c r="I172" s="193">
        <f t="shared" ca="1" si="6"/>
        <v>5848388.2239097469</v>
      </c>
      <c r="J172" s="36"/>
      <c r="K172" s="5"/>
    </row>
    <row r="173" spans="1:11">
      <c r="A173" s="3">
        <v>42795</v>
      </c>
      <c r="C173" s="188">
        <f>+'Purchased Power Model '!C173</f>
        <v>471.77458401172646</v>
      </c>
      <c r="D173" s="188">
        <f ca="1">+'Purchased Power Model '!D173</f>
        <v>0</v>
      </c>
      <c r="E173" s="103">
        <f>+'Purchased Power Model '!E173</f>
        <v>7.5499999999999998E-2</v>
      </c>
      <c r="F173" s="57">
        <f>+'Purchased Power Model '!F173</f>
        <v>31</v>
      </c>
      <c r="G173" s="57">
        <f>+'Purchased Power Model '!G173</f>
        <v>1</v>
      </c>
      <c r="H173" s="17"/>
      <c r="I173" s="193">
        <f t="shared" ca="1" si="6"/>
        <v>4584686.78199788</v>
      </c>
      <c r="J173" s="36"/>
      <c r="K173" s="5"/>
    </row>
    <row r="174" spans="1:11">
      <c r="A174" s="3">
        <v>42826</v>
      </c>
      <c r="C174" s="188">
        <f>+'Purchased Power Model '!C174</f>
        <v>317.25758722990406</v>
      </c>
      <c r="D174" s="188">
        <f ca="1">+'Purchased Power Model '!D174</f>
        <v>0</v>
      </c>
      <c r="E174" s="103">
        <f>+'Purchased Power Model '!E174</f>
        <v>7.5499999999999998E-2</v>
      </c>
      <c r="F174" s="57">
        <f>+'Purchased Power Model '!F174</f>
        <v>30</v>
      </c>
      <c r="G174" s="57">
        <f>+'Purchased Power Model '!G174</f>
        <v>1</v>
      </c>
      <c r="H174" s="17"/>
      <c r="I174" s="193">
        <f t="shared" ca="1" si="6"/>
        <v>5235313.7016205573</v>
      </c>
      <c r="J174" s="36"/>
      <c r="K174" s="5"/>
    </row>
    <row r="175" spans="1:11">
      <c r="A175" s="3">
        <v>42856</v>
      </c>
      <c r="C175" s="188">
        <f>+'Purchased Power Model '!C175</f>
        <v>115.47656790305378</v>
      </c>
      <c r="D175" s="188">
        <f ca="1">+'Purchased Power Model '!D175</f>
        <v>3.9450036888269517</v>
      </c>
      <c r="E175" s="103">
        <f>+'Purchased Power Model '!E175</f>
        <v>7.5499999999999998E-2</v>
      </c>
      <c r="F175" s="57">
        <f>+'Purchased Power Model '!F175</f>
        <v>31</v>
      </c>
      <c r="G175" s="57">
        <f>+'Purchased Power Model '!G175</f>
        <v>1</v>
      </c>
      <c r="H175" s="17"/>
      <c r="I175" s="193">
        <f t="shared" ca="1" si="6"/>
        <v>5633923.9793309532</v>
      </c>
      <c r="J175" s="36"/>
      <c r="K175" s="5"/>
    </row>
    <row r="176" spans="1:11">
      <c r="A176" s="3">
        <v>42887</v>
      </c>
      <c r="C176" s="188">
        <f>+'Purchased Power Model '!C176</f>
        <v>37.136017713950579</v>
      </c>
      <c r="D176" s="188">
        <f ca="1">+'Purchased Power Model '!D176</f>
        <v>42.343039593409287</v>
      </c>
      <c r="E176" s="103">
        <f>+'Purchased Power Model '!E176</f>
        <v>7.5499999999999998E-2</v>
      </c>
      <c r="F176" s="57">
        <f>+'Purchased Power Model '!F176</f>
        <v>30</v>
      </c>
      <c r="G176" s="57">
        <f>+'Purchased Power Model '!G176</f>
        <v>0</v>
      </c>
      <c r="H176" s="17"/>
      <c r="I176" s="193">
        <f t="shared" ca="1" si="6"/>
        <v>6474689.2450481709</v>
      </c>
      <c r="J176" s="36"/>
      <c r="K176" s="5"/>
    </row>
    <row r="177" spans="1:11">
      <c r="A177" s="3">
        <v>42917</v>
      </c>
      <c r="C177" s="188">
        <f>+'Purchased Power Model '!C177</f>
        <v>3.8088223296359573</v>
      </c>
      <c r="D177" s="188">
        <f ca="1">+'Purchased Power Model '!D177</f>
        <v>144.65013525698822</v>
      </c>
      <c r="E177" s="103">
        <f>+'Purchased Power Model '!E177</f>
        <v>7.5499999999999998E-2</v>
      </c>
      <c r="F177" s="57">
        <f>+'Purchased Power Model '!F177</f>
        <v>31</v>
      </c>
      <c r="G177" s="57">
        <f>+'Purchased Power Model '!G177</f>
        <v>0</v>
      </c>
      <c r="H177" s="17"/>
      <c r="I177" s="193">
        <f t="shared" ca="1" si="6"/>
        <v>5083788.2172725098</v>
      </c>
      <c r="J177" s="36"/>
      <c r="K177" s="5"/>
    </row>
    <row r="178" spans="1:11">
      <c r="A178" s="3">
        <v>42948</v>
      </c>
      <c r="C178" s="188">
        <f>+'Purchased Power Model '!C178</f>
        <v>9.5220558240898914</v>
      </c>
      <c r="D178" s="188">
        <f ca="1">+'Purchased Power Model '!D178</f>
        <v>76.138571194360154</v>
      </c>
      <c r="E178" s="103">
        <f>+'Purchased Power Model '!E178</f>
        <v>7.5499999999999998E-2</v>
      </c>
      <c r="F178" s="57">
        <f>+'Purchased Power Model '!F178</f>
        <v>31</v>
      </c>
      <c r="G178" s="57">
        <f>+'Purchased Power Model '!G178</f>
        <v>0</v>
      </c>
      <c r="H178" s="17"/>
      <c r="I178" s="193">
        <f t="shared" ca="1" si="6"/>
        <v>5950296.4506224198</v>
      </c>
      <c r="J178" s="36"/>
      <c r="K178" s="5"/>
    </row>
    <row r="179" spans="1:11">
      <c r="A179" s="3">
        <v>42979</v>
      </c>
      <c r="C179" s="188">
        <f>+'Purchased Power Model '!C179</f>
        <v>83.620962964280309</v>
      </c>
      <c r="D179" s="188">
        <f ca="1">+'Purchased Power Model '!D179</f>
        <v>20.64551930486105</v>
      </c>
      <c r="E179" s="103">
        <f>+'Purchased Power Model '!E179</f>
        <v>7.5499999999999998E-2</v>
      </c>
      <c r="F179" s="57">
        <f>+'Purchased Power Model '!F179</f>
        <v>30</v>
      </c>
      <c r="G179" s="57">
        <f>+'Purchased Power Model '!G179</f>
        <v>1</v>
      </c>
      <c r="H179" s="17"/>
      <c r="I179" s="193">
        <f t="shared" ca="1" si="6"/>
        <v>5690285.1317151254</v>
      </c>
      <c r="J179" s="36"/>
      <c r="K179" s="5"/>
    </row>
    <row r="180" spans="1:11">
      <c r="A180" s="3">
        <v>43009</v>
      </c>
      <c r="C180" s="188">
        <f>+'Purchased Power Model '!C180</f>
        <v>191.30675792035146</v>
      </c>
      <c r="D180" s="188">
        <f ca="1">+'Purchased Power Model '!D180</f>
        <v>3.9450036888269517</v>
      </c>
      <c r="E180" s="103">
        <f>+'Purchased Power Model '!E180</f>
        <v>7.5499999999999998E-2</v>
      </c>
      <c r="F180" s="57">
        <f>+'Purchased Power Model '!F180</f>
        <v>31</v>
      </c>
      <c r="G180" s="57">
        <f>+'Purchased Power Model '!G180</f>
        <v>1</v>
      </c>
      <c r="H180" s="17"/>
      <c r="I180" s="193">
        <f t="shared" ca="1" si="6"/>
        <v>5399781.7162989639</v>
      </c>
      <c r="J180" s="36"/>
      <c r="K180" s="5"/>
    </row>
    <row r="181" spans="1:11">
      <c r="A181" s="3">
        <v>43040</v>
      </c>
      <c r="C181" s="188">
        <f>+'Purchased Power Model '!C181</f>
        <v>396.98316372069308</v>
      </c>
      <c r="D181" s="188">
        <f ca="1">+'Purchased Power Model '!D181</f>
        <v>0</v>
      </c>
      <c r="E181" s="103">
        <f>+'Purchased Power Model '!E181</f>
        <v>7.5499999999999998E-2</v>
      </c>
      <c r="F181" s="57">
        <f>+'Purchased Power Model '!F181</f>
        <v>30</v>
      </c>
      <c r="G181" s="57">
        <f>+'Purchased Power Model '!G181</f>
        <v>1</v>
      </c>
      <c r="H181" s="17"/>
      <c r="I181" s="193">
        <f t="shared" ca="1" si="6"/>
        <v>4989143.5826108987</v>
      </c>
      <c r="J181" s="36"/>
      <c r="K181" s="5"/>
    </row>
    <row r="182" spans="1:11">
      <c r="A182" s="3">
        <v>43070</v>
      </c>
      <c r="C182" s="188">
        <f>+'Purchased Power Model '!C182</f>
        <v>409.27527214815461</v>
      </c>
      <c r="D182" s="188">
        <f ca="1">+'Purchased Power Model '!D182</f>
        <v>0</v>
      </c>
      <c r="E182" s="103">
        <f>+'Purchased Power Model '!E182</f>
        <v>7.5499999999999998E-2</v>
      </c>
      <c r="F182" s="57">
        <f>+'Purchased Power Model '!F182</f>
        <v>31</v>
      </c>
      <c r="G182" s="57">
        <f>+'Purchased Power Model '!G182</f>
        <v>0</v>
      </c>
      <c r="H182" s="17"/>
      <c r="I182" s="193">
        <f t="shared" ca="1" si="6"/>
        <v>5698547.5761851659</v>
      </c>
      <c r="J182" s="36"/>
      <c r="K182" s="5"/>
    </row>
    <row r="183" spans="1:11">
      <c r="A183" s="3">
        <v>43101</v>
      </c>
      <c r="C183" s="188">
        <f>+'Purchased Power Model '!C183</f>
        <v>526.24303773676161</v>
      </c>
      <c r="D183" s="188">
        <f ca="1">+'Purchased Power Model '!D183</f>
        <v>0</v>
      </c>
      <c r="E183" s="103">
        <f>+'Purchased Power Model '!E183</f>
        <v>7.5499999999999998E-2</v>
      </c>
      <c r="F183" s="57">
        <f>+'Purchased Power Model '!F183</f>
        <v>31</v>
      </c>
      <c r="G183" s="57">
        <f>+'Purchased Power Model '!G183</f>
        <v>0</v>
      </c>
      <c r="H183" s="17"/>
      <c r="I183" s="193">
        <f t="shared" ca="1" si="6"/>
        <v>5337384.0695334719</v>
      </c>
      <c r="J183" s="36"/>
      <c r="K183" s="5"/>
    </row>
    <row r="184" spans="1:11">
      <c r="A184" s="3">
        <v>43132</v>
      </c>
      <c r="C184" s="188">
        <f>+'Purchased Power Model '!C184</f>
        <v>522.90805585965177</v>
      </c>
      <c r="D184" s="188">
        <f ca="1">+'Purchased Power Model '!D184</f>
        <v>0</v>
      </c>
      <c r="E184" s="103">
        <f>+'Purchased Power Model '!E184</f>
        <v>7.5499999999999998E-2</v>
      </c>
      <c r="F184" s="57">
        <f>+'Purchased Power Model '!F184</f>
        <v>28</v>
      </c>
      <c r="G184" s="57">
        <f>+'Purchased Power Model '!G184</f>
        <v>0</v>
      </c>
      <c r="H184" s="17"/>
      <c r="I184" s="193">
        <f t="shared" ca="1" si="6"/>
        <v>5868247.4515262842</v>
      </c>
      <c r="J184" s="36"/>
      <c r="K184" s="5"/>
    </row>
    <row r="185" spans="1:11">
      <c r="A185" s="3">
        <v>43160</v>
      </c>
      <c r="C185" s="188">
        <f>+'Purchased Power Model '!C185</f>
        <v>466.04233923713849</v>
      </c>
      <c r="D185" s="188">
        <f ca="1">+'Purchased Power Model '!D185</f>
        <v>0</v>
      </c>
      <c r="E185" s="103">
        <f>+'Purchased Power Model '!E185</f>
        <v>7.5499999999999998E-2</v>
      </c>
      <c r="F185" s="57">
        <f>+'Purchased Power Model '!F185</f>
        <v>31</v>
      </c>
      <c r="G185" s="57">
        <f>+'Purchased Power Model '!G185</f>
        <v>1</v>
      </c>
      <c r="H185" s="17"/>
      <c r="I185" s="193">
        <f t="shared" ca="1" si="6"/>
        <v>4602386.3389087766</v>
      </c>
      <c r="J185" s="36"/>
      <c r="K185" s="5"/>
    </row>
    <row r="186" spans="1:11">
      <c r="A186" s="3">
        <v>43191</v>
      </c>
      <c r="C186" s="188">
        <f>+'Purchased Power Model '!C186</f>
        <v>313.40278409249765</v>
      </c>
      <c r="D186" s="188">
        <f ca="1">+'Purchased Power Model '!D186</f>
        <v>0</v>
      </c>
      <c r="E186" s="103">
        <f>+'Purchased Power Model '!E186</f>
        <v>7.5499999999999998E-2</v>
      </c>
      <c r="F186" s="57">
        <f>+'Purchased Power Model '!F186</f>
        <v>30</v>
      </c>
      <c r="G186" s="57">
        <f>+'Purchased Power Model '!G186</f>
        <v>1</v>
      </c>
      <c r="H186" s="17"/>
      <c r="I186" s="193">
        <f t="shared" ca="1" si="6"/>
        <v>5247216.247689995</v>
      </c>
      <c r="J186" s="36"/>
      <c r="K186" s="5"/>
    </row>
    <row r="187" spans="1:11">
      <c r="A187" s="3">
        <v>43221</v>
      </c>
      <c r="C187" s="188">
        <f>+'Purchased Power Model '!C187</f>
        <v>114.07348266831977</v>
      </c>
      <c r="D187" s="188">
        <f ca="1">+'Purchased Power Model '!D187</f>
        <v>4.0315435691450112</v>
      </c>
      <c r="E187" s="103">
        <f>+'Purchased Power Model '!E187</f>
        <v>7.5499999999999998E-2</v>
      </c>
      <c r="F187" s="57">
        <f>+'Purchased Power Model '!F187</f>
        <v>31</v>
      </c>
      <c r="G187" s="57">
        <f>+'Purchased Power Model '!G187</f>
        <v>1</v>
      </c>
      <c r="H187" s="17"/>
      <c r="I187" s="193">
        <f t="shared" ca="1" si="6"/>
        <v>5637139.5047973618</v>
      </c>
      <c r="J187" s="36"/>
      <c r="K187" s="5"/>
    </row>
    <row r="188" spans="1:11">
      <c r="A188" s="3">
        <v>43252</v>
      </c>
      <c r="C188" s="188">
        <f>+'Purchased Power Model '!C188</f>
        <v>36.684800648207784</v>
      </c>
      <c r="D188" s="188">
        <f ca="1">+'Purchased Power Model '!D188</f>
        <v>43.271900975489793</v>
      </c>
      <c r="E188" s="103">
        <f>+'Purchased Power Model '!E188</f>
        <v>7.5499999999999998E-2</v>
      </c>
      <c r="F188" s="57">
        <f>+'Purchased Power Model '!F188</f>
        <v>30</v>
      </c>
      <c r="G188" s="57">
        <f>+'Purchased Power Model '!G188</f>
        <v>0</v>
      </c>
      <c r="H188" s="17"/>
      <c r="I188" s="193">
        <f t="shared" ca="1" si="6"/>
        <v>6464095.4203783553</v>
      </c>
      <c r="J188" s="36"/>
      <c r="K188" s="5"/>
    </row>
    <row r="189" spans="1:11">
      <c r="A189" s="3">
        <v>43282</v>
      </c>
      <c r="C189" s="188">
        <f>+'Purchased Power Model '!C189</f>
        <v>3.7625436562264398</v>
      </c>
      <c r="D189" s="188">
        <f ca="1">+'Purchased Power Model '!D189</f>
        <v>147.82326420198373</v>
      </c>
      <c r="E189" s="103">
        <f>+'Purchased Power Model '!E189</f>
        <v>7.5499999999999998E-2</v>
      </c>
      <c r="F189" s="57">
        <f>+'Purchased Power Model '!F189</f>
        <v>31</v>
      </c>
      <c r="G189" s="57">
        <f>+'Purchased Power Model '!G189</f>
        <v>0</v>
      </c>
      <c r="H189" s="17"/>
      <c r="I189" s="193">
        <f t="shared" ca="1" si="6"/>
        <v>5042981.5431147339</v>
      </c>
      <c r="J189" s="36"/>
      <c r="K189" s="5"/>
    </row>
    <row r="190" spans="1:11">
      <c r="A190" s="3">
        <v>43313</v>
      </c>
      <c r="C190" s="188">
        <f>+'Purchased Power Model '!C190</f>
        <v>9.4063591405660976</v>
      </c>
      <c r="D190" s="188">
        <f ca="1">+'Purchased Power Model '!D190</f>
        <v>77.808790884498691</v>
      </c>
      <c r="E190" s="103">
        <f>+'Purchased Power Model '!E190</f>
        <v>7.5499999999999998E-2</v>
      </c>
      <c r="F190" s="57">
        <f>+'Purchased Power Model '!F190</f>
        <v>31</v>
      </c>
      <c r="G190" s="57">
        <f>+'Purchased Power Model '!G190</f>
        <v>0</v>
      </c>
      <c r="H190" s="17"/>
      <c r="I190" s="193">
        <f t="shared" ca="1" si="6"/>
        <v>5929099.3249903573</v>
      </c>
      <c r="J190" s="36"/>
      <c r="K190" s="5"/>
    </row>
    <row r="191" spans="1:11">
      <c r="A191" s="3">
        <v>43344</v>
      </c>
      <c r="C191" s="188">
        <f>+'Purchased Power Model '!C191</f>
        <v>82.604935725334997</v>
      </c>
      <c r="D191" s="188">
        <f ca="1">+'Purchased Power Model '!D191</f>
        <v>21.098411345192229</v>
      </c>
      <c r="E191" s="103">
        <f>+'Purchased Power Model '!E191</f>
        <v>7.5499999999999998E-2</v>
      </c>
      <c r="F191" s="57">
        <f>+'Purchased Power Model '!F191</f>
        <v>30</v>
      </c>
      <c r="G191" s="57">
        <f>+'Purchased Power Model '!G191</f>
        <v>1</v>
      </c>
      <c r="H191" s="17"/>
      <c r="I191" s="193">
        <f t="shared" ca="1" si="6"/>
        <v>5687577.7171848966</v>
      </c>
      <c r="J191" s="36"/>
      <c r="K191" s="5"/>
    </row>
    <row r="192" spans="1:11">
      <c r="A192" s="3">
        <v>43374</v>
      </c>
      <c r="C192" s="188">
        <f>+'Purchased Power Model '!C192</f>
        <v>188.98230636955523</v>
      </c>
      <c r="D192" s="188">
        <f ca="1">+'Purchased Power Model '!D192</f>
        <v>4.0315435691450112</v>
      </c>
      <c r="E192" s="103">
        <f>+'Purchased Power Model '!E192</f>
        <v>7.5499999999999998E-2</v>
      </c>
      <c r="F192" s="57">
        <f>+'Purchased Power Model '!F192</f>
        <v>31</v>
      </c>
      <c r="G192" s="57">
        <f>+'Purchased Power Model '!G192</f>
        <v>1</v>
      </c>
      <c r="H192" s="17"/>
      <c r="I192" s="193">
        <f t="shared" ca="1" si="6"/>
        <v>5405842.1613716036</v>
      </c>
      <c r="J192" s="36"/>
      <c r="K192" s="5"/>
    </row>
    <row r="193" spans="1:11">
      <c r="A193" s="3">
        <v>43405</v>
      </c>
      <c r="C193" s="188">
        <f>+'Purchased Power Model '!C193</f>
        <v>392.15966380578294</v>
      </c>
      <c r="D193" s="188">
        <f ca="1">+'Purchased Power Model '!D193</f>
        <v>0</v>
      </c>
      <c r="E193" s="103">
        <f>+'Purchased Power Model '!E193</f>
        <v>7.5499999999999998E-2</v>
      </c>
      <c r="F193" s="57">
        <f>+'Purchased Power Model '!F193</f>
        <v>30</v>
      </c>
      <c r="G193" s="57">
        <f>+'Purchased Power Model '!G193</f>
        <v>1</v>
      </c>
      <c r="H193" s="17"/>
      <c r="I193" s="193">
        <f t="shared" ca="1" si="6"/>
        <v>5004037.1914170226</v>
      </c>
      <c r="J193" s="36"/>
      <c r="K193" s="5"/>
    </row>
    <row r="194" spans="1:11">
      <c r="A194" s="3">
        <v>43435</v>
      </c>
      <c r="C194" s="188">
        <f>+'Purchased Power Model '!C194</f>
        <v>404.30241833269554</v>
      </c>
      <c r="D194" s="188">
        <f ca="1">+'Purchased Power Model '!D194</f>
        <v>0</v>
      </c>
      <c r="E194" s="103">
        <f>+'Purchased Power Model '!E194</f>
        <v>7.5499999999999998E-2</v>
      </c>
      <c r="F194" s="57">
        <f>+'Purchased Power Model '!F194</f>
        <v>31</v>
      </c>
      <c r="G194" s="57">
        <f>+'Purchased Power Model '!G194</f>
        <v>0</v>
      </c>
      <c r="H194" s="17"/>
      <c r="I194" s="193">
        <f t="shared" ca="1" si="6"/>
        <v>5713902.3477585102</v>
      </c>
      <c r="J194" s="36"/>
      <c r="K194" s="5"/>
    </row>
    <row r="195" spans="1:11">
      <c r="A195" s="3">
        <v>43466</v>
      </c>
      <c r="C195" s="188">
        <f>+'Purchased Power Model '!C195</f>
        <v>519.7703341876213</v>
      </c>
      <c r="D195" s="188">
        <f ca="1">+'Purchased Power Model '!D195</f>
        <v>0</v>
      </c>
      <c r="E195" s="103">
        <f>+'Purchased Power Model '!E195</f>
        <v>7.5499999999999998E-2</v>
      </c>
      <c r="F195" s="57">
        <f>+'Purchased Power Model '!F195</f>
        <v>31</v>
      </c>
      <c r="G195" s="57">
        <f>+'Purchased Power Model '!G195</f>
        <v>0</v>
      </c>
      <c r="H195" s="17"/>
      <c r="I195" s="193">
        <f t="shared" ca="1" si="6"/>
        <v>5357369.9545297408</v>
      </c>
      <c r="J195" s="36"/>
      <c r="K195" s="5"/>
    </row>
    <row r="196" spans="1:11">
      <c r="A196" s="3">
        <v>43497</v>
      </c>
      <c r="C196" s="188">
        <f>+'Purchased Power Model '!C196</f>
        <v>516.47637204376076</v>
      </c>
      <c r="D196" s="188">
        <f ca="1">+'Purchased Power Model '!D196</f>
        <v>0</v>
      </c>
      <c r="E196" s="103">
        <f>+'Purchased Power Model '!E196</f>
        <v>7.5499999999999998E-2</v>
      </c>
      <c r="F196" s="57">
        <f>+'Purchased Power Model '!F196</f>
        <v>28</v>
      </c>
      <c r="G196" s="57">
        <f>+'Purchased Power Model '!G196</f>
        <v>0</v>
      </c>
      <c r="H196" s="17"/>
      <c r="I196" s="193">
        <f t="shared" ref="I196:I206" ca="1" si="11">$N$18+C196*$N$19+D196*$N$20+E196*$N$21+F196*$N$22+G196*$N$23+H196*$N$24</f>
        <v>5888106.6791428253</v>
      </c>
      <c r="J196" s="36"/>
      <c r="K196" s="5"/>
    </row>
    <row r="197" spans="1:11">
      <c r="A197" s="3">
        <v>43525</v>
      </c>
      <c r="C197" s="188">
        <f>+'Purchased Power Model '!C197</f>
        <v>460.31009446255047</v>
      </c>
      <c r="D197" s="188">
        <f ca="1">+'Purchased Power Model '!D197</f>
        <v>0</v>
      </c>
      <c r="E197" s="103">
        <f>+'Purchased Power Model '!E197</f>
        <v>7.5499999999999998E-2</v>
      </c>
      <c r="F197" s="57">
        <f>+'Purchased Power Model '!F197</f>
        <v>31</v>
      </c>
      <c r="G197" s="57">
        <f>+'Purchased Power Model '!G197</f>
        <v>1</v>
      </c>
      <c r="H197" s="17"/>
      <c r="I197" s="193">
        <f t="shared" ca="1" si="11"/>
        <v>4620085.8958196733</v>
      </c>
      <c r="J197" s="36"/>
      <c r="K197" s="5"/>
    </row>
    <row r="198" spans="1:11">
      <c r="A198" s="3">
        <v>43556</v>
      </c>
      <c r="C198" s="188">
        <f>+'Purchased Power Model '!C198</f>
        <v>309.54798095509119</v>
      </c>
      <c r="D198" s="188">
        <f ca="1">+'Purchased Power Model '!D198</f>
        <v>0</v>
      </c>
      <c r="E198" s="103">
        <f>+'Purchased Power Model '!E198</f>
        <v>7.5499999999999998E-2</v>
      </c>
      <c r="F198" s="57">
        <f>+'Purchased Power Model '!F198</f>
        <v>30</v>
      </c>
      <c r="G198" s="57">
        <f>+'Purchased Power Model '!G198</f>
        <v>1</v>
      </c>
      <c r="H198" s="17"/>
      <c r="I198" s="193">
        <f t="shared" ca="1" si="11"/>
        <v>5259118.7937594345</v>
      </c>
      <c r="J198" s="36"/>
      <c r="K198" s="5"/>
    </row>
    <row r="199" spans="1:11">
      <c r="A199" s="3">
        <v>43586</v>
      </c>
      <c r="C199" s="188">
        <f>+'Purchased Power Model '!C199</f>
        <v>112.67039743358573</v>
      </c>
      <c r="D199" s="188">
        <f ca="1">+'Purchased Power Model '!D199</f>
        <v>4.1180834494630707</v>
      </c>
      <c r="E199" s="103">
        <f>+'Purchased Power Model '!E199</f>
        <v>7.5499999999999998E-2</v>
      </c>
      <c r="F199" s="57">
        <f>+'Purchased Power Model '!F199</f>
        <v>31</v>
      </c>
      <c r="G199" s="57">
        <f>+'Purchased Power Model '!G199</f>
        <v>1</v>
      </c>
      <c r="H199" s="17"/>
      <c r="I199" s="193">
        <f t="shared" ca="1" si="11"/>
        <v>5640355.0302637741</v>
      </c>
      <c r="J199" s="36"/>
      <c r="K199" s="5"/>
    </row>
    <row r="200" spans="1:11">
      <c r="A200" s="3">
        <v>43617</v>
      </c>
      <c r="C200" s="188">
        <f>+'Purchased Power Model '!C200</f>
        <v>36.233583582464981</v>
      </c>
      <c r="D200" s="188">
        <f ca="1">+'Purchased Power Model '!D200</f>
        <v>44.200762357570305</v>
      </c>
      <c r="E200" s="103">
        <f>+'Purchased Power Model '!E200</f>
        <v>7.5499999999999998E-2</v>
      </c>
      <c r="F200" s="57">
        <f>+'Purchased Power Model '!F200</f>
        <v>30</v>
      </c>
      <c r="G200" s="57">
        <f>+'Purchased Power Model '!G200</f>
        <v>0</v>
      </c>
      <c r="H200" s="17"/>
      <c r="I200" s="193">
        <f t="shared" ca="1" si="11"/>
        <v>6453501.5957085397</v>
      </c>
      <c r="J200" s="36"/>
      <c r="K200" s="5"/>
    </row>
    <row r="201" spans="1:11">
      <c r="A201" s="3">
        <v>43647</v>
      </c>
      <c r="C201" s="188">
        <f>+'Purchased Power Model '!C201</f>
        <v>3.7162649828169214</v>
      </c>
      <c r="D201" s="188">
        <f ca="1">+'Purchased Power Model '!D201</f>
        <v>150.99639314697927</v>
      </c>
      <c r="E201" s="103">
        <f>+'Purchased Power Model '!E201</f>
        <v>7.5499999999999998E-2</v>
      </c>
      <c r="F201" s="57">
        <f>+'Purchased Power Model '!F201</f>
        <v>31</v>
      </c>
      <c r="G201" s="57">
        <f>+'Purchased Power Model '!G201</f>
        <v>0</v>
      </c>
      <c r="H201" s="17"/>
      <c r="I201" s="193">
        <f t="shared" ca="1" si="11"/>
        <v>5002174.8689569561</v>
      </c>
      <c r="J201" s="36"/>
      <c r="K201" s="5"/>
    </row>
    <row r="202" spans="1:11">
      <c r="A202" s="3">
        <v>43678</v>
      </c>
      <c r="C202" s="188">
        <f>+'Purchased Power Model '!C202</f>
        <v>9.290662457042302</v>
      </c>
      <c r="D202" s="188">
        <f ca="1">+'Purchased Power Model '!D202</f>
        <v>79.479010574637257</v>
      </c>
      <c r="E202" s="103">
        <f>+'Purchased Power Model '!E202</f>
        <v>7.5499999999999998E-2</v>
      </c>
      <c r="F202" s="57">
        <f>+'Purchased Power Model '!F202</f>
        <v>31</v>
      </c>
      <c r="G202" s="57">
        <f>+'Purchased Power Model '!G202</f>
        <v>0</v>
      </c>
      <c r="H202" s="17"/>
      <c r="I202" s="193">
        <f t="shared" ca="1" si="11"/>
        <v>5907902.1993582929</v>
      </c>
      <c r="J202" s="36"/>
      <c r="K202" s="5"/>
    </row>
    <row r="203" spans="1:11">
      <c r="A203" s="3">
        <v>43709</v>
      </c>
      <c r="C203" s="188">
        <f>+'Purchased Power Model '!C203</f>
        <v>81.58890848638967</v>
      </c>
      <c r="D203" s="188">
        <f ca="1">+'Purchased Power Model '!D203</f>
        <v>21.551303385523408</v>
      </c>
      <c r="E203" s="103">
        <f>+'Purchased Power Model '!E203</f>
        <v>7.5499999999999998E-2</v>
      </c>
      <c r="F203" s="57">
        <f>+'Purchased Power Model '!F203</f>
        <v>30</v>
      </c>
      <c r="G203" s="57">
        <f>+'Purchased Power Model '!G203</f>
        <v>1</v>
      </c>
      <c r="H203" s="17"/>
      <c r="I203" s="193">
        <f t="shared" ca="1" si="11"/>
        <v>5684870.3026546678</v>
      </c>
      <c r="J203" s="36"/>
      <c r="K203" s="5"/>
    </row>
    <row r="204" spans="1:11">
      <c r="A204" s="3">
        <v>43739</v>
      </c>
      <c r="C204" s="188">
        <f>+'Purchased Power Model '!C204</f>
        <v>186.65785481875898</v>
      </c>
      <c r="D204" s="188">
        <f ca="1">+'Purchased Power Model '!D204</f>
        <v>4.1180834494630707</v>
      </c>
      <c r="E204" s="103">
        <f>+'Purchased Power Model '!E204</f>
        <v>7.5499999999999998E-2</v>
      </c>
      <c r="F204" s="57">
        <f>+'Purchased Power Model '!F204</f>
        <v>31</v>
      </c>
      <c r="G204" s="57">
        <f>+'Purchased Power Model '!G204</f>
        <v>1</v>
      </c>
      <c r="H204" s="17"/>
      <c r="I204" s="193">
        <f t="shared" ca="1" si="11"/>
        <v>5411902.6064442433</v>
      </c>
      <c r="J204" s="36"/>
      <c r="K204" s="5"/>
    </row>
    <row r="205" spans="1:11">
      <c r="A205" s="3">
        <v>43770</v>
      </c>
      <c r="C205" s="188">
        <f>+'Purchased Power Model '!C205</f>
        <v>387.33616389087268</v>
      </c>
      <c r="D205" s="188">
        <f ca="1">+'Purchased Power Model '!D205</f>
        <v>0</v>
      </c>
      <c r="E205" s="103">
        <f>+'Purchased Power Model '!E205</f>
        <v>7.5499999999999998E-2</v>
      </c>
      <c r="F205" s="57">
        <f>+'Purchased Power Model '!F205</f>
        <v>30</v>
      </c>
      <c r="G205" s="57">
        <f>+'Purchased Power Model '!G205</f>
        <v>1</v>
      </c>
      <c r="H205" s="17"/>
      <c r="I205" s="193">
        <f t="shared" ca="1" si="11"/>
        <v>5018930.8002231466</v>
      </c>
      <c r="J205" s="36"/>
      <c r="K205" s="5"/>
    </row>
    <row r="206" spans="1:11">
      <c r="A206" s="3">
        <v>43800</v>
      </c>
      <c r="C206" s="188">
        <f>+'Purchased Power Model '!C206</f>
        <v>399.32956451723641</v>
      </c>
      <c r="D206" s="188">
        <f ca="1">+'Purchased Power Model '!D206</f>
        <v>0</v>
      </c>
      <c r="E206" s="103">
        <f>+'Purchased Power Model '!E206</f>
        <v>7.5499999999999998E-2</v>
      </c>
      <c r="F206" s="57">
        <f>+'Purchased Power Model '!F206</f>
        <v>31</v>
      </c>
      <c r="G206" s="57">
        <f>+'Purchased Power Model '!G206</f>
        <v>0</v>
      </c>
      <c r="H206" s="17"/>
      <c r="I206" s="193">
        <f t="shared" ca="1" si="11"/>
        <v>5729257.1193318544</v>
      </c>
      <c r="J206" s="36"/>
      <c r="K206" s="5"/>
    </row>
    <row r="207" spans="1:11">
      <c r="A207" s="3"/>
      <c r="E207" s="33"/>
      <c r="F207" s="10"/>
      <c r="G207" s="10"/>
      <c r="H207" s="17"/>
    </row>
    <row r="208" spans="1:11">
      <c r="A208" s="3"/>
      <c r="C208" s="18"/>
      <c r="D208" s="63" t="s">
        <v>60</v>
      </c>
      <c r="I208" s="47">
        <f ca="1">SUM(I3:I206)</f>
        <v>1314783204.1984906</v>
      </c>
    </row>
    <row r="209" spans="1:11">
      <c r="A209" s="3"/>
      <c r="C209" s="23"/>
      <c r="D209" s="23"/>
      <c r="F209" s="180"/>
      <c r="G209" s="180"/>
      <c r="H209"/>
      <c r="I209" s="180"/>
      <c r="J209" s="36"/>
      <c r="K209" s="5" t="s">
        <v>196</v>
      </c>
    </row>
    <row r="210" spans="1:11">
      <c r="A210" s="16">
        <v>2003</v>
      </c>
      <c r="B210" s="6">
        <f>SUM(B3:B14)</f>
        <v>96172091</v>
      </c>
      <c r="C210" s="107"/>
      <c r="D210" s="23" t="s">
        <v>195</v>
      </c>
      <c r="E210" s="108" t="s">
        <v>107</v>
      </c>
      <c r="F210" s="180"/>
      <c r="G210" s="180"/>
      <c r="H210"/>
      <c r="I210" s="6">
        <f>SUM(I3:I14)</f>
        <v>80696330.659270272</v>
      </c>
      <c r="J210" s="36">
        <f>I210-B210</f>
        <v>-15475760.340729728</v>
      </c>
      <c r="K210" s="5">
        <f>J210/B210</f>
        <v>-0.16091737405116552</v>
      </c>
    </row>
    <row r="211" spans="1:11">
      <c r="A211">
        <v>2004</v>
      </c>
      <c r="B211" s="6">
        <f>SUM(B15:B26)</f>
        <v>65676068</v>
      </c>
      <c r="C211" s="107">
        <f>+B211-B210</f>
        <v>-30496023</v>
      </c>
      <c r="D211" s="109">
        <f>+C211/B210</f>
        <v>-0.31709847090669996</v>
      </c>
      <c r="E211" s="109">
        <f>RATE(1,0,-B$210,B211)</f>
        <v>-0.31709847090670001</v>
      </c>
      <c r="F211" s="180"/>
      <c r="G211" s="180"/>
      <c r="H211"/>
      <c r="I211" s="6">
        <f>SUM(I15:I26)</f>
        <v>82081900.487512022</v>
      </c>
      <c r="J211" s="36">
        <f t="shared" ref="J211:J226" si="12">I211-B211</f>
        <v>16405832.487512022</v>
      </c>
      <c r="K211" s="5">
        <f t="shared" ref="K211:K226" si="13">J211/B211</f>
        <v>0.24979924936297987</v>
      </c>
    </row>
    <row r="212" spans="1:11">
      <c r="A212" s="16">
        <v>2005</v>
      </c>
      <c r="B212" s="6">
        <f>SUM(B27:B38)</f>
        <v>67016961</v>
      </c>
      <c r="C212" s="107">
        <f t="shared" ref="C212:C226" si="14">+B212-B211</f>
        <v>1340893</v>
      </c>
      <c r="D212" s="109">
        <f t="shared" ref="D212:D226" si="15">+C212/B211</f>
        <v>2.0416767337533056E-2</v>
      </c>
      <c r="E212" s="109">
        <f>RATE(2,0,-B$210,B212)</f>
        <v>-0.1652280726286709</v>
      </c>
      <c r="F212" s="180"/>
      <c r="G212" s="180"/>
      <c r="H212"/>
      <c r="I212" s="6">
        <f>SUM(I27:I38)</f>
        <v>79935284.992854744</v>
      </c>
      <c r="J212" s="36">
        <f t="shared" si="12"/>
        <v>12918323.992854744</v>
      </c>
      <c r="K212" s="5">
        <f t="shared" si="13"/>
        <v>0.19276200830495349</v>
      </c>
    </row>
    <row r="213" spans="1:11">
      <c r="A213">
        <v>2006</v>
      </c>
      <c r="B213" s="6">
        <f>SUM(B39:B50)</f>
        <v>80518764</v>
      </c>
      <c r="C213" s="107">
        <f t="shared" si="14"/>
        <v>13501803</v>
      </c>
      <c r="D213" s="109">
        <f t="shared" si="15"/>
        <v>0.20146844617439458</v>
      </c>
      <c r="E213" s="109">
        <f>RATE(3,0,-B$210,B213)</f>
        <v>-5.7497132227355058E-2</v>
      </c>
      <c r="F213" s="180"/>
      <c r="G213" s="180"/>
      <c r="H213"/>
      <c r="I213" s="6">
        <f>SUM(I39:I50)</f>
        <v>85865925.262102604</v>
      </c>
      <c r="J213" s="36">
        <f t="shared" si="12"/>
        <v>5347161.2621026039</v>
      </c>
      <c r="K213" s="5">
        <f t="shared" si="13"/>
        <v>6.6408884047234051E-2</v>
      </c>
    </row>
    <row r="214" spans="1:11">
      <c r="A214" s="16">
        <v>2007</v>
      </c>
      <c r="B214" s="6">
        <f>SUM(B51:B62)</f>
        <v>103869997</v>
      </c>
      <c r="C214" s="107">
        <f t="shared" si="14"/>
        <v>23351233</v>
      </c>
      <c r="D214" s="109">
        <f t="shared" si="15"/>
        <v>0.2900098292616613</v>
      </c>
      <c r="E214" s="109">
        <f>RATE(4,0,-B$210,B214)</f>
        <v>1.9436701972856671E-2</v>
      </c>
      <c r="F214" s="180"/>
      <c r="G214" s="180"/>
      <c r="H214"/>
      <c r="I214" s="6">
        <f>SUM(I51:I62)</f>
        <v>89413290.375159934</v>
      </c>
      <c r="J214" s="36">
        <f t="shared" si="12"/>
        <v>-14456706.624840066</v>
      </c>
      <c r="K214" s="5">
        <f t="shared" si="13"/>
        <v>-0.1391807744525117</v>
      </c>
    </row>
    <row r="215" spans="1:11">
      <c r="A215">
        <v>2008</v>
      </c>
      <c r="B215" s="6">
        <f>SUM(B63:B74)</f>
        <v>102433272</v>
      </c>
      <c r="C215" s="107">
        <f t="shared" si="14"/>
        <v>-1436725</v>
      </c>
      <c r="D215" s="109">
        <f t="shared" si="15"/>
        <v>-1.3831953802790618E-2</v>
      </c>
      <c r="E215" s="109">
        <f>RATE(5,0,-B$210,B215)</f>
        <v>1.2694374201591701E-2</v>
      </c>
      <c r="F215" s="180"/>
      <c r="G215" s="180"/>
      <c r="H215"/>
      <c r="I215" s="6">
        <f>SUM(I63:I74)</f>
        <v>88685457.33168</v>
      </c>
      <c r="J215" s="36">
        <f t="shared" si="12"/>
        <v>-13747814.66832</v>
      </c>
      <c r="K215" s="5">
        <f t="shared" si="13"/>
        <v>-0.13421239407758057</v>
      </c>
    </row>
    <row r="216" spans="1:11">
      <c r="A216" s="16">
        <v>2009</v>
      </c>
      <c r="B216" s="6">
        <f>SUM(B75:B86)</f>
        <v>87237589</v>
      </c>
      <c r="C216" s="107">
        <f t="shared" si="14"/>
        <v>-15195683</v>
      </c>
      <c r="D216" s="109">
        <f t="shared" si="15"/>
        <v>-0.14834714056581147</v>
      </c>
      <c r="E216" s="109">
        <f>RATE(6,0,-B$210,B216)</f>
        <v>-1.6119320003027477E-2</v>
      </c>
      <c r="F216" s="180"/>
      <c r="G216" s="180"/>
      <c r="H216"/>
      <c r="I216" s="6">
        <f>SUM(I75:I86)</f>
        <v>83452669.113286749</v>
      </c>
      <c r="J216" s="36">
        <f t="shared" si="12"/>
        <v>-3784919.8867132515</v>
      </c>
      <c r="K216" s="5">
        <f t="shared" si="13"/>
        <v>-4.3386342173134237E-2</v>
      </c>
    </row>
    <row r="217" spans="1:11">
      <c r="A217">
        <v>2010</v>
      </c>
      <c r="B217" s="6">
        <f>SUM(B87:B98)</f>
        <v>80783141</v>
      </c>
      <c r="C217" s="107">
        <f t="shared" si="14"/>
        <v>-6454448</v>
      </c>
      <c r="D217" s="109">
        <f t="shared" si="15"/>
        <v>-7.398700576193136E-2</v>
      </c>
      <c r="E217" s="109">
        <f>RATE(7,0,-B$210,B217)</f>
        <v>-2.4602432717810593E-2</v>
      </c>
      <c r="F217" s="180"/>
      <c r="G217" s="180"/>
      <c r="H217"/>
      <c r="I217" s="6">
        <f>SUM(I87:I98)</f>
        <v>78287903.678706333</v>
      </c>
      <c r="J217" s="36">
        <f t="shared" si="12"/>
        <v>-2495237.321293667</v>
      </c>
      <c r="K217" s="5">
        <f t="shared" si="13"/>
        <v>-3.088809484758295E-2</v>
      </c>
    </row>
    <row r="218" spans="1:11">
      <c r="A218">
        <v>2011</v>
      </c>
      <c r="B218" s="6">
        <f>SUM(B99:B110)</f>
        <v>79908016</v>
      </c>
      <c r="C218" s="107">
        <f t="shared" si="14"/>
        <v>-875125</v>
      </c>
      <c r="D218" s="109">
        <f t="shared" si="15"/>
        <v>-1.0833015269856862E-2</v>
      </c>
      <c r="E218" s="109">
        <f>RATE(8,0,-B$210,B218)</f>
        <v>-2.2891792793781555E-2</v>
      </c>
      <c r="F218" s="180"/>
      <c r="G218" s="180"/>
      <c r="H218"/>
      <c r="I218" s="6">
        <f>SUM(I99:I110)</f>
        <v>82615052.20883435</v>
      </c>
      <c r="J218" s="36">
        <f t="shared" si="12"/>
        <v>2707036.2088343501</v>
      </c>
      <c r="K218" s="5">
        <f t="shared" si="13"/>
        <v>3.3876904274964731E-2</v>
      </c>
    </row>
    <row r="219" spans="1:11">
      <c r="A219">
        <v>2012</v>
      </c>
      <c r="B219" s="6">
        <f>SUM(B111:B122)</f>
        <v>76828137</v>
      </c>
      <c r="C219" s="107">
        <f t="shared" si="14"/>
        <v>-3079879</v>
      </c>
      <c r="D219" s="109">
        <f t="shared" si="15"/>
        <v>-3.8542804016057662E-2</v>
      </c>
      <c r="E219" s="109">
        <f>RATE(9,0,-B$210,B219)</f>
        <v>-2.4643300256595783E-2</v>
      </c>
      <c r="F219" s="180"/>
      <c r="G219" s="180"/>
      <c r="H219"/>
      <c r="I219" s="6">
        <f>SUM(I111:I122)</f>
        <v>81646317.804309964</v>
      </c>
      <c r="J219" s="36">
        <f t="shared" si="12"/>
        <v>4818180.8043099642</v>
      </c>
      <c r="K219" s="5">
        <f t="shared" si="13"/>
        <v>6.2713752961495922E-2</v>
      </c>
    </row>
    <row r="220" spans="1:11">
      <c r="A220">
        <v>2013</v>
      </c>
      <c r="B220" s="6">
        <f>SUM(B123:B134)</f>
        <v>79176233</v>
      </c>
      <c r="C220" s="107">
        <f t="shared" si="14"/>
        <v>2348096</v>
      </c>
      <c r="D220" s="109">
        <f t="shared" si="15"/>
        <v>3.0562969397526847E-2</v>
      </c>
      <c r="E220" s="109">
        <f>RATE(10,0,-B$210,B220)</f>
        <v>-1.9258443918046941E-2</v>
      </c>
      <c r="F220" s="180"/>
      <c r="G220" s="180"/>
      <c r="H220"/>
      <c r="I220" s="6">
        <f ca="1">SUM(I123:I134)</f>
        <v>86940137.086282834</v>
      </c>
      <c r="J220" s="36">
        <f t="shared" ca="1" si="12"/>
        <v>7763904.0862828344</v>
      </c>
      <c r="K220" s="5">
        <f t="shared" ca="1" si="13"/>
        <v>9.805851822077509E-2</v>
      </c>
    </row>
    <row r="221" spans="1:11">
      <c r="A221">
        <v>2014</v>
      </c>
      <c r="B221" s="6">
        <f ca="1">+I221</f>
        <v>65805243.208584309</v>
      </c>
      <c r="C221" s="107">
        <f t="shared" ca="1" si="14"/>
        <v>-13370989.791415691</v>
      </c>
      <c r="D221" s="109">
        <f t="shared" ca="1" si="15"/>
        <v>-0.16887630649737645</v>
      </c>
      <c r="E221" s="109">
        <f ca="1">RATE(11,0,-B$210,B221)</f>
        <v>-3.3906362802539364E-2</v>
      </c>
      <c r="F221" s="103"/>
      <c r="G221" s="180"/>
      <c r="H221"/>
      <c r="I221" s="6">
        <f ca="1">SUM(I135:I146)</f>
        <v>65805243.208584309</v>
      </c>
      <c r="J221" s="36">
        <f t="shared" ca="1" si="12"/>
        <v>0</v>
      </c>
      <c r="K221" s="5">
        <f t="shared" ca="1" si="13"/>
        <v>0</v>
      </c>
    </row>
    <row r="222" spans="1:11">
      <c r="A222">
        <v>2015</v>
      </c>
      <c r="B222" s="6">
        <f t="shared" ref="B222:B226" ca="1" si="16">+I222</f>
        <v>65838909.736106053</v>
      </c>
      <c r="C222" s="107">
        <f t="shared" ca="1" si="14"/>
        <v>33666.52752174437</v>
      </c>
      <c r="D222" s="109">
        <f t="shared" ca="1" si="15"/>
        <v>5.1160858740436298E-4</v>
      </c>
      <c r="E222" s="109">
        <f ca="1">RATE(12,0,-B$210,B222)</f>
        <v>-3.1083992445036734E-2</v>
      </c>
      <c r="F222" s="103"/>
      <c r="G222" s="180"/>
      <c r="H222"/>
      <c r="I222" s="6">
        <f ca="1">SUM(I147:I158)</f>
        <v>65838909.736106053</v>
      </c>
      <c r="J222" s="36">
        <f t="shared" ca="1" si="12"/>
        <v>0</v>
      </c>
      <c r="K222" s="5">
        <f t="shared" ca="1" si="13"/>
        <v>0</v>
      </c>
    </row>
    <row r="223" spans="1:11">
      <c r="A223">
        <v>2016</v>
      </c>
      <c r="B223" s="6">
        <f t="shared" ca="1" si="16"/>
        <v>65699054.297786072</v>
      </c>
      <c r="C223" s="107">
        <f t="shared" ca="1" si="14"/>
        <v>-139855.4383199811</v>
      </c>
      <c r="D223" s="109">
        <f t="shared" ca="1" si="15"/>
        <v>-2.1242064742649342E-3</v>
      </c>
      <c r="E223" s="109">
        <f ca="1">RATE(13,0,-B$210,B223)</f>
        <v>-2.8886470849392804E-2</v>
      </c>
      <c r="F223" s="103"/>
      <c r="G223" s="180"/>
      <c r="H223"/>
      <c r="I223" s="6">
        <f ca="1">SUM(I159:I170)</f>
        <v>65699054.297786072</v>
      </c>
      <c r="J223" s="36">
        <f t="shared" ca="1" si="12"/>
        <v>0</v>
      </c>
      <c r="K223" s="5">
        <f t="shared" ca="1" si="13"/>
        <v>0</v>
      </c>
    </row>
    <row r="224" spans="1:11">
      <c r="A224">
        <v>2017</v>
      </c>
      <c r="B224" s="6">
        <f t="shared" ca="1" si="16"/>
        <v>65906242.791149594</v>
      </c>
      <c r="C224" s="107">
        <f t="shared" ca="1" si="14"/>
        <v>207188.49336352199</v>
      </c>
      <c r="D224" s="109">
        <f t="shared" ca="1" si="15"/>
        <v>3.1535993261702679E-3</v>
      </c>
      <c r="E224" s="109">
        <f ca="1">RATE(14,0,-B$210,B224)</f>
        <v>-2.6632225318201041E-2</v>
      </c>
      <c r="F224" s="103"/>
      <c r="G224" s="180"/>
      <c r="H224"/>
      <c r="I224" s="6">
        <f ca="1">SUM(I171:I182)</f>
        <v>65906242.791149594</v>
      </c>
      <c r="J224" s="36">
        <f t="shared" ca="1" si="12"/>
        <v>0</v>
      </c>
      <c r="K224" s="5">
        <f t="shared" ca="1" si="13"/>
        <v>0</v>
      </c>
    </row>
    <row r="225" spans="1:11">
      <c r="A225">
        <v>2018</v>
      </c>
      <c r="B225" s="6">
        <f t="shared" ca="1" si="16"/>
        <v>65939909.318671368</v>
      </c>
      <c r="C225" s="107">
        <f t="shared" ca="1" si="14"/>
        <v>33666.527521774173</v>
      </c>
      <c r="D225" s="109">
        <f t="shared" ca="1" si="15"/>
        <v>5.1082456070906804E-4</v>
      </c>
      <c r="E225" s="109">
        <f ca="1">RATE(15,0,-B$210,B225)</f>
        <v>-2.4845822048578103E-2</v>
      </c>
      <c r="F225" s="103"/>
      <c r="G225" s="180"/>
      <c r="H225"/>
      <c r="I225" s="6">
        <f ca="1">SUM(I183:I194)</f>
        <v>65939909.318671368</v>
      </c>
      <c r="J225" s="36">
        <f t="shared" ca="1" si="12"/>
        <v>0</v>
      </c>
      <c r="K225" s="5">
        <f t="shared" ca="1" si="13"/>
        <v>0</v>
      </c>
    </row>
    <row r="226" spans="1:11">
      <c r="A226">
        <v>2019</v>
      </c>
      <c r="B226" s="6">
        <f t="shared" ca="1" si="16"/>
        <v>65973575.846193142</v>
      </c>
      <c r="C226" s="107">
        <f t="shared" ca="1" si="14"/>
        <v>33666.527521774173</v>
      </c>
      <c r="D226" s="109">
        <f t="shared" ca="1" si="15"/>
        <v>5.1056375220463409E-4</v>
      </c>
      <c r="E226" s="109">
        <f ca="1">RATE(16,0,-B$210,B226)</f>
        <v>-2.3280045869141303E-2</v>
      </c>
      <c r="F226" s="103"/>
      <c r="G226" s="180"/>
      <c r="H226"/>
      <c r="I226" s="6">
        <f ca="1">SUM(I195:I206)</f>
        <v>65973575.846193142</v>
      </c>
      <c r="J226" s="36">
        <f t="shared" ca="1" si="12"/>
        <v>0</v>
      </c>
      <c r="K226" s="5">
        <f t="shared" ca="1" si="13"/>
        <v>0</v>
      </c>
    </row>
    <row r="227" spans="1:11">
      <c r="C227" s="101"/>
      <c r="D227" s="180"/>
      <c r="F227" s="180"/>
      <c r="G227" s="180"/>
      <c r="H227"/>
      <c r="J227" s="180"/>
      <c r="K227" s="180"/>
    </row>
    <row r="228" spans="1:11">
      <c r="A228" t="s">
        <v>9</v>
      </c>
      <c r="B228" s="6">
        <f ca="1">SUM(B210:B226)</f>
        <v>1314783204.1984906</v>
      </c>
      <c r="C228" s="101"/>
      <c r="D228" s="180"/>
      <c r="F228" s="180"/>
      <c r="G228" s="180"/>
      <c r="H228"/>
      <c r="I228" s="6">
        <f ca="1">SUM(I210:I226)</f>
        <v>1314783204.1984904</v>
      </c>
      <c r="J228" s="184">
        <f ca="1">I228-B228</f>
        <v>0</v>
      </c>
      <c r="K228" s="180"/>
    </row>
    <row r="229" spans="1:11">
      <c r="C229" s="180"/>
      <c r="D229" s="180"/>
      <c r="F229" s="180"/>
      <c r="G229" s="180"/>
      <c r="H229"/>
      <c r="I229" s="180"/>
      <c r="J229" s="62"/>
      <c r="K229" s="180"/>
    </row>
    <row r="230" spans="1:11">
      <c r="C230" s="180"/>
      <c r="D230" s="180"/>
      <c r="F230" s="180"/>
      <c r="G230" s="180"/>
      <c r="H230"/>
      <c r="I230" s="6">
        <f ca="1">SUM(I210:I226)</f>
        <v>1314783204.1984904</v>
      </c>
      <c r="J230" s="184">
        <f ca="1">I208-I230</f>
        <v>0</v>
      </c>
      <c r="K230" s="180"/>
    </row>
    <row r="231" spans="1:11">
      <c r="C231" s="180"/>
      <c r="D231" s="180"/>
      <c r="F231" s="180"/>
      <c r="G231" s="180"/>
      <c r="H231"/>
      <c r="I231" s="23"/>
      <c r="J231" s="185" t="s">
        <v>69</v>
      </c>
      <c r="K231" s="18"/>
    </row>
    <row r="232" spans="1:11">
      <c r="I232" s="11"/>
      <c r="J232" s="11"/>
      <c r="K232" s="11"/>
    </row>
    <row r="244" spans="9:11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71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.2"/>
  <cols>
    <col min="1" max="1" width="11.8867187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4" customWidth="1"/>
    <col min="6" max="6" width="10.109375" style="1" customWidth="1"/>
    <col min="7" max="8" width="12.44140625" style="1" customWidth="1"/>
    <col min="9" max="9" width="14" style="6" bestFit="1" customWidth="1"/>
    <col min="10" max="10" width="22" style="6" customWidth="1"/>
    <col min="11" max="11" width="11.5546875" style="6" customWidth="1"/>
    <col min="12" max="12" width="9.33203125" style="6" customWidth="1"/>
    <col min="13" max="13" width="27.33203125" style="6" bestFit="1" customWidth="1"/>
    <col min="14" max="14" width="15.5546875" style="6" bestFit="1" customWidth="1"/>
    <col min="15" max="15" width="24.33203125" style="6" bestFit="1" customWidth="1"/>
    <col min="16" max="16" width="22.6640625" style="6" bestFit="1" customWidth="1"/>
    <col min="17" max="17" width="9.5546875" style="6" bestFit="1" customWidth="1"/>
    <col min="18" max="21" width="15.5546875" bestFit="1" customWidth="1"/>
  </cols>
  <sheetData>
    <row r="2" spans="1:18" ht="42" customHeight="1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80"/>
      <c r="M2" t="s">
        <v>18</v>
      </c>
      <c r="N2"/>
      <c r="O2"/>
      <c r="P2"/>
      <c r="Q2"/>
    </row>
    <row r="3" spans="1:18" ht="13.8" thickBot="1">
      <c r="A3" s="3">
        <v>37622</v>
      </c>
      <c r="B3" s="59">
        <v>12159799</v>
      </c>
      <c r="C3" s="186">
        <f>+'Purchased Power Model '!C3</f>
        <v>786</v>
      </c>
      <c r="D3" s="186">
        <f>+'Purchased Power Model '!D3</f>
        <v>0</v>
      </c>
      <c r="E3" s="103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2</v>
      </c>
      <c r="I3" s="193">
        <f>$N$18+C3*$N$19+D3*$N$20+E3*$N$21+F3*$N$22+G3*$N$23+H3*$N$24</f>
        <v>9204702.0941835772</v>
      </c>
      <c r="J3" s="36">
        <f>I3-B3</f>
        <v>-2955096.9058164228</v>
      </c>
      <c r="K3" s="5">
        <f>J3/B3</f>
        <v>-0.24302185470470547</v>
      </c>
      <c r="M3"/>
      <c r="N3"/>
      <c r="O3"/>
      <c r="P3"/>
      <c r="Q3"/>
    </row>
    <row r="4" spans="1:18">
      <c r="A4" s="3">
        <v>37653</v>
      </c>
      <c r="B4" s="59">
        <v>15334488</v>
      </c>
      <c r="C4" s="186">
        <f>+'Purchased Power Model '!C4</f>
        <v>686.5</v>
      </c>
      <c r="D4" s="186">
        <f>+'Purchased Power Model '!D4</f>
        <v>0</v>
      </c>
      <c r="E4" s="103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2</v>
      </c>
      <c r="I4" s="193">
        <f t="shared" ref="I4:I67" si="0">$N$18+C4*$N$19+D4*$N$20+E4*$N$21+F4*$N$22+G4*$N$23+H4*$N$24</f>
        <v>9649026.2596882842</v>
      </c>
      <c r="J4" s="36">
        <f t="shared" ref="J4:J67" si="1">I4-B4</f>
        <v>-5685461.7403117158</v>
      </c>
      <c r="K4" s="5">
        <f t="shared" ref="K4:K67" si="2">J4/B4</f>
        <v>-0.37076306299315087</v>
      </c>
      <c r="M4" s="53" t="s">
        <v>19</v>
      </c>
      <c r="N4" s="53"/>
      <c r="O4"/>
      <c r="P4"/>
      <c r="Q4"/>
    </row>
    <row r="5" spans="1:18">
      <c r="A5" s="3">
        <v>37681</v>
      </c>
      <c r="B5" s="59">
        <v>14027949</v>
      </c>
      <c r="C5" s="186">
        <f>+'Purchased Power Model '!C5</f>
        <v>572.5</v>
      </c>
      <c r="D5" s="186">
        <f>+'Purchased Power Model '!D5</f>
        <v>0</v>
      </c>
      <c r="E5" s="103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2</v>
      </c>
      <c r="I5" s="193">
        <f t="shared" si="0"/>
        <v>9215796.1449828111</v>
      </c>
      <c r="J5" s="36">
        <f t="shared" si="1"/>
        <v>-4812152.8550171889</v>
      </c>
      <c r="K5" s="5">
        <f t="shared" si="2"/>
        <v>-0.34304037283120925</v>
      </c>
      <c r="M5" s="35" t="s">
        <v>20</v>
      </c>
      <c r="N5" s="349">
        <v>0.76855292659046159</v>
      </c>
      <c r="O5"/>
      <c r="P5"/>
      <c r="Q5"/>
    </row>
    <row r="6" spans="1:18">
      <c r="A6" s="3">
        <v>37712</v>
      </c>
      <c r="B6" s="59">
        <v>16091782.488984304</v>
      </c>
      <c r="C6" s="186">
        <f>+'Purchased Power Model '!C6</f>
        <v>403.9</v>
      </c>
      <c r="D6" s="186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2</v>
      </c>
      <c r="I6" s="193">
        <f t="shared" si="0"/>
        <v>8101760.4446832072</v>
      </c>
      <c r="J6" s="36">
        <f t="shared" si="1"/>
        <v>-7990022.0443010963</v>
      </c>
      <c r="K6" s="5">
        <f t="shared" si="2"/>
        <v>-0.49652809126463765</v>
      </c>
      <c r="M6" s="35" t="s">
        <v>21</v>
      </c>
      <c r="N6" s="349">
        <v>0.59067360097076349</v>
      </c>
      <c r="O6"/>
      <c r="P6"/>
      <c r="Q6"/>
    </row>
    <row r="7" spans="1:18">
      <c r="A7" s="3">
        <v>37742</v>
      </c>
      <c r="B7" s="59">
        <v>12996205.511015696</v>
      </c>
      <c r="C7" s="186">
        <f>+'Purchased Power Model '!C7</f>
        <v>192</v>
      </c>
      <c r="D7" s="186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2</v>
      </c>
      <c r="I7" s="193">
        <f t="shared" si="0"/>
        <v>7411347.0581866931</v>
      </c>
      <c r="J7" s="36">
        <f t="shared" si="1"/>
        <v>-5584858.4528290033</v>
      </c>
      <c r="K7" s="5">
        <f t="shared" si="2"/>
        <v>-0.429729927561951</v>
      </c>
      <c r="M7" s="35" t="s">
        <v>22</v>
      </c>
      <c r="N7" s="349">
        <v>0.57102593381736022</v>
      </c>
      <c r="O7"/>
      <c r="P7"/>
      <c r="Q7"/>
    </row>
    <row r="8" spans="1:18">
      <c r="A8" s="3">
        <v>37773</v>
      </c>
      <c r="B8" s="59">
        <v>14700512</v>
      </c>
      <c r="C8" s="186">
        <f>+'Purchased Power Model '!C8</f>
        <v>55.1</v>
      </c>
      <c r="D8" s="186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2</v>
      </c>
      <c r="I8" s="193">
        <f t="shared" si="0"/>
        <v>7076842.6234476026</v>
      </c>
      <c r="J8" s="36">
        <f t="shared" si="1"/>
        <v>-7623669.3765523974</v>
      </c>
      <c r="K8" s="5">
        <f t="shared" si="2"/>
        <v>-0.51859890162685474</v>
      </c>
      <c r="M8" s="35" t="s">
        <v>23</v>
      </c>
      <c r="N8" s="67">
        <v>2253738.8113431698</v>
      </c>
      <c r="O8"/>
      <c r="P8"/>
      <c r="Q8"/>
    </row>
    <row r="9" spans="1:18" ht="13.8" thickBot="1">
      <c r="A9" s="3">
        <v>37803</v>
      </c>
      <c r="B9" s="59">
        <v>13956069</v>
      </c>
      <c r="C9" s="186">
        <f>+'Purchased Power Model '!C9</f>
        <v>5.7</v>
      </c>
      <c r="D9" s="186">
        <f>+'Purchased Power Model '!D9</f>
        <v>59.1</v>
      </c>
      <c r="E9" s="103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3</v>
      </c>
      <c r="I9" s="193">
        <f t="shared" si="0"/>
        <v>8990706.9760699198</v>
      </c>
      <c r="J9" s="36">
        <f t="shared" si="1"/>
        <v>-4965362.0239300802</v>
      </c>
      <c r="K9" s="5">
        <f t="shared" si="2"/>
        <v>-0.35578514436479786</v>
      </c>
      <c r="M9" s="51" t="s">
        <v>24</v>
      </c>
      <c r="N9" s="68">
        <v>132</v>
      </c>
      <c r="O9"/>
      <c r="P9"/>
      <c r="Q9"/>
    </row>
    <row r="10" spans="1:18">
      <c r="A10" s="3">
        <v>37834</v>
      </c>
      <c r="B10" s="59">
        <v>11751775</v>
      </c>
      <c r="C10" s="186">
        <f>+'Purchased Power Model '!C10</f>
        <v>10.4</v>
      </c>
      <c r="D10" s="186">
        <f>+'Purchased Power Model '!D10</f>
        <v>106.5</v>
      </c>
      <c r="E10" s="103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3</v>
      </c>
      <c r="I10" s="193">
        <f t="shared" si="0"/>
        <v>9353524.5898307078</v>
      </c>
      <c r="J10" s="36">
        <f t="shared" si="1"/>
        <v>-2398250.4101692922</v>
      </c>
      <c r="K10" s="5">
        <f t="shared" si="2"/>
        <v>-0.20407558944664037</v>
      </c>
      <c r="M10"/>
      <c r="N10"/>
      <c r="O10"/>
      <c r="P10"/>
      <c r="Q10"/>
    </row>
    <row r="11" spans="1:18" ht="13.8" thickBot="1">
      <c r="A11" s="3">
        <v>37865</v>
      </c>
      <c r="B11" s="59">
        <v>14022194</v>
      </c>
      <c r="C11" s="186">
        <f>+'Purchased Power Model '!C11</f>
        <v>55.2</v>
      </c>
      <c r="D11" s="186">
        <f>+'Purchased Power Model '!D11</f>
        <v>12.1</v>
      </c>
      <c r="E11" s="103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3</v>
      </c>
      <c r="I11" s="193">
        <f t="shared" si="0"/>
        <v>9455849.9893163517</v>
      </c>
      <c r="J11" s="36">
        <f t="shared" si="1"/>
        <v>-4566344.0106836483</v>
      </c>
      <c r="K11" s="5">
        <f t="shared" si="2"/>
        <v>-0.32565117917236408</v>
      </c>
      <c r="M11" t="s">
        <v>25</v>
      </c>
      <c r="N11"/>
      <c r="O11"/>
      <c r="P11"/>
      <c r="Q11"/>
    </row>
    <row r="12" spans="1:18">
      <c r="A12" s="3">
        <v>37895</v>
      </c>
      <c r="B12" s="59">
        <v>15169809</v>
      </c>
      <c r="C12" s="186">
        <f>+'Purchased Power Model '!C12</f>
        <v>289.7</v>
      </c>
      <c r="D12" s="186">
        <f>+'Purchased Power Model '!D12</f>
        <v>0</v>
      </c>
      <c r="E12" s="103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3</v>
      </c>
      <c r="I12" s="193">
        <f t="shared" si="0"/>
        <v>10197998.822239093</v>
      </c>
      <c r="J12" s="36">
        <f t="shared" si="1"/>
        <v>-4971810.1777609065</v>
      </c>
      <c r="K12" s="5">
        <f t="shared" si="2"/>
        <v>-0.3277437558878234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>
      <c r="A13" s="3">
        <v>37926</v>
      </c>
      <c r="B13" s="59">
        <v>14680145</v>
      </c>
      <c r="C13" s="186">
        <f>+'Purchased Power Model '!C13</f>
        <v>387.6</v>
      </c>
      <c r="D13" s="186">
        <f>+'Purchased Power Model '!D13</f>
        <v>0</v>
      </c>
      <c r="E13" s="103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3</v>
      </c>
      <c r="I13" s="193">
        <f t="shared" si="0"/>
        <v>10636142.86255189</v>
      </c>
      <c r="J13" s="36">
        <f t="shared" si="1"/>
        <v>-4044002.1374481097</v>
      </c>
      <c r="K13" s="5">
        <f t="shared" si="2"/>
        <v>-0.27547426387464902</v>
      </c>
      <c r="M13" s="35" t="s">
        <v>26</v>
      </c>
      <c r="N13" s="67">
        <v>6</v>
      </c>
      <c r="O13" s="67">
        <v>916209914050985.25</v>
      </c>
      <c r="P13" s="67">
        <v>152701652341830.87</v>
      </c>
      <c r="Q13" s="67">
        <v>30.063294352400892</v>
      </c>
      <c r="R13" s="67">
        <v>4.1479636504589023E-22</v>
      </c>
    </row>
    <row r="14" spans="1:18">
      <c r="A14" s="3">
        <v>37956</v>
      </c>
      <c r="B14" s="59">
        <v>14366484.5</v>
      </c>
      <c r="C14" s="186">
        <f>+'Purchased Power Model '!C14</f>
        <v>548.20000000000005</v>
      </c>
      <c r="D14" s="186">
        <f>+'Purchased Power Model '!D14</f>
        <v>0</v>
      </c>
      <c r="E14" s="103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3</v>
      </c>
      <c r="I14" s="193">
        <f t="shared" si="0"/>
        <v>10286484.776512388</v>
      </c>
      <c r="J14" s="36">
        <f t="shared" si="1"/>
        <v>-4079999.7234876119</v>
      </c>
      <c r="K14" s="5">
        <f t="shared" si="2"/>
        <v>-0.28399430100576184</v>
      </c>
      <c r="M14" s="35" t="s">
        <v>27</v>
      </c>
      <c r="N14" s="67">
        <v>125</v>
      </c>
      <c r="O14" s="67">
        <v>634917328719315.5</v>
      </c>
      <c r="P14" s="67">
        <v>5079338629754.5244</v>
      </c>
      <c r="Q14" s="67"/>
      <c r="R14" s="67"/>
    </row>
    <row r="15" spans="1:18" ht="13.8" thickBot="1">
      <c r="A15" s="3">
        <v>37987</v>
      </c>
      <c r="B15" s="59">
        <v>12464314</v>
      </c>
      <c r="C15" s="186">
        <f>+'Purchased Power Model '!C15</f>
        <v>828.8</v>
      </c>
      <c r="D15" s="186">
        <f>+'Purchased Power Model '!D15</f>
        <v>0</v>
      </c>
      <c r="E15" s="103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3</v>
      </c>
      <c r="I15" s="193">
        <f t="shared" si="0"/>
        <v>10586606.489803627</v>
      </c>
      <c r="J15" s="36">
        <f t="shared" si="1"/>
        <v>-1877707.5101963729</v>
      </c>
      <c r="K15" s="5">
        <f t="shared" si="2"/>
        <v>-0.15064667900667239</v>
      </c>
      <c r="M15" s="51" t="s">
        <v>9</v>
      </c>
      <c r="N15" s="68">
        <v>131</v>
      </c>
      <c r="O15" s="68">
        <v>1551127242770300.7</v>
      </c>
      <c r="P15" s="68"/>
      <c r="Q15" s="68"/>
      <c r="R15" s="68"/>
    </row>
    <row r="16" spans="1:18" ht="13.8" thickBot="1">
      <c r="A16" s="3">
        <v>38018</v>
      </c>
      <c r="B16" s="59">
        <v>12419310</v>
      </c>
      <c r="C16" s="186">
        <f>+'Purchased Power Model '!C16</f>
        <v>615.6</v>
      </c>
      <c r="D16" s="186">
        <f>+'Purchased Power Model '!D16</f>
        <v>0</v>
      </c>
      <c r="E16" s="103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3</v>
      </c>
      <c r="I16" s="193">
        <f t="shared" si="0"/>
        <v>10557822.968770076</v>
      </c>
      <c r="J16" s="36">
        <f t="shared" si="1"/>
        <v>-1861487.0312299244</v>
      </c>
      <c r="K16" s="5">
        <f t="shared" si="2"/>
        <v>-0.1498865098970816</v>
      </c>
      <c r="M16"/>
      <c r="N16"/>
      <c r="O16"/>
      <c r="P16"/>
      <c r="Q16"/>
    </row>
    <row r="17" spans="1:21">
      <c r="A17" s="3">
        <v>38047</v>
      </c>
      <c r="B17" s="59">
        <v>11160560</v>
      </c>
      <c r="C17" s="186">
        <f>+'Purchased Power Model '!C17</f>
        <v>487.1</v>
      </c>
      <c r="D17" s="186">
        <f>+'Purchased Power Model '!D17</f>
        <v>0</v>
      </c>
      <c r="E17" s="103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3</v>
      </c>
      <c r="I17" s="193">
        <f t="shared" si="0"/>
        <v>10314008.170596249</v>
      </c>
      <c r="J17" s="36">
        <f t="shared" si="1"/>
        <v>-846551.8294037506</v>
      </c>
      <c r="K17" s="5">
        <f t="shared" si="2"/>
        <v>-7.5852092493902692E-2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>
      <c r="A18" s="3">
        <v>38078</v>
      </c>
      <c r="B18" s="59">
        <v>11229906</v>
      </c>
      <c r="C18" s="186">
        <f>+'Purchased Power Model '!C18</f>
        <v>345</v>
      </c>
      <c r="D18" s="186">
        <f>+'Purchased Power Model '!D18</f>
        <v>0</v>
      </c>
      <c r="E18" s="103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3</v>
      </c>
      <c r="I18" s="193">
        <f t="shared" si="0"/>
        <v>9793305.5964409709</v>
      </c>
      <c r="J18" s="36">
        <f t="shared" si="1"/>
        <v>-1436600.4035590291</v>
      </c>
      <c r="K18" s="5">
        <f t="shared" si="2"/>
        <v>-0.12792630709099695</v>
      </c>
      <c r="M18" s="35" t="s">
        <v>28</v>
      </c>
      <c r="N18" s="67">
        <v>16142025.119253565</v>
      </c>
      <c r="O18" s="67">
        <v>7921421.1927499818</v>
      </c>
      <c r="P18" s="67">
        <v>2.0377688203257547</v>
      </c>
      <c r="Q18" s="67">
        <v>4.3683424672201841E-2</v>
      </c>
      <c r="R18" s="67">
        <v>464549.45578144677</v>
      </c>
      <c r="S18" s="67">
        <v>31819500.782725684</v>
      </c>
      <c r="T18" s="67">
        <v>464549.45578144677</v>
      </c>
      <c r="U18" s="67">
        <v>31819500.782725684</v>
      </c>
    </row>
    <row r="19" spans="1:21">
      <c r="A19" s="3">
        <v>38108</v>
      </c>
      <c r="B19" s="59">
        <v>10076064</v>
      </c>
      <c r="C19" s="186">
        <f>+'Purchased Power Model '!C19</f>
        <v>177.5</v>
      </c>
      <c r="D19" s="186">
        <f>+'Purchased Power Model '!D19</f>
        <v>0</v>
      </c>
      <c r="E19" s="103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3</v>
      </c>
      <c r="I19" s="193">
        <f t="shared" si="0"/>
        <v>9201144.4816160128</v>
      </c>
      <c r="J19" s="36">
        <f t="shared" si="1"/>
        <v>-874919.51838398725</v>
      </c>
      <c r="K19" s="5">
        <f t="shared" si="2"/>
        <v>-8.6831476892563139E-2</v>
      </c>
      <c r="M19" s="35" t="s">
        <v>3</v>
      </c>
      <c r="N19" s="67">
        <v>2212.8890016115893</v>
      </c>
      <c r="O19" s="67">
        <v>1221.6428417434033</v>
      </c>
      <c r="P19" s="67">
        <v>1.8114042222468074</v>
      </c>
      <c r="Q19" s="67">
        <v>7.2479368149245299E-2</v>
      </c>
      <c r="R19" s="67">
        <v>-204.89379958778318</v>
      </c>
      <c r="S19" s="67">
        <v>4630.6718028109617</v>
      </c>
      <c r="T19" s="67">
        <v>-204.89379958778318</v>
      </c>
      <c r="U19" s="67">
        <v>4630.6718028109617</v>
      </c>
    </row>
    <row r="20" spans="1:21">
      <c r="A20" s="3">
        <v>38139</v>
      </c>
      <c r="B20" s="59">
        <v>10438431</v>
      </c>
      <c r="C20" s="186">
        <f>+'Purchased Power Model '!C20</f>
        <v>73.2</v>
      </c>
      <c r="D20" s="186">
        <f>+'Purchased Power Model '!D20</f>
        <v>15.6</v>
      </c>
      <c r="E20" s="103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3</v>
      </c>
      <c r="I20" s="193">
        <f t="shared" si="0"/>
        <v>8824281.866599936</v>
      </c>
      <c r="J20" s="36">
        <f t="shared" si="1"/>
        <v>-1614149.133400064</v>
      </c>
      <c r="K20" s="5">
        <f t="shared" si="2"/>
        <v>-0.15463522567712179</v>
      </c>
      <c r="M20" s="35" t="s">
        <v>4</v>
      </c>
      <c r="N20" s="67">
        <v>7434.9585538652582</v>
      </c>
      <c r="O20" s="67">
        <v>9158.3601567153109</v>
      </c>
      <c r="P20" s="67">
        <v>0.81182203218046856</v>
      </c>
      <c r="Q20" s="67">
        <v>0.41843701134273592</v>
      </c>
      <c r="R20" s="67">
        <v>-10690.572835076338</v>
      </c>
      <c r="S20" s="67">
        <v>25560.489942806853</v>
      </c>
      <c r="T20" s="67">
        <v>-10690.572835076338</v>
      </c>
      <c r="U20" s="67">
        <v>25560.489942806853</v>
      </c>
    </row>
    <row r="21" spans="1:21">
      <c r="A21" s="3">
        <v>38169</v>
      </c>
      <c r="B21" s="59">
        <v>10556569</v>
      </c>
      <c r="C21" s="186">
        <f>+'Purchased Power Model '!C21</f>
        <v>2</v>
      </c>
      <c r="D21" s="186">
        <f>+'Purchased Power Model '!D21</f>
        <v>69.3</v>
      </c>
      <c r="E21" s="103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3</v>
      </c>
      <c r="I21" s="193">
        <f t="shared" si="0"/>
        <v>8737540.9234524146</v>
      </c>
      <c r="J21" s="36">
        <f t="shared" si="1"/>
        <v>-1819028.0765475854</v>
      </c>
      <c r="K21" s="5">
        <f t="shared" si="2"/>
        <v>-0.17231243186565498</v>
      </c>
      <c r="M21" s="35" t="s">
        <v>218</v>
      </c>
      <c r="N21" s="67">
        <v>-106938313.52032302</v>
      </c>
      <c r="O21" s="67">
        <v>19148552.371208463</v>
      </c>
      <c r="P21" s="67">
        <v>-5.5846683053239161</v>
      </c>
      <c r="Q21" s="67">
        <v>1.3914682082142392E-7</v>
      </c>
      <c r="R21" s="67">
        <v>-144835675.17874596</v>
      </c>
      <c r="S21" s="67">
        <v>-69040951.861900091</v>
      </c>
      <c r="T21" s="67">
        <v>-144835675.17874596</v>
      </c>
      <c r="U21" s="67">
        <v>-69040951.861900091</v>
      </c>
    </row>
    <row r="22" spans="1:21">
      <c r="A22" s="3">
        <v>38200</v>
      </c>
      <c r="B22" s="59">
        <v>4679798</v>
      </c>
      <c r="C22" s="186">
        <f>+'Purchased Power Model '!C22</f>
        <v>19.600000000000001</v>
      </c>
      <c r="D22" s="186">
        <f>+'Purchased Power Model '!D22</f>
        <v>53.6</v>
      </c>
      <c r="E22" s="103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2</v>
      </c>
      <c r="I22" s="193">
        <f t="shared" si="0"/>
        <v>7051751.2336730491</v>
      </c>
      <c r="J22" s="36">
        <f t="shared" si="1"/>
        <v>2371953.2336730491</v>
      </c>
      <c r="K22" s="5">
        <f t="shared" si="2"/>
        <v>0.50684949086970188</v>
      </c>
      <c r="M22" s="35" t="s">
        <v>5</v>
      </c>
      <c r="N22" s="67">
        <v>-221502.20705501933</v>
      </c>
      <c r="O22" s="67">
        <v>253147.98958649341</v>
      </c>
      <c r="P22" s="67">
        <v>-0.87499097826861616</v>
      </c>
      <c r="Q22" s="67">
        <v>0.38325696114500207</v>
      </c>
      <c r="R22" s="67">
        <v>-722513.49649781338</v>
      </c>
      <c r="S22" s="67">
        <v>279509.08238777466</v>
      </c>
      <c r="T22" s="67">
        <v>-722513.49649781338</v>
      </c>
      <c r="U22" s="67">
        <v>279509.08238777466</v>
      </c>
    </row>
    <row r="23" spans="1:21">
      <c r="A23" s="3">
        <v>38231</v>
      </c>
      <c r="B23" s="59">
        <v>7568908</v>
      </c>
      <c r="C23" s="186">
        <f>+'Purchased Power Model '!C23</f>
        <v>41.7</v>
      </c>
      <c r="D23" s="186">
        <f>+'Purchased Power Model '!D23</f>
        <v>26.7</v>
      </c>
      <c r="E23" s="103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2</v>
      </c>
      <c r="I23" s="193">
        <f t="shared" si="0"/>
        <v>7605703.7552080136</v>
      </c>
      <c r="J23" s="36">
        <f t="shared" si="1"/>
        <v>36795.755208013579</v>
      </c>
      <c r="K23" s="5">
        <f t="shared" si="2"/>
        <v>4.8614351248573214E-3</v>
      </c>
      <c r="M23" s="35" t="s">
        <v>17</v>
      </c>
      <c r="N23" s="67">
        <v>483545.85264330561</v>
      </c>
      <c r="O23" s="67">
        <v>509511.21245905146</v>
      </c>
      <c r="P23" s="67">
        <v>0.94903868809789416</v>
      </c>
      <c r="Q23" s="67">
        <v>0.34443216808081589</v>
      </c>
      <c r="R23" s="67">
        <v>-524840.07195615466</v>
      </c>
      <c r="S23" s="67">
        <v>1491931.777242766</v>
      </c>
      <c r="T23" s="67">
        <v>-524840.07195615466</v>
      </c>
      <c r="U23" s="67">
        <v>1491931.777242766</v>
      </c>
    </row>
    <row r="24" spans="1:21" ht="13.8" thickBot="1">
      <c r="A24" s="3">
        <v>38261</v>
      </c>
      <c r="B24" s="59">
        <v>6828234</v>
      </c>
      <c r="C24" s="186">
        <f>+'Purchased Power Model '!C24</f>
        <v>235</v>
      </c>
      <c r="D24" s="186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2</v>
      </c>
      <c r="I24" s="193">
        <f t="shared" si="0"/>
        <v>7292624.658215344</v>
      </c>
      <c r="J24" s="36">
        <f t="shared" si="1"/>
        <v>464390.65821534395</v>
      </c>
      <c r="K24" s="5">
        <f t="shared" si="2"/>
        <v>6.8010360836395459E-2</v>
      </c>
      <c r="M24" s="51" t="s">
        <v>59</v>
      </c>
      <c r="N24" s="68">
        <v>1608007.6869120428</v>
      </c>
      <c r="O24" s="68">
        <v>442652.04813323653</v>
      </c>
      <c r="P24" s="68">
        <v>3.6326674499606941</v>
      </c>
      <c r="Q24" s="68">
        <v>4.0793555909074029E-4</v>
      </c>
      <c r="R24" s="68">
        <v>731944.34636573028</v>
      </c>
      <c r="S24" s="68">
        <v>2484071.0274583553</v>
      </c>
      <c r="T24" s="68">
        <v>731944.34636573028</v>
      </c>
      <c r="U24" s="68">
        <v>2484071.0274583553</v>
      </c>
    </row>
    <row r="25" spans="1:21">
      <c r="A25" s="3">
        <v>38292</v>
      </c>
      <c r="B25" s="59">
        <v>7250002</v>
      </c>
      <c r="C25" s="186">
        <f>+'Purchased Power Model '!C25</f>
        <v>385.7</v>
      </c>
      <c r="D25" s="186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2</v>
      </c>
      <c r="I25" s="193">
        <f t="shared" si="0"/>
        <v>7847609.2378132287</v>
      </c>
      <c r="J25" s="36">
        <f t="shared" si="1"/>
        <v>597607.23781322874</v>
      </c>
      <c r="K25" s="5">
        <f t="shared" si="2"/>
        <v>8.2428561787048993E-2</v>
      </c>
      <c r="M25"/>
      <c r="N25"/>
      <c r="O25"/>
      <c r="P25"/>
      <c r="Q25"/>
    </row>
    <row r="26" spans="1:21">
      <c r="A26" s="3">
        <v>38322</v>
      </c>
      <c r="B26" s="59">
        <v>7472100</v>
      </c>
      <c r="C26" s="186">
        <f>+'Purchased Power Model '!C26</f>
        <v>627.5</v>
      </c>
      <c r="D26" s="186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2</v>
      </c>
      <c r="I26" s="193">
        <f t="shared" si="0"/>
        <v>7677637.7387045864</v>
      </c>
      <c r="J26" s="36">
        <f t="shared" si="1"/>
        <v>205537.7387045864</v>
      </c>
      <c r="K26" s="5">
        <f t="shared" si="2"/>
        <v>2.7507359203515262E-2</v>
      </c>
      <c r="M26"/>
      <c r="N26"/>
      <c r="O26"/>
      <c r="P26"/>
      <c r="Q26"/>
    </row>
    <row r="27" spans="1:21">
      <c r="A27" s="3">
        <v>38353</v>
      </c>
      <c r="B27" s="59">
        <v>6007595</v>
      </c>
      <c r="C27" s="186">
        <f>+'Purchased Power Model '!C27</f>
        <v>745.5</v>
      </c>
      <c r="D27" s="186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2</v>
      </c>
      <c r="I27" s="193">
        <f t="shared" si="0"/>
        <v>6441622.2516102325</v>
      </c>
      <c r="J27" s="36">
        <f t="shared" si="1"/>
        <v>434027.25161023252</v>
      </c>
      <c r="K27" s="5">
        <f t="shared" si="2"/>
        <v>7.2246423337497367E-2</v>
      </c>
      <c r="M27"/>
      <c r="N27"/>
      <c r="O27"/>
      <c r="P27"/>
      <c r="Q27"/>
    </row>
    <row r="28" spans="1:21">
      <c r="A28" s="3">
        <v>38384</v>
      </c>
      <c r="B28" s="59">
        <v>6533504</v>
      </c>
      <c r="C28" s="186">
        <f>+'Purchased Power Model '!C28</f>
        <v>589.5</v>
      </c>
      <c r="D28" s="186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2</v>
      </c>
      <c r="I28" s="193">
        <f t="shared" si="0"/>
        <v>6760918.1885238849</v>
      </c>
      <c r="J28" s="36">
        <f t="shared" si="1"/>
        <v>227414.18852388486</v>
      </c>
      <c r="K28" s="5">
        <f t="shared" si="2"/>
        <v>3.4807384907682745E-2</v>
      </c>
    </row>
    <row r="29" spans="1:21">
      <c r="A29" s="3">
        <v>38412</v>
      </c>
      <c r="B29" s="59">
        <v>5745442</v>
      </c>
      <c r="C29" s="186">
        <f>+'Purchased Power Model '!C29</f>
        <v>578.29999999999995</v>
      </c>
      <c r="D29" s="186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2</v>
      </c>
      <c r="I29" s="193">
        <f t="shared" si="0"/>
        <v>6555173.0631840825</v>
      </c>
      <c r="J29" s="36">
        <f t="shared" si="1"/>
        <v>809731.06318408251</v>
      </c>
      <c r="K29" s="5">
        <f t="shared" si="2"/>
        <v>0.14093451177195462</v>
      </c>
    </row>
    <row r="30" spans="1:21">
      <c r="A30" s="3">
        <v>38443</v>
      </c>
      <c r="B30" s="59">
        <v>5866282</v>
      </c>
      <c r="C30" s="186">
        <f>+'Purchased Power Model '!C30</f>
        <v>325.3</v>
      </c>
      <c r="D30" s="186">
        <f>+'Purchased Power Model '!D30</f>
        <v>0</v>
      </c>
      <c r="E30" s="103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2</v>
      </c>
      <c r="I30" s="193">
        <f t="shared" si="0"/>
        <v>7072320.8609939534</v>
      </c>
      <c r="J30" s="36">
        <f t="shared" si="1"/>
        <v>1206038.8609939534</v>
      </c>
      <c r="K30" s="5">
        <f t="shared" si="2"/>
        <v>0.20558828590135172</v>
      </c>
    </row>
    <row r="31" spans="1:21">
      <c r="A31" s="3">
        <v>38473</v>
      </c>
      <c r="B31" s="59">
        <v>4245124</v>
      </c>
      <c r="C31" s="186">
        <f>+'Purchased Power Model '!C31</f>
        <v>216.1</v>
      </c>
      <c r="D31" s="186">
        <f>+'Purchased Power Model '!D31</f>
        <v>0.3</v>
      </c>
      <c r="E31" s="103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2</v>
      </c>
      <c r="I31" s="193">
        <f t="shared" si="0"/>
        <v>6611401.6625291072</v>
      </c>
      <c r="J31" s="36">
        <f t="shared" si="1"/>
        <v>2366277.6625291072</v>
      </c>
      <c r="K31" s="5">
        <f t="shared" si="2"/>
        <v>0.55741072876295417</v>
      </c>
    </row>
    <row r="32" spans="1:21">
      <c r="A32" s="3">
        <v>38504</v>
      </c>
      <c r="B32" s="59">
        <v>4759004</v>
      </c>
      <c r="C32" s="186">
        <f>+'Purchased Power Model '!C32</f>
        <v>13.7</v>
      </c>
      <c r="D32" s="186">
        <f>+'Purchased Power Model '!D32</f>
        <v>89.9</v>
      </c>
      <c r="E32" s="103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2</v>
      </c>
      <c r="I32" s="193">
        <f t="shared" si="0"/>
        <v>6567641.5694409646</v>
      </c>
      <c r="J32" s="36">
        <f t="shared" si="1"/>
        <v>1808637.5694409646</v>
      </c>
      <c r="K32" s="5">
        <f t="shared" si="2"/>
        <v>0.38004539803727094</v>
      </c>
    </row>
    <row r="33" spans="1:11">
      <c r="A33" s="3">
        <v>38534</v>
      </c>
      <c r="B33" s="59">
        <v>5063378</v>
      </c>
      <c r="C33" s="186">
        <f>+'Purchased Power Model '!C33</f>
        <v>2.2000000000000002</v>
      </c>
      <c r="D33" s="186">
        <f>+'Purchased Power Model '!D33</f>
        <v>153</v>
      </c>
      <c r="E33" s="103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2</v>
      </c>
      <c r="I33" s="193">
        <f t="shared" si="0"/>
        <v>7431466.9047382455</v>
      </c>
      <c r="J33" s="36">
        <f t="shared" si="1"/>
        <v>2368088.9047382455</v>
      </c>
      <c r="K33" s="5">
        <f t="shared" si="2"/>
        <v>0.46768953547182246</v>
      </c>
    </row>
    <row r="34" spans="1:11">
      <c r="A34" s="3">
        <v>38565</v>
      </c>
      <c r="B34" s="59">
        <v>2558029</v>
      </c>
      <c r="C34" s="186">
        <f>+'Purchased Power Model '!C34</f>
        <v>0</v>
      </c>
      <c r="D34" s="186">
        <f>+'Purchased Power Model '!D34</f>
        <v>108</v>
      </c>
      <c r="E34" s="103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2</v>
      </c>
      <c r="I34" s="193">
        <f t="shared" si="0"/>
        <v>7092025.4140107613</v>
      </c>
      <c r="J34" s="36">
        <f t="shared" si="1"/>
        <v>4533996.4140107613</v>
      </c>
      <c r="K34" s="5">
        <f t="shared" si="2"/>
        <v>1.7724570026417845</v>
      </c>
    </row>
    <row r="35" spans="1:11">
      <c r="A35" s="3">
        <v>38596</v>
      </c>
      <c r="B35" s="59">
        <v>5748577</v>
      </c>
      <c r="C35" s="186">
        <f>+'Purchased Power Model '!C35</f>
        <v>36.700000000000003</v>
      </c>
      <c r="D35" s="186">
        <f>+'Purchased Power Model '!D35</f>
        <v>32.799999999999997</v>
      </c>
      <c r="E35" s="103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2</v>
      </c>
      <c r="I35" s="193">
        <f t="shared" si="0"/>
        <v>7319177.6168175656</v>
      </c>
      <c r="J35" s="36">
        <f t="shared" si="1"/>
        <v>1570600.6168175656</v>
      </c>
      <c r="K35" s="5">
        <f t="shared" si="2"/>
        <v>0.27321554826830458</v>
      </c>
    </row>
    <row r="36" spans="1:11">
      <c r="A36" s="3">
        <v>38626</v>
      </c>
      <c r="B36" s="59">
        <v>5257080</v>
      </c>
      <c r="C36" s="186">
        <f>+'Purchased Power Model '!C36</f>
        <v>223.8</v>
      </c>
      <c r="D36" s="186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2</v>
      </c>
      <c r="I36" s="193">
        <f t="shared" si="0"/>
        <v>6309112.9589913189</v>
      </c>
      <c r="J36" s="36">
        <f t="shared" si="1"/>
        <v>1052032.9589913189</v>
      </c>
      <c r="K36" s="5">
        <f t="shared" si="2"/>
        <v>0.20011735773306075</v>
      </c>
    </row>
    <row r="37" spans="1:11">
      <c r="A37" s="3">
        <v>38657</v>
      </c>
      <c r="B37" s="59">
        <v>5644531</v>
      </c>
      <c r="C37" s="186">
        <f>+'Purchased Power Model '!C37</f>
        <v>398.5</v>
      </c>
      <c r="D37" s="186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2</v>
      </c>
      <c r="I37" s="193">
        <f t="shared" si="0"/>
        <v>6913489.3953509498</v>
      </c>
      <c r="J37" s="36">
        <f t="shared" si="1"/>
        <v>1268958.3953509498</v>
      </c>
      <c r="K37" s="5">
        <f t="shared" si="2"/>
        <v>0.22481201633066589</v>
      </c>
    </row>
    <row r="38" spans="1:11">
      <c r="A38" s="3">
        <v>38687</v>
      </c>
      <c r="B38" s="59">
        <v>5476287</v>
      </c>
      <c r="C38" s="186">
        <f>+'Purchased Power Model '!C38</f>
        <v>641.1</v>
      </c>
      <c r="D38" s="186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2</v>
      </c>
      <c r="I38" s="193">
        <f t="shared" si="0"/>
        <v>6745288.2074435968</v>
      </c>
      <c r="J38" s="36">
        <f t="shared" si="1"/>
        <v>1269001.2074435968</v>
      </c>
      <c r="K38" s="5">
        <f t="shared" si="2"/>
        <v>0.23172657083962123</v>
      </c>
    </row>
    <row r="39" spans="1:11">
      <c r="A39" s="3">
        <v>38718</v>
      </c>
      <c r="B39" s="60">
        <v>4556858</v>
      </c>
      <c r="C39" s="186">
        <f>+'Purchased Power Model '!C39</f>
        <v>558.20000000000005</v>
      </c>
      <c r="D39" s="186">
        <f>+'Purchased Power Model '!D39</f>
        <v>0</v>
      </c>
      <c r="E39" s="103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2</v>
      </c>
      <c r="I39" s="193">
        <f t="shared" si="0"/>
        <v>6668778.0227303188</v>
      </c>
      <c r="J39" s="36">
        <f t="shared" si="1"/>
        <v>2111920.0227303188</v>
      </c>
      <c r="K39" s="5">
        <f t="shared" si="2"/>
        <v>0.46345969585409919</v>
      </c>
    </row>
    <row r="40" spans="1:11">
      <c r="A40" s="3">
        <v>38749</v>
      </c>
      <c r="B40" s="60">
        <v>5213640</v>
      </c>
      <c r="C40" s="186">
        <f>+'Purchased Power Model '!C40</f>
        <v>608.79999999999995</v>
      </c>
      <c r="D40" s="186">
        <f>+'Purchased Power Model '!D40</f>
        <v>0</v>
      </c>
      <c r="E40" s="103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2</v>
      </c>
      <c r="I40" s="193">
        <f t="shared" si="0"/>
        <v>7445256.8273769245</v>
      </c>
      <c r="J40" s="36">
        <f t="shared" si="1"/>
        <v>2231616.8273769245</v>
      </c>
      <c r="K40" s="5">
        <f t="shared" si="2"/>
        <v>0.42803431525324426</v>
      </c>
    </row>
    <row r="41" spans="1:11">
      <c r="A41" s="3">
        <v>38777</v>
      </c>
      <c r="B41" s="60">
        <v>5061031</v>
      </c>
      <c r="C41" s="186">
        <f>+'Purchased Power Model '!C41</f>
        <v>534</v>
      </c>
      <c r="D41" s="186">
        <f>+'Purchased Power Model '!D41</f>
        <v>0</v>
      </c>
      <c r="E41" s="103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2</v>
      </c>
      <c r="I41" s="193">
        <f t="shared" si="0"/>
        <v>7098771.9615346268</v>
      </c>
      <c r="J41" s="36">
        <f t="shared" si="1"/>
        <v>2037740.9615346268</v>
      </c>
      <c r="K41" s="5">
        <f t="shared" si="2"/>
        <v>0.40263356646790482</v>
      </c>
    </row>
    <row r="42" spans="1:11">
      <c r="A42" s="3">
        <v>38808</v>
      </c>
      <c r="B42" s="60">
        <v>5324775</v>
      </c>
      <c r="C42" s="186">
        <f>+'Purchased Power Model '!C42</f>
        <v>323.60000000000002</v>
      </c>
      <c r="D42" s="186">
        <f>+'Purchased Power Model '!D42</f>
        <v>0</v>
      </c>
      <c r="E42" s="103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2</v>
      </c>
      <c r="I42" s="193">
        <f t="shared" si="0"/>
        <v>6961620.6361708883</v>
      </c>
      <c r="J42" s="36">
        <f t="shared" si="1"/>
        <v>1636845.6361708883</v>
      </c>
      <c r="K42" s="5">
        <f t="shared" si="2"/>
        <v>0.30740184067324688</v>
      </c>
    </row>
    <row r="43" spans="1:11">
      <c r="A43" s="3">
        <v>38838</v>
      </c>
      <c r="B43" s="60">
        <v>4314623</v>
      </c>
      <c r="C43" s="186">
        <f>+'Purchased Power Model '!C43</f>
        <v>172.6</v>
      </c>
      <c r="D43" s="186">
        <f>+'Purchased Power Model '!D43</f>
        <v>12.8</v>
      </c>
      <c r="E43" s="103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2</v>
      </c>
      <c r="I43" s="193">
        <f t="shared" si="0"/>
        <v>6501139.6593619958</v>
      </c>
      <c r="J43" s="36">
        <f t="shared" si="1"/>
        <v>2186516.6593619958</v>
      </c>
      <c r="K43" s="5">
        <f t="shared" si="2"/>
        <v>0.50676887861627673</v>
      </c>
    </row>
    <row r="44" spans="1:11">
      <c r="A44" s="3">
        <v>38869</v>
      </c>
      <c r="B44" s="60">
        <v>5115928</v>
      </c>
      <c r="C44" s="186">
        <f>+'Purchased Power Model '!C44</f>
        <v>22.6</v>
      </c>
      <c r="D44" s="186">
        <f>+'Purchased Power Model '!D44</f>
        <v>36.200000000000003</v>
      </c>
      <c r="E44" s="103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2</v>
      </c>
      <c r="I44" s="193">
        <f t="shared" si="0"/>
        <v>6081140.6936924197</v>
      </c>
      <c r="J44" s="36">
        <f t="shared" si="1"/>
        <v>965212.69369241968</v>
      </c>
      <c r="K44" s="5">
        <f t="shared" si="2"/>
        <v>0.18866815437832973</v>
      </c>
    </row>
    <row r="45" spans="1:11">
      <c r="A45" s="3">
        <v>38899</v>
      </c>
      <c r="B45" s="60">
        <v>5489699</v>
      </c>
      <c r="C45" s="186">
        <f>+'Purchased Power Model '!C45</f>
        <v>1.7</v>
      </c>
      <c r="D45" s="186">
        <f>+'Purchased Power Model '!D45</f>
        <v>107.6</v>
      </c>
      <c r="E45" s="103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2</v>
      </c>
      <c r="I45" s="193">
        <f t="shared" si="0"/>
        <v>6130368.5202090498</v>
      </c>
      <c r="J45" s="36">
        <f t="shared" si="1"/>
        <v>640669.52020904981</v>
      </c>
      <c r="K45" s="5">
        <f t="shared" si="2"/>
        <v>0.11670394318687596</v>
      </c>
    </row>
    <row r="46" spans="1:11">
      <c r="A46" s="3">
        <v>38930</v>
      </c>
      <c r="B46" s="60">
        <v>3330944</v>
      </c>
      <c r="C46" s="186">
        <f>+'Purchased Power Model '!C46</f>
        <v>4.4000000000000004</v>
      </c>
      <c r="D46" s="186">
        <f>+'Purchased Power Model '!D46</f>
        <v>82.1</v>
      </c>
      <c r="E46" s="103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2</v>
      </c>
      <c r="I46" s="193">
        <f t="shared" si="0"/>
        <v>5946751.8773898389</v>
      </c>
      <c r="J46" s="36">
        <f t="shared" si="1"/>
        <v>2615807.8773898389</v>
      </c>
      <c r="K46" s="5">
        <f t="shared" si="2"/>
        <v>0.78530527003451245</v>
      </c>
    </row>
    <row r="47" spans="1:11">
      <c r="A47" s="3">
        <v>38961</v>
      </c>
      <c r="B47" s="60">
        <v>5290589</v>
      </c>
      <c r="C47" s="186">
        <f>+'Purchased Power Model '!C47</f>
        <v>70.7</v>
      </c>
      <c r="D47" s="186">
        <f>+'Purchased Power Model '!D47</f>
        <v>5.0999999999999996</v>
      </c>
      <c r="E47" s="103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2</v>
      </c>
      <c r="I47" s="193">
        <f t="shared" si="0"/>
        <v>6226022.669247387</v>
      </c>
      <c r="J47" s="36">
        <f t="shared" si="1"/>
        <v>935433.66924738698</v>
      </c>
      <c r="K47" s="5">
        <f t="shared" si="2"/>
        <v>0.17681087479057378</v>
      </c>
    </row>
    <row r="48" spans="1:11">
      <c r="A48" s="3">
        <v>38991</v>
      </c>
      <c r="B48" s="60">
        <v>5101474</v>
      </c>
      <c r="C48" s="186">
        <f>+'Purchased Power Model '!C48</f>
        <v>274.60000000000002</v>
      </c>
      <c r="D48" s="186">
        <f>+'Purchased Power Model '!D48</f>
        <v>0</v>
      </c>
      <c r="E48" s="103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2</v>
      </c>
      <c r="I48" s="193">
        <f t="shared" si="0"/>
        <v>6310871.927475933</v>
      </c>
      <c r="J48" s="36">
        <f t="shared" si="1"/>
        <v>1209397.927475933</v>
      </c>
      <c r="K48" s="5">
        <f t="shared" si="2"/>
        <v>0.23706833112859793</v>
      </c>
    </row>
    <row r="49" spans="1:11">
      <c r="A49" s="3">
        <v>39022</v>
      </c>
      <c r="B49" s="60">
        <v>5392532</v>
      </c>
      <c r="C49" s="186">
        <f>+'Purchased Power Model '!C49</f>
        <v>367.5</v>
      </c>
      <c r="D49" s="186">
        <f>+'Purchased Power Model '!D49</f>
        <v>0</v>
      </c>
      <c r="E49" s="103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2</v>
      </c>
      <c r="I49" s="193">
        <f t="shared" si="0"/>
        <v>6737951.5227806661</v>
      </c>
      <c r="J49" s="36">
        <f t="shared" si="1"/>
        <v>1345419.5227806661</v>
      </c>
      <c r="K49" s="5">
        <f t="shared" si="2"/>
        <v>0.24949680832318957</v>
      </c>
    </row>
    <row r="50" spans="1:11">
      <c r="A50" s="3">
        <v>39052</v>
      </c>
      <c r="B50" s="60">
        <v>5462353</v>
      </c>
      <c r="C50" s="186">
        <f>+'Purchased Power Model '!C50</f>
        <v>471.5</v>
      </c>
      <c r="D50" s="186">
        <f>+'Purchased Power Model '!D50</f>
        <v>0</v>
      </c>
      <c r="E50" s="103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2</v>
      </c>
      <c r="I50" s="193">
        <f t="shared" si="0"/>
        <v>6263043.91924995</v>
      </c>
      <c r="J50" s="36">
        <f t="shared" si="1"/>
        <v>800690.91924994998</v>
      </c>
      <c r="K50" s="5">
        <f t="shared" si="2"/>
        <v>0.14658351799123015</v>
      </c>
    </row>
    <row r="51" spans="1:11">
      <c r="A51" s="3">
        <v>39083</v>
      </c>
      <c r="B51" s="60">
        <v>4545991</v>
      </c>
      <c r="C51" s="186">
        <f>+'Purchased Power Model '!C51</f>
        <v>573.1</v>
      </c>
      <c r="D51" s="186">
        <f>+'Purchased Power Model '!D51</f>
        <v>0</v>
      </c>
      <c r="E51" s="103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2</v>
      </c>
      <c r="I51" s="193">
        <f t="shared" si="0"/>
        <v>7236441.6364559494</v>
      </c>
      <c r="J51" s="36">
        <f t="shared" si="1"/>
        <v>2690450.6364559494</v>
      </c>
      <c r="K51" s="5">
        <f t="shared" si="2"/>
        <v>0.59182929232722836</v>
      </c>
    </row>
    <row r="52" spans="1:11">
      <c r="A52" s="3">
        <v>39114</v>
      </c>
      <c r="B52" s="60">
        <v>5217876</v>
      </c>
      <c r="C52" s="186">
        <f>+'Purchased Power Model '!C52</f>
        <v>693.5</v>
      </c>
      <c r="D52" s="186">
        <f>+'Purchased Power Model '!D52</f>
        <v>0</v>
      </c>
      <c r="E52" s="103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2</v>
      </c>
      <c r="I52" s="193">
        <f t="shared" si="0"/>
        <v>8167380.0934150424</v>
      </c>
      <c r="J52" s="36">
        <f t="shared" si="1"/>
        <v>2949504.0934150424</v>
      </c>
      <c r="K52" s="5">
        <f t="shared" si="2"/>
        <v>0.56526910440475064</v>
      </c>
    </row>
    <row r="53" spans="1:11">
      <c r="A53" s="3">
        <v>39142</v>
      </c>
      <c r="B53" s="60">
        <v>5122252</v>
      </c>
      <c r="C53" s="186">
        <f>+'Purchased Power Model '!C53</f>
        <v>477.9</v>
      </c>
      <c r="D53" s="186">
        <f>+'Purchased Power Model '!D53</f>
        <v>0</v>
      </c>
      <c r="E53" s="103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2</v>
      </c>
      <c r="I53" s="193">
        <f t="shared" si="0"/>
        <v>7509320.4561458286</v>
      </c>
      <c r="J53" s="36">
        <f t="shared" si="1"/>
        <v>2387068.4561458286</v>
      </c>
      <c r="K53" s="5">
        <f t="shared" si="2"/>
        <v>0.46601933215035662</v>
      </c>
    </row>
    <row r="54" spans="1:11">
      <c r="A54" s="3">
        <v>39173</v>
      </c>
      <c r="B54" s="60">
        <v>5766945</v>
      </c>
      <c r="C54" s="186">
        <f>+'Purchased Power Model '!C54</f>
        <v>280.39999999999998</v>
      </c>
      <c r="D54" s="186">
        <f>+'Purchased Power Model '!D54</f>
        <v>0</v>
      </c>
      <c r="E54" s="103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2</v>
      </c>
      <c r="I54" s="193">
        <f t="shared" si="0"/>
        <v>7400715.3989028838</v>
      </c>
      <c r="J54" s="36">
        <f t="shared" si="1"/>
        <v>1633770.3989028838</v>
      </c>
      <c r="K54" s="5">
        <f t="shared" si="2"/>
        <v>0.28329911225144055</v>
      </c>
    </row>
    <row r="55" spans="1:11">
      <c r="A55" s="3">
        <v>39203</v>
      </c>
      <c r="B55" s="60">
        <v>5127178</v>
      </c>
      <c r="C55" s="186">
        <f>+'Purchased Power Model '!C55</f>
        <v>72.8</v>
      </c>
      <c r="D55" s="186">
        <f>+'Purchased Power Model '!D55</f>
        <v>4.5</v>
      </c>
      <c r="E55" s="103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2</v>
      </c>
      <c r="I55" s="193">
        <f t="shared" si="0"/>
        <v>6753274.7486056928</v>
      </c>
      <c r="J55" s="36">
        <f t="shared" si="1"/>
        <v>1626096.7486056928</v>
      </c>
      <c r="K55" s="5">
        <f t="shared" si="2"/>
        <v>0.31715238842998872</v>
      </c>
    </row>
    <row r="56" spans="1:11">
      <c r="A56" s="3">
        <v>39234</v>
      </c>
      <c r="B56" s="60">
        <v>5685202</v>
      </c>
      <c r="C56" s="186">
        <f>+'Purchased Power Model '!C56</f>
        <v>6.2</v>
      </c>
      <c r="D56" s="186">
        <f>+'Purchased Power Model '!D56</f>
        <v>32.799999999999997</v>
      </c>
      <c r="E56" s="103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2</v>
      </c>
      <c r="I56" s="193">
        <f t="shared" si="0"/>
        <v>6554262.0225844625</v>
      </c>
      <c r="J56" s="36">
        <f t="shared" si="1"/>
        <v>869060.02258446254</v>
      </c>
      <c r="K56" s="5">
        <f t="shared" si="2"/>
        <v>0.15286352579635035</v>
      </c>
    </row>
    <row r="57" spans="1:11">
      <c r="A57" s="3">
        <v>39264</v>
      </c>
      <c r="B57" s="60">
        <v>5692333</v>
      </c>
      <c r="C57" s="186">
        <f>+'Purchased Power Model '!C57</f>
        <v>8.6999999999999993</v>
      </c>
      <c r="D57" s="186">
        <f>+'Purchased Power Model '!D57</f>
        <v>41.6</v>
      </c>
      <c r="E57" s="103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2</v>
      </c>
      <c r="I57" s="193">
        <f t="shared" si="0"/>
        <v>5869028.1057058703</v>
      </c>
      <c r="J57" s="36">
        <f t="shared" si="1"/>
        <v>176695.10570587032</v>
      </c>
      <c r="K57" s="5">
        <f t="shared" si="2"/>
        <v>3.1040894077326523E-2</v>
      </c>
    </row>
    <row r="58" spans="1:11">
      <c r="A58" s="3">
        <v>39295</v>
      </c>
      <c r="B58" s="60">
        <v>4060885</v>
      </c>
      <c r="C58" s="186">
        <f>+'Purchased Power Model '!C58</f>
        <v>4</v>
      </c>
      <c r="D58" s="186">
        <f>+'Purchased Power Model '!D58</f>
        <v>87.8</v>
      </c>
      <c r="E58" s="103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2</v>
      </c>
      <c r="I58" s="193">
        <f t="shared" si="0"/>
        <v>6202122.6125868689</v>
      </c>
      <c r="J58" s="36">
        <f t="shared" si="1"/>
        <v>2141237.6125868689</v>
      </c>
      <c r="K58" s="5">
        <f t="shared" si="2"/>
        <v>0.52728348933468172</v>
      </c>
    </row>
    <row r="59" spans="1:11">
      <c r="A59" s="3">
        <v>39326</v>
      </c>
      <c r="B59" s="60">
        <v>5553257</v>
      </c>
      <c r="C59" s="186">
        <f>+'Purchased Power Model '!C59</f>
        <v>20.100000000000001</v>
      </c>
      <c r="D59" s="186">
        <f>+'Purchased Power Model '!D59</f>
        <v>12.3</v>
      </c>
      <c r="E59" s="103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2</v>
      </c>
      <c r="I59" s="193">
        <f t="shared" si="0"/>
        <v>6381458.8143943157</v>
      </c>
      <c r="J59" s="36">
        <f t="shared" si="1"/>
        <v>828201.8143943157</v>
      </c>
      <c r="K59" s="5">
        <f t="shared" si="2"/>
        <v>0.14913803095990619</v>
      </c>
    </row>
    <row r="60" spans="1:11">
      <c r="A60" s="3">
        <v>39356</v>
      </c>
      <c r="B60" s="60">
        <v>4722610</v>
      </c>
      <c r="C60" s="186">
        <f>+'Purchased Power Model '!C60</f>
        <v>101.5</v>
      </c>
      <c r="D60" s="186">
        <f>+'Purchased Power Model '!D60</f>
        <v>0</v>
      </c>
      <c r="E60" s="103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2</v>
      </c>
      <c r="I60" s="193">
        <f t="shared" si="0"/>
        <v>6462512.4088985808</v>
      </c>
      <c r="J60" s="36">
        <f t="shared" si="1"/>
        <v>1739902.4088985808</v>
      </c>
      <c r="K60" s="5">
        <f t="shared" si="2"/>
        <v>0.36841966812812849</v>
      </c>
    </row>
    <row r="61" spans="1:11">
      <c r="A61" s="3">
        <v>39387</v>
      </c>
      <c r="B61" s="60">
        <v>5138930</v>
      </c>
      <c r="C61" s="186">
        <f>+'Purchased Power Model '!C61</f>
        <v>314.10000000000002</v>
      </c>
      <c r="D61" s="186">
        <f>+'Purchased Power Model '!D61</f>
        <v>0</v>
      </c>
      <c r="E61" s="103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2</v>
      </c>
      <c r="I61" s="193">
        <f t="shared" si="0"/>
        <v>7154474.8176962268</v>
      </c>
      <c r="J61" s="36">
        <f t="shared" si="1"/>
        <v>2015544.8176962268</v>
      </c>
      <c r="K61" s="5">
        <f t="shared" si="2"/>
        <v>0.39221098899892132</v>
      </c>
    </row>
    <row r="62" spans="1:11">
      <c r="A62" s="3">
        <v>39417</v>
      </c>
      <c r="B62" s="60">
        <v>5178387</v>
      </c>
      <c r="C62" s="186">
        <f>+'Purchased Power Model '!C62</f>
        <v>337.8</v>
      </c>
      <c r="D62" s="186">
        <f>+'Purchased Power Model '!D62</f>
        <v>0</v>
      </c>
      <c r="E62" s="103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2</v>
      </c>
      <c r="I62" s="193">
        <f t="shared" si="0"/>
        <v>6501872.2273360956</v>
      </c>
      <c r="J62" s="36">
        <f t="shared" si="1"/>
        <v>1323485.2273360956</v>
      </c>
      <c r="K62" s="5">
        <f t="shared" si="2"/>
        <v>0.2555786632663985</v>
      </c>
    </row>
    <row r="63" spans="1:11">
      <c r="A63" s="3">
        <v>39448</v>
      </c>
      <c r="B63" s="61">
        <v>3766565</v>
      </c>
      <c r="C63" s="187">
        <f>+'Purchased Power Model '!C63</f>
        <v>432.8</v>
      </c>
      <c r="D63" s="187">
        <f>+'Purchased Power Model '!D63</f>
        <v>0</v>
      </c>
      <c r="E63" s="103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2</v>
      </c>
      <c r="I63" s="193">
        <f t="shared" si="0"/>
        <v>6605158.3689688724</v>
      </c>
      <c r="J63" s="36">
        <f t="shared" si="1"/>
        <v>2838593.3689688724</v>
      </c>
      <c r="K63" s="5">
        <f t="shared" si="2"/>
        <v>0.75362920033740888</v>
      </c>
    </row>
    <row r="64" spans="1:11">
      <c r="A64" s="3">
        <v>39479</v>
      </c>
      <c r="B64" s="61">
        <v>3664377</v>
      </c>
      <c r="C64" s="187">
        <f>+'Purchased Power Model '!C64</f>
        <v>317.60000000000002</v>
      </c>
      <c r="D64" s="187">
        <f>+'Purchased Power Model '!D64</f>
        <v>0</v>
      </c>
      <c r="E64" s="103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2</v>
      </c>
      <c r="I64" s="193">
        <f t="shared" si="0"/>
        <v>6793237.9700932559</v>
      </c>
      <c r="J64" s="36">
        <f t="shared" si="1"/>
        <v>3128860.9700932559</v>
      </c>
      <c r="K64" s="5">
        <f t="shared" si="2"/>
        <v>0.85385891519711421</v>
      </c>
    </row>
    <row r="65" spans="1:17">
      <c r="A65" s="3">
        <v>39508</v>
      </c>
      <c r="B65" s="61">
        <v>3693203</v>
      </c>
      <c r="C65" s="187">
        <f>+'Purchased Power Model '!C65</f>
        <v>430</v>
      </c>
      <c r="D65" s="187">
        <f>+'Purchased Power Model '!D65</f>
        <v>0</v>
      </c>
      <c r="E65" s="103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2</v>
      </c>
      <c r="I65" s="193">
        <f t="shared" si="0"/>
        <v>7082508.1324076653</v>
      </c>
      <c r="J65" s="36">
        <f t="shared" si="1"/>
        <v>3389305.1324076653</v>
      </c>
      <c r="K65" s="5">
        <f t="shared" si="2"/>
        <v>0.917714280099866</v>
      </c>
    </row>
    <row r="66" spans="1:17">
      <c r="A66" s="3">
        <v>39539</v>
      </c>
      <c r="B66" s="61">
        <v>3278711</v>
      </c>
      <c r="C66" s="187">
        <f>+'Purchased Power Model '!C66</f>
        <v>144.6</v>
      </c>
      <c r="D66" s="187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2</v>
      </c>
      <c r="I66" s="193">
        <f t="shared" si="0"/>
        <v>5603068.6831995081</v>
      </c>
      <c r="J66" s="36">
        <f t="shared" si="1"/>
        <v>2324357.6831995081</v>
      </c>
      <c r="K66" s="5">
        <f t="shared" si="2"/>
        <v>0.70892423370022795</v>
      </c>
    </row>
    <row r="67" spans="1:17">
      <c r="A67" s="3">
        <v>39569</v>
      </c>
      <c r="B67" s="61">
        <v>3060394</v>
      </c>
      <c r="C67" s="187">
        <f>+'Purchased Power Model '!C67</f>
        <v>151</v>
      </c>
      <c r="D67" s="187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2</v>
      </c>
      <c r="I67" s="193">
        <f t="shared" si="0"/>
        <v>5395728.9657548033</v>
      </c>
      <c r="J67" s="36">
        <f t="shared" si="1"/>
        <v>2335334.9657548033</v>
      </c>
      <c r="K67" s="5">
        <f t="shared" si="2"/>
        <v>0.76308310817326241</v>
      </c>
    </row>
    <row r="68" spans="1:17">
      <c r="A68" s="3">
        <v>39600</v>
      </c>
      <c r="B68" s="61">
        <v>3072635</v>
      </c>
      <c r="C68" s="187">
        <f>+'Purchased Power Model '!C68</f>
        <v>15.5</v>
      </c>
      <c r="D68" s="187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2</v>
      </c>
      <c r="I68" s="193">
        <f t="shared" ref="I68:I131" si="3">$N$18+C68*$N$19+D68*$N$20+E68*$N$21+F68*$N$22+G68*$N$23+H68*$N$24</f>
        <v>5009303.8823193666</v>
      </c>
      <c r="J68" s="36">
        <f t="shared" ref="J68:J131" si="4">I68-B68</f>
        <v>1936668.8823193666</v>
      </c>
      <c r="K68" s="5">
        <f t="shared" ref="K68:K131" si="5">J68/B68</f>
        <v>0.6302957827139789</v>
      </c>
    </row>
    <row r="69" spans="1:17">
      <c r="A69" s="3">
        <v>39630</v>
      </c>
      <c r="B69" s="61">
        <v>3517541</v>
      </c>
      <c r="C69" s="187">
        <f>+'Purchased Power Model '!C69</f>
        <v>1</v>
      </c>
      <c r="D69" s="187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2</v>
      </c>
      <c r="I69" s="193">
        <f t="shared" si="3"/>
        <v>5678386.099199025</v>
      </c>
      <c r="J69" s="36">
        <f t="shared" si="4"/>
        <v>2160845.099199025</v>
      </c>
      <c r="K69" s="5">
        <f t="shared" si="5"/>
        <v>0.61430558995588824</v>
      </c>
    </row>
    <row r="70" spans="1:17">
      <c r="A70" s="3">
        <v>39661</v>
      </c>
      <c r="B70" s="61">
        <v>2956895</v>
      </c>
      <c r="C70" s="187">
        <f>+'Purchased Power Model '!C70</f>
        <v>13.8</v>
      </c>
      <c r="D70" s="187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2</v>
      </c>
      <c r="I70" s="193">
        <f t="shared" si="3"/>
        <v>5472509.8839728963</v>
      </c>
      <c r="J70" s="36">
        <f t="shared" si="4"/>
        <v>2515614.8839728963</v>
      </c>
      <c r="K70" s="5">
        <f t="shared" si="5"/>
        <v>0.85076233142296098</v>
      </c>
    </row>
    <row r="71" spans="1:17">
      <c r="A71" s="3">
        <v>39692</v>
      </c>
      <c r="B71" s="61">
        <v>2964191</v>
      </c>
      <c r="C71" s="187">
        <f>+'Purchased Power Model '!C71</f>
        <v>51.6</v>
      </c>
      <c r="D71" s="187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</v>
      </c>
      <c r="I71" s="193">
        <f t="shared" si="3"/>
        <v>7759175.4482469736</v>
      </c>
      <c r="J71" s="36">
        <f t="shared" si="4"/>
        <v>4794984.4482469736</v>
      </c>
      <c r="K71" s="5">
        <f t="shared" si="5"/>
        <v>1.6176368014905158</v>
      </c>
    </row>
    <row r="72" spans="1:17">
      <c r="A72" s="3">
        <v>39722</v>
      </c>
      <c r="B72" s="61">
        <v>5786813</v>
      </c>
      <c r="C72" s="187">
        <f>+'Purchased Power Model '!C72</f>
        <v>203.1</v>
      </c>
      <c r="D72" s="187">
        <f>+'Purchased Power Model '!D72</f>
        <v>0</v>
      </c>
      <c r="E72" s="103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</v>
      </c>
      <c r="I72" s="193">
        <f t="shared" si="3"/>
        <v>6584336.6020491952</v>
      </c>
      <c r="J72" s="36">
        <f t="shared" si="4"/>
        <v>797523.60204919521</v>
      </c>
      <c r="K72" s="5">
        <f t="shared" si="5"/>
        <v>0.13781741384233345</v>
      </c>
    </row>
    <row r="73" spans="1:17">
      <c r="A73" s="3">
        <v>39753</v>
      </c>
      <c r="B73" s="61">
        <v>5505321</v>
      </c>
      <c r="C73" s="187">
        <f>+'Purchased Power Model '!C73</f>
        <v>268.8</v>
      </c>
      <c r="D73" s="187">
        <f>+'Purchased Power Model '!D73</f>
        <v>0</v>
      </c>
      <c r="E73" s="103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</v>
      </c>
      <c r="I73" s="193">
        <f t="shared" si="3"/>
        <v>6951225.616510096</v>
      </c>
      <c r="J73" s="36">
        <f t="shared" si="4"/>
        <v>1445904.616510096</v>
      </c>
      <c r="K73" s="5">
        <f t="shared" si="5"/>
        <v>0.26263765845989651</v>
      </c>
    </row>
    <row r="74" spans="1:17">
      <c r="A74" s="3">
        <v>39783</v>
      </c>
      <c r="B74" s="61">
        <v>5194375</v>
      </c>
      <c r="C74" s="187">
        <f>+'Purchased Power Model '!C74</f>
        <v>378.9</v>
      </c>
      <c r="D74" s="187">
        <f>+'Purchased Power Model '!D74</f>
        <v>0</v>
      </c>
      <c r="E74" s="103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</v>
      </c>
      <c r="I74" s="193">
        <f t="shared" si="3"/>
        <v>6489816.6358892052</v>
      </c>
      <c r="J74" s="36">
        <f t="shared" si="4"/>
        <v>1295441.6358892052</v>
      </c>
      <c r="K74" s="5">
        <f t="shared" si="5"/>
        <v>0.24939316778037882</v>
      </c>
    </row>
    <row r="75" spans="1:17" s="14" customFormat="1">
      <c r="A75" s="3">
        <v>39814</v>
      </c>
      <c r="B75" s="61">
        <v>4191683</v>
      </c>
      <c r="C75" s="187">
        <f>+'Purchased Power Model '!C75</f>
        <v>684.3</v>
      </c>
      <c r="D75" s="187">
        <f>+'Purchased Power Model '!D75</f>
        <v>0</v>
      </c>
      <c r="E75" s="103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2</v>
      </c>
      <c r="I75" s="193">
        <f t="shared" si="3"/>
        <v>4915995.3689474054</v>
      </c>
      <c r="J75" s="36">
        <f t="shared" si="4"/>
        <v>724312.36894740537</v>
      </c>
      <c r="K75" s="5">
        <f t="shared" si="5"/>
        <v>0.17279750614428749</v>
      </c>
      <c r="L75" s="11"/>
      <c r="M75" s="11"/>
      <c r="N75" s="11"/>
      <c r="O75" s="11"/>
      <c r="P75" s="11"/>
      <c r="Q75" s="11"/>
    </row>
    <row r="76" spans="1:17">
      <c r="A76" s="3">
        <v>39845</v>
      </c>
      <c r="B76" s="61">
        <v>3622325</v>
      </c>
      <c r="C76" s="187">
        <f>+'Purchased Power Model '!C76</f>
        <v>595.29999999999995</v>
      </c>
      <c r="D76" s="187">
        <f>+'Purchased Power Model '!D76</f>
        <v>0</v>
      </c>
      <c r="E76" s="103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2</v>
      </c>
      <c r="I76" s="193">
        <f t="shared" si="3"/>
        <v>5383554.8689690325</v>
      </c>
      <c r="J76" s="36">
        <f t="shared" si="4"/>
        <v>1761229.8689690325</v>
      </c>
      <c r="K76" s="5">
        <f t="shared" si="5"/>
        <v>0.48621530894357423</v>
      </c>
    </row>
    <row r="77" spans="1:17">
      <c r="A77" s="3">
        <v>39873</v>
      </c>
      <c r="B77" s="61">
        <v>2717396</v>
      </c>
      <c r="C77" s="187">
        <f>+'Purchased Power Model '!C77</f>
        <v>442.2</v>
      </c>
      <c r="D77" s="187">
        <f>+'Purchased Power Model '!D77</f>
        <v>0</v>
      </c>
      <c r="E77" s="103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2</v>
      </c>
      <c r="I77" s="193">
        <f t="shared" si="3"/>
        <v>4863800.7943005431</v>
      </c>
      <c r="J77" s="36">
        <f t="shared" si="4"/>
        <v>2146404.7943005431</v>
      </c>
      <c r="K77" s="5">
        <f t="shared" si="5"/>
        <v>0.78987559939756413</v>
      </c>
    </row>
    <row r="78" spans="1:17">
      <c r="A78" s="3">
        <v>39904</v>
      </c>
      <c r="B78" s="61">
        <v>2842222</v>
      </c>
      <c r="C78" s="187">
        <f>+'Purchased Power Model '!C78</f>
        <v>313.8</v>
      </c>
      <c r="D78" s="187">
        <f>+'Purchased Power Model '!D78</f>
        <v>0</v>
      </c>
      <c r="E78" s="103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2</v>
      </c>
      <c r="I78" s="193">
        <f t="shared" si="3"/>
        <v>4587291.4265079889</v>
      </c>
      <c r="J78" s="36">
        <f t="shared" si="4"/>
        <v>1745069.4265079889</v>
      </c>
      <c r="K78" s="5">
        <f t="shared" si="5"/>
        <v>0.61398069063851768</v>
      </c>
    </row>
    <row r="79" spans="1:17">
      <c r="A79" s="3">
        <v>39934</v>
      </c>
      <c r="B79" s="61">
        <v>2701951</v>
      </c>
      <c r="C79" s="187">
        <f>+'Purchased Power Model '!C79</f>
        <v>170.1</v>
      </c>
      <c r="D79" s="187">
        <f>+'Purchased Power Model '!D79</f>
        <v>0</v>
      </c>
      <c r="E79" s="103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</v>
      </c>
      <c r="I79" s="193">
        <f t="shared" si="3"/>
        <v>2439789.3830093425</v>
      </c>
      <c r="J79" s="36">
        <f t="shared" si="4"/>
        <v>-262161.61699065752</v>
      </c>
      <c r="K79" s="5">
        <f t="shared" si="5"/>
        <v>-9.7026784346073452E-2</v>
      </c>
    </row>
    <row r="80" spans="1:17">
      <c r="A80" s="3">
        <v>39965</v>
      </c>
      <c r="B80" s="61">
        <v>2813462</v>
      </c>
      <c r="C80" s="187">
        <f>+'Purchased Power Model '!C80</f>
        <v>57.9</v>
      </c>
      <c r="D80" s="187">
        <f>+'Purchased Power Model '!D80</f>
        <v>26.3</v>
      </c>
      <c r="E80" s="103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</v>
      </c>
      <c r="I80" s="193">
        <f t="shared" si="3"/>
        <v>2124999.0014068931</v>
      </c>
      <c r="J80" s="36">
        <f t="shared" si="4"/>
        <v>-688462.99859310687</v>
      </c>
      <c r="K80" s="5">
        <f t="shared" si="5"/>
        <v>-0.24470314459306963</v>
      </c>
    </row>
    <row r="81" spans="1:17">
      <c r="A81" s="3">
        <v>39995</v>
      </c>
      <c r="B81" s="61">
        <v>2931617</v>
      </c>
      <c r="C81" s="187">
        <f>+'Purchased Power Model '!C81</f>
        <v>16.8</v>
      </c>
      <c r="D81" s="187">
        <f>+'Purchased Power Model '!D81</f>
        <v>25.6</v>
      </c>
      <c r="E81" s="103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</v>
      </c>
      <c r="I81" s="193">
        <f t="shared" si="3"/>
        <v>1272651.0177963169</v>
      </c>
      <c r="J81" s="36">
        <f t="shared" si="4"/>
        <v>-1658965.9822036831</v>
      </c>
      <c r="K81" s="5">
        <f t="shared" si="5"/>
        <v>-0.56588769344825163</v>
      </c>
    </row>
    <row r="82" spans="1:17">
      <c r="A82" s="3">
        <v>40026</v>
      </c>
      <c r="B82" s="61">
        <v>3253407</v>
      </c>
      <c r="C82" s="187">
        <f>+'Purchased Power Model '!C82</f>
        <v>13.1</v>
      </c>
      <c r="D82" s="187">
        <f>+'Purchased Power Model '!D82</f>
        <v>77.7</v>
      </c>
      <c r="E82" s="103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</v>
      </c>
      <c r="I82" s="193">
        <f t="shared" si="3"/>
        <v>1651824.6691467331</v>
      </c>
      <c r="J82" s="36">
        <f t="shared" si="4"/>
        <v>-1601582.3308532669</v>
      </c>
      <c r="K82" s="5">
        <f t="shared" si="5"/>
        <v>-0.49227850399696899</v>
      </c>
    </row>
    <row r="83" spans="1:17">
      <c r="A83" s="3">
        <v>40057</v>
      </c>
      <c r="B83" s="61">
        <v>3293269</v>
      </c>
      <c r="C83" s="187">
        <f>+'Purchased Power Model '!C83</f>
        <v>64.8</v>
      </c>
      <c r="D83" s="187">
        <f>+'Purchased Power Model '!D83</f>
        <v>9</v>
      </c>
      <c r="E83" s="103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</v>
      </c>
      <c r="I83" s="193">
        <f t="shared" si="3"/>
        <v>1960497.4375778344</v>
      </c>
      <c r="J83" s="36">
        <f t="shared" si="4"/>
        <v>-1332771.5624221656</v>
      </c>
      <c r="K83" s="5">
        <f t="shared" si="5"/>
        <v>-0.40469562687474531</v>
      </c>
    </row>
    <row r="84" spans="1:17">
      <c r="A84" s="3">
        <v>40087</v>
      </c>
      <c r="B84" s="61">
        <v>3145414</v>
      </c>
      <c r="C84" s="187">
        <f>+'Purchased Power Model '!C84</f>
        <v>287.89999999999998</v>
      </c>
      <c r="D84" s="187">
        <f>+'Purchased Power Model '!D84</f>
        <v>0</v>
      </c>
      <c r="E84" s="103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</v>
      </c>
      <c r="I84" s="193">
        <f t="shared" si="3"/>
        <v>1417207.9451553095</v>
      </c>
      <c r="J84" s="36">
        <f t="shared" si="4"/>
        <v>-1728206.0548446905</v>
      </c>
      <c r="K84" s="5">
        <f t="shared" si="5"/>
        <v>-0.54943675295038763</v>
      </c>
    </row>
    <row r="85" spans="1:17">
      <c r="A85" s="3">
        <v>40118</v>
      </c>
      <c r="B85" s="61">
        <v>2862881</v>
      </c>
      <c r="C85" s="187">
        <f>+'Purchased Power Model '!C85</f>
        <v>347.4</v>
      </c>
      <c r="D85" s="187">
        <f>+'Purchased Power Model '!D85</f>
        <v>0</v>
      </c>
      <c r="E85" s="103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</v>
      </c>
      <c r="I85" s="193">
        <f t="shared" si="3"/>
        <v>1770377.0478062183</v>
      </c>
      <c r="J85" s="36">
        <f t="shared" si="4"/>
        <v>-1092503.9521937817</v>
      </c>
      <c r="K85" s="5">
        <f t="shared" si="5"/>
        <v>-0.38160997687077519</v>
      </c>
    </row>
    <row r="86" spans="1:17" s="31" customFormat="1">
      <c r="A86" s="3">
        <v>40148</v>
      </c>
      <c r="B86" s="61">
        <v>2204662</v>
      </c>
      <c r="C86" s="187">
        <f>+'Purchased Power Model '!C86</f>
        <v>619.1</v>
      </c>
      <c r="D86" s="187">
        <f>+'Purchased Power Model '!D86</f>
        <v>0</v>
      </c>
      <c r="E86" s="103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</v>
      </c>
      <c r="I86" s="193">
        <f t="shared" si="3"/>
        <v>1666570.9298457613</v>
      </c>
      <c r="J86" s="36">
        <f t="shared" si="4"/>
        <v>-538091.07015423873</v>
      </c>
      <c r="K86" s="5">
        <f t="shared" si="5"/>
        <v>-0.24406964430567529</v>
      </c>
      <c r="L86" s="27"/>
      <c r="M86" s="27"/>
      <c r="N86" s="27"/>
      <c r="O86" s="27"/>
      <c r="P86" s="27"/>
      <c r="Q86" s="27"/>
    </row>
    <row r="87" spans="1:17">
      <c r="A87" s="3">
        <v>40179</v>
      </c>
      <c r="B87" s="59">
        <v>2338497</v>
      </c>
      <c r="C87" s="187">
        <f>+'Purchased Power Model '!C87</f>
        <v>699.9</v>
      </c>
      <c r="D87" s="187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</v>
      </c>
      <c r="I87" s="193">
        <f t="shared" si="3"/>
        <v>1417619.1070946881</v>
      </c>
      <c r="J87" s="36">
        <f t="shared" si="4"/>
        <v>-920877.89290531189</v>
      </c>
      <c r="K87" s="5">
        <f t="shared" si="5"/>
        <v>-0.39379049573521452</v>
      </c>
    </row>
    <row r="88" spans="1:17">
      <c r="A88" s="3">
        <v>40210</v>
      </c>
      <c r="B88" s="59">
        <v>2504282</v>
      </c>
      <c r="C88" s="187">
        <f>+'Purchased Power Model '!C88</f>
        <v>583.79999999999995</v>
      </c>
      <c r="D88" s="187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</v>
      </c>
      <c r="I88" s="193">
        <f t="shared" si="3"/>
        <v>1825209.3151726385</v>
      </c>
      <c r="J88" s="36">
        <f t="shared" si="4"/>
        <v>-679072.68482736149</v>
      </c>
      <c r="K88" s="5">
        <f t="shared" si="5"/>
        <v>-0.27116462316438861</v>
      </c>
    </row>
    <row r="89" spans="1:17">
      <c r="A89" s="3">
        <v>40238</v>
      </c>
      <c r="B89" s="59">
        <v>2178313</v>
      </c>
      <c r="C89" s="187">
        <f>+'Purchased Power Model '!C89</f>
        <v>411</v>
      </c>
      <c r="D89" s="187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</v>
      </c>
      <c r="I89" s="193">
        <f t="shared" si="3"/>
        <v>1261861.327172406</v>
      </c>
      <c r="J89" s="36">
        <f t="shared" si="4"/>
        <v>-916451.67282759398</v>
      </c>
      <c r="K89" s="5">
        <f t="shared" si="5"/>
        <v>-0.42071624822860348</v>
      </c>
    </row>
    <row r="90" spans="1:17">
      <c r="A90" s="3">
        <v>40269</v>
      </c>
      <c r="B90" s="59">
        <v>2685540</v>
      </c>
      <c r="C90" s="187">
        <f>+'Purchased Power Model '!C90</f>
        <v>244</v>
      </c>
      <c r="D90" s="187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</v>
      </c>
      <c r="I90" s="193">
        <f t="shared" si="3"/>
        <v>1541564.3250395805</v>
      </c>
      <c r="J90" s="36">
        <f t="shared" si="4"/>
        <v>-1143975.6749604195</v>
      </c>
      <c r="K90" s="5">
        <f t="shared" si="5"/>
        <v>-0.42597603273845092</v>
      </c>
    </row>
    <row r="91" spans="1:17">
      <c r="A91" s="3">
        <v>40299</v>
      </c>
      <c r="B91" s="59">
        <v>2719789</v>
      </c>
      <c r="C91" s="187">
        <f>+'Purchased Power Model '!C91</f>
        <v>121.7</v>
      </c>
      <c r="D91" s="187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</v>
      </c>
      <c r="I91" s="193">
        <f t="shared" si="3"/>
        <v>1221916.8315371387</v>
      </c>
      <c r="J91" s="36">
        <f t="shared" si="4"/>
        <v>-1497872.1684628613</v>
      </c>
      <c r="K91" s="5">
        <f t="shared" si="5"/>
        <v>-0.55073101937792279</v>
      </c>
    </row>
    <row r="92" spans="1:17">
      <c r="A92" s="3">
        <v>40330</v>
      </c>
      <c r="B92" s="59">
        <v>2764026</v>
      </c>
      <c r="C92" s="187">
        <f>+'Purchased Power Model '!C92</f>
        <v>19.399999999999999</v>
      </c>
      <c r="D92" s="187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</v>
      </c>
      <c r="I92" s="193">
        <f t="shared" si="3"/>
        <v>907472.67124443292</v>
      </c>
      <c r="J92" s="36">
        <f t="shared" si="4"/>
        <v>-1856553.3287555671</v>
      </c>
      <c r="K92" s="5">
        <f t="shared" si="5"/>
        <v>-0.67168446633843792</v>
      </c>
    </row>
    <row r="93" spans="1:17">
      <c r="A93" s="3">
        <v>40360</v>
      </c>
      <c r="B93" s="59">
        <v>2736535</v>
      </c>
      <c r="C93" s="187">
        <f>+'Purchased Power Model '!C93</f>
        <v>3.5</v>
      </c>
      <c r="D93" s="187">
        <f>+'Purchased Power Model '!D93</f>
        <v>124</v>
      </c>
      <c r="E93" s="103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</v>
      </c>
      <c r="I93" s="193">
        <f t="shared" si="3"/>
        <v>691559.75353134586</v>
      </c>
      <c r="J93" s="36">
        <f t="shared" si="4"/>
        <v>-2044975.2464686541</v>
      </c>
      <c r="K93" s="5">
        <f t="shared" si="5"/>
        <v>-0.74728634805279459</v>
      </c>
    </row>
    <row r="94" spans="1:17">
      <c r="A94" s="3">
        <v>40391</v>
      </c>
      <c r="B94" s="59">
        <v>3218359</v>
      </c>
      <c r="C94" s="187">
        <f>+'Purchased Power Model '!C94</f>
        <v>3.2</v>
      </c>
      <c r="D94" s="187">
        <f>+'Purchased Power Model '!D94</f>
        <v>96.8</v>
      </c>
      <c r="E94" s="103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</v>
      </c>
      <c r="I94" s="193">
        <f t="shared" si="3"/>
        <v>488665.01416572719</v>
      </c>
      <c r="J94" s="36">
        <f t="shared" si="4"/>
        <v>-2729693.9858342726</v>
      </c>
      <c r="K94" s="5">
        <f t="shared" si="5"/>
        <v>-0.84816329869796148</v>
      </c>
    </row>
    <row r="95" spans="1:17">
      <c r="A95" s="3">
        <v>40422</v>
      </c>
      <c r="B95" s="59">
        <v>3274455</v>
      </c>
      <c r="C95" s="187">
        <f>+'Purchased Power Model '!C95</f>
        <v>85.5</v>
      </c>
      <c r="D95" s="187">
        <f>+'Purchased Power Model '!D95</f>
        <v>18.5</v>
      </c>
      <c r="E95" s="103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</v>
      </c>
      <c r="I95" s="193">
        <f t="shared" si="3"/>
        <v>793676.58392903581</v>
      </c>
      <c r="J95" s="36">
        <f t="shared" si="4"/>
        <v>-2480778.4160709642</v>
      </c>
      <c r="K95" s="5">
        <f t="shared" si="5"/>
        <v>-0.75761566919409917</v>
      </c>
    </row>
    <row r="96" spans="1:17">
      <c r="A96" s="3">
        <v>40452</v>
      </c>
      <c r="B96" s="59">
        <v>3318812</v>
      </c>
      <c r="C96" s="187">
        <f>+'Purchased Power Model '!C96</f>
        <v>247.8</v>
      </c>
      <c r="D96" s="187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</v>
      </c>
      <c r="I96" s="193">
        <f t="shared" si="3"/>
        <v>1970100.9773126226</v>
      </c>
      <c r="J96" s="36">
        <f t="shared" si="4"/>
        <v>-1348711.0226873774</v>
      </c>
      <c r="K96" s="5">
        <f t="shared" si="5"/>
        <v>-0.40638367665519393</v>
      </c>
    </row>
    <row r="97" spans="1:11">
      <c r="A97" s="3">
        <v>40483</v>
      </c>
      <c r="B97" s="59">
        <v>2858543</v>
      </c>
      <c r="C97" s="187">
        <f>+'Purchased Power Model '!C97</f>
        <v>389.2</v>
      </c>
      <c r="D97" s="187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</v>
      </c>
      <c r="I97" s="193">
        <f t="shared" si="3"/>
        <v>2504505.6891955212</v>
      </c>
      <c r="J97" s="36">
        <f t="shared" si="4"/>
        <v>-354037.31080447882</v>
      </c>
      <c r="K97" s="5">
        <f t="shared" si="5"/>
        <v>-0.12385236493013357</v>
      </c>
    </row>
    <row r="98" spans="1:11">
      <c r="A98" s="3">
        <v>40513</v>
      </c>
      <c r="B98" s="59">
        <v>2805612</v>
      </c>
      <c r="C98" s="187">
        <f>+'Purchased Power Model '!C98</f>
        <v>628.70000000000005</v>
      </c>
      <c r="D98" s="187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</v>
      </c>
      <c r="I98" s="193">
        <f t="shared" si="3"/>
        <v>2329444.5453831702</v>
      </c>
      <c r="J98" s="36">
        <f t="shared" si="4"/>
        <v>-476167.45461682975</v>
      </c>
      <c r="K98" s="5">
        <f t="shared" si="5"/>
        <v>-0.16971963857327019</v>
      </c>
    </row>
    <row r="99" spans="1:11">
      <c r="A99" s="3">
        <v>40544</v>
      </c>
      <c r="B99" s="105">
        <v>2686101</v>
      </c>
      <c r="C99" s="190">
        <f>+'Purchased Power Model '!C99</f>
        <v>760.9</v>
      </c>
      <c r="D99" s="190">
        <f>+'Purchased Power Model '!D99</f>
        <v>0</v>
      </c>
      <c r="E99" s="103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</v>
      </c>
      <c r="I99" s="193">
        <f t="shared" si="3"/>
        <v>3263618.3525181636</v>
      </c>
      <c r="J99" s="36">
        <f t="shared" si="4"/>
        <v>577517.35251816362</v>
      </c>
      <c r="K99" s="5">
        <f t="shared" si="5"/>
        <v>0.2150020987737109</v>
      </c>
    </row>
    <row r="100" spans="1:11">
      <c r="A100" s="3">
        <v>40575</v>
      </c>
      <c r="B100" s="105">
        <v>2882506</v>
      </c>
      <c r="C100" s="190">
        <f>+'Purchased Power Model '!C100</f>
        <v>634.19999999999993</v>
      </c>
      <c r="D100" s="190">
        <f>+'Purchased Power Model '!D100</f>
        <v>0</v>
      </c>
      <c r="E100" s="103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</v>
      </c>
      <c r="I100" s="193">
        <f t="shared" si="3"/>
        <v>3647751.9371790346</v>
      </c>
      <c r="J100" s="36">
        <f t="shared" si="4"/>
        <v>765245.93717903458</v>
      </c>
      <c r="K100" s="5">
        <f t="shared" si="5"/>
        <v>0.26547939091160072</v>
      </c>
    </row>
    <row r="101" spans="1:11">
      <c r="A101" s="3">
        <v>40603</v>
      </c>
      <c r="B101" s="105">
        <v>2542043</v>
      </c>
      <c r="C101" s="190">
        <f>+'Purchased Power Model '!C101</f>
        <v>559.80000000000007</v>
      </c>
      <c r="D101" s="190">
        <f>+'Purchased Power Model '!D101</f>
        <v>0</v>
      </c>
      <c r="E101" s="103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</v>
      </c>
      <c r="I101" s="193">
        <f t="shared" si="3"/>
        <v>3302152.2269373778</v>
      </c>
      <c r="J101" s="36">
        <f t="shared" si="4"/>
        <v>760109.22693737783</v>
      </c>
      <c r="K101" s="5">
        <f t="shared" si="5"/>
        <v>0.29901509413388278</v>
      </c>
    </row>
    <row r="102" spans="1:11">
      <c r="A102" s="3">
        <v>40634</v>
      </c>
      <c r="B102" s="105">
        <v>2789869</v>
      </c>
      <c r="C102" s="190">
        <f>+'Purchased Power Model '!C102</f>
        <v>350.79999999999995</v>
      </c>
      <c r="D102" s="190">
        <f>+'Purchased Power Model '!D102</f>
        <v>0</v>
      </c>
      <c r="E102" s="103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</v>
      </c>
      <c r="I102" s="193">
        <f t="shared" si="3"/>
        <v>2419530.751533635</v>
      </c>
      <c r="J102" s="36">
        <f t="shared" si="4"/>
        <v>-370338.24846636504</v>
      </c>
      <c r="K102" s="5">
        <f t="shared" si="5"/>
        <v>-0.13274395624538823</v>
      </c>
    </row>
    <row r="103" spans="1:11">
      <c r="A103" s="3">
        <v>40664</v>
      </c>
      <c r="B103" s="105">
        <v>2721007</v>
      </c>
      <c r="C103" s="190">
        <f>+'Purchased Power Model '!C103</f>
        <v>157.69999999999996</v>
      </c>
      <c r="D103" s="190">
        <f>+'Purchased Power Model '!D103</f>
        <v>2.8</v>
      </c>
      <c r="E103" s="103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</v>
      </c>
      <c r="I103" s="193">
        <f t="shared" si="3"/>
        <v>1791537.5622182395</v>
      </c>
      <c r="J103" s="36">
        <f t="shared" si="4"/>
        <v>-929469.43778176047</v>
      </c>
      <c r="K103" s="5">
        <f t="shared" si="5"/>
        <v>-0.34159024132674426</v>
      </c>
    </row>
    <row r="104" spans="1:11">
      <c r="A104" s="3">
        <v>40695</v>
      </c>
      <c r="B104" s="105">
        <v>3001831</v>
      </c>
      <c r="C104" s="190">
        <f>+'Purchased Power Model '!C104</f>
        <v>26.699999999999996</v>
      </c>
      <c r="D104" s="190">
        <f>+'Purchased Power Model '!D104</f>
        <v>36.900000000000006</v>
      </c>
      <c r="E104" s="103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</v>
      </c>
      <c r="I104" s="193">
        <f t="shared" si="3"/>
        <v>1493137.5441056432</v>
      </c>
      <c r="J104" s="36">
        <f t="shared" si="4"/>
        <v>-1508693.4558943568</v>
      </c>
      <c r="K104" s="5">
        <f t="shared" si="5"/>
        <v>-0.50259107054806107</v>
      </c>
    </row>
    <row r="105" spans="1:11">
      <c r="A105" s="3">
        <v>40725</v>
      </c>
      <c r="B105" s="105">
        <v>3204634</v>
      </c>
      <c r="C105" s="190">
        <f>+'Purchased Power Model '!C105</f>
        <v>0.2</v>
      </c>
      <c r="D105" s="190">
        <f>+'Purchased Power Model '!D105</f>
        <v>141.19999999999999</v>
      </c>
      <c r="E105" s="103">
        <f>+'Purchased Power Model '!E105</f>
        <v>7.0999999999999994E-2</v>
      </c>
      <c r="F105" s="57">
        <f>+'Purchased Power Model '!F105</f>
        <v>31</v>
      </c>
      <c r="G105" s="57">
        <f>+'Purchased Power Model '!G105</f>
        <v>0</v>
      </c>
      <c r="H105" s="61">
        <v>1</v>
      </c>
      <c r="I105" s="193">
        <f t="shared" si="3"/>
        <v>4341102.8531231694</v>
      </c>
      <c r="J105" s="36">
        <f t="shared" si="4"/>
        <v>1136468.8531231694</v>
      </c>
      <c r="K105" s="5">
        <f t="shared" si="5"/>
        <v>0.3546329637403739</v>
      </c>
    </row>
    <row r="106" spans="1:11">
      <c r="A106" s="3">
        <v>40756</v>
      </c>
      <c r="B106" s="105">
        <v>3925006</v>
      </c>
      <c r="C106" s="190">
        <f>+'Purchased Power Model '!C106</f>
        <v>3.7</v>
      </c>
      <c r="D106" s="190">
        <f>+'Purchased Power Model '!D106</f>
        <v>80.499999999999957</v>
      </c>
      <c r="E106" s="103">
        <f>+'Purchased Power Model '!E106</f>
        <v>7.0999999999999994E-2</v>
      </c>
      <c r="F106" s="57">
        <f>+'Purchased Power Model '!F106</f>
        <v>31</v>
      </c>
      <c r="G106" s="57">
        <f>+'Purchased Power Model '!G106</f>
        <v>0</v>
      </c>
      <c r="H106" s="61">
        <v>1</v>
      </c>
      <c r="I106" s="193">
        <f t="shared" si="3"/>
        <v>3897545.9804091901</v>
      </c>
      <c r="J106" s="36">
        <f t="shared" si="4"/>
        <v>-27460.019590809941</v>
      </c>
      <c r="K106" s="5">
        <f t="shared" si="5"/>
        <v>-6.9961726404519997E-3</v>
      </c>
    </row>
    <row r="107" spans="1:11">
      <c r="A107" s="3">
        <v>40787</v>
      </c>
      <c r="B107" s="105">
        <v>3836000</v>
      </c>
      <c r="C107" s="190">
        <f>+'Purchased Power Model '!C107</f>
        <v>48.900000000000006</v>
      </c>
      <c r="D107" s="190">
        <f>+'Purchased Power Model '!D107</f>
        <v>34.6</v>
      </c>
      <c r="E107" s="103">
        <f>+'Purchased Power Model '!E107</f>
        <v>7.0999999999999994E-2</v>
      </c>
      <c r="F107" s="57">
        <f>+'Purchased Power Model '!F107</f>
        <v>30</v>
      </c>
      <c r="G107" s="57">
        <f>+'Purchased Power Model '!G107</f>
        <v>1</v>
      </c>
      <c r="H107" s="61">
        <v>1</v>
      </c>
      <c r="I107" s="193">
        <f t="shared" si="3"/>
        <v>4361352.025357943</v>
      </c>
      <c r="J107" s="36">
        <f t="shared" si="4"/>
        <v>525352.02535794303</v>
      </c>
      <c r="K107" s="5">
        <f t="shared" si="5"/>
        <v>0.13695308273147627</v>
      </c>
    </row>
    <row r="108" spans="1:11">
      <c r="A108" s="3">
        <v>40817</v>
      </c>
      <c r="B108" s="105">
        <v>3713124</v>
      </c>
      <c r="C108" s="190">
        <f>+'Purchased Power Model '!C108</f>
        <v>225.29999999999998</v>
      </c>
      <c r="D108" s="190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</v>
      </c>
      <c r="I108" s="193">
        <f t="shared" si="3"/>
        <v>3952138.9316624999</v>
      </c>
      <c r="J108" s="36">
        <f t="shared" si="4"/>
        <v>239014.9316624999</v>
      </c>
      <c r="K108" s="5">
        <f t="shared" si="5"/>
        <v>6.4370306960527007E-2</v>
      </c>
    </row>
    <row r="109" spans="1:11">
      <c r="A109" s="3">
        <v>40848</v>
      </c>
      <c r="B109" s="105">
        <v>3269758</v>
      </c>
      <c r="C109" s="190">
        <f>+'Purchased Power Model '!C109</f>
        <v>349.69999999999993</v>
      </c>
      <c r="D109" s="190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</v>
      </c>
      <c r="I109" s="193">
        <f t="shared" si="3"/>
        <v>4448924.5305180028</v>
      </c>
      <c r="J109" s="36">
        <f t="shared" si="4"/>
        <v>1179166.5305180028</v>
      </c>
      <c r="K109" s="5">
        <f t="shared" si="5"/>
        <v>0.36062807416267589</v>
      </c>
    </row>
    <row r="110" spans="1:11">
      <c r="A110" s="3">
        <v>40878</v>
      </c>
      <c r="B110" s="105">
        <v>3168820</v>
      </c>
      <c r="C110" s="190">
        <f>+'Purchased Power Model '!C110</f>
        <v>531.20000000000005</v>
      </c>
      <c r="D110" s="190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</v>
      </c>
      <c r="I110" s="193">
        <f t="shared" si="3"/>
        <v>4145515.8246121816</v>
      </c>
      <c r="J110" s="36">
        <f t="shared" si="4"/>
        <v>976695.82461218163</v>
      </c>
      <c r="K110" s="5">
        <f t="shared" si="5"/>
        <v>0.30822067034801021</v>
      </c>
    </row>
    <row r="111" spans="1:11">
      <c r="A111" s="3">
        <v>40909</v>
      </c>
      <c r="B111" s="105">
        <v>2959871</v>
      </c>
      <c r="C111" s="190">
        <f>+'Purchased Power Model '!C111</f>
        <v>611</v>
      </c>
      <c r="D111" s="190">
        <f>+'Purchased Power Model '!D111</f>
        <v>0</v>
      </c>
      <c r="E111" s="103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</v>
      </c>
      <c r="I111" s="193">
        <f t="shared" si="3"/>
        <v>3680474.485818848</v>
      </c>
      <c r="J111" s="36">
        <f t="shared" si="4"/>
        <v>720603.48581884801</v>
      </c>
      <c r="K111" s="5">
        <f t="shared" si="5"/>
        <v>0.24345773373868254</v>
      </c>
    </row>
    <row r="112" spans="1:11">
      <c r="A112" s="3">
        <v>40940</v>
      </c>
      <c r="B112" s="105">
        <v>3287020</v>
      </c>
      <c r="C112" s="190">
        <f>+'Purchased Power Model '!C112</f>
        <v>536.20000000000005</v>
      </c>
      <c r="D112" s="190">
        <f>+'Purchased Power Model '!D112</f>
        <v>0</v>
      </c>
      <c r="E112" s="103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</v>
      </c>
      <c r="I112" s="193">
        <f t="shared" si="3"/>
        <v>3957954.802608341</v>
      </c>
      <c r="J112" s="36">
        <f t="shared" si="4"/>
        <v>670934.80260834098</v>
      </c>
      <c r="K112" s="5">
        <f t="shared" si="5"/>
        <v>0.20411643452377562</v>
      </c>
    </row>
    <row r="113" spans="1:11">
      <c r="A113" s="3">
        <v>40969</v>
      </c>
      <c r="B113" s="105">
        <v>2969109</v>
      </c>
      <c r="C113" s="190">
        <f>+'Purchased Power Model '!C113</f>
        <v>399.39999999999992</v>
      </c>
      <c r="D113" s="190">
        <f>+'Purchased Power Model '!D113</f>
        <v>0</v>
      </c>
      <c r="E113" s="103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</v>
      </c>
      <c r="I113" s="193">
        <f t="shared" si="3"/>
        <v>3695773.0257211421</v>
      </c>
      <c r="J113" s="36">
        <f t="shared" si="4"/>
        <v>726664.02572114207</v>
      </c>
      <c r="K113" s="5">
        <f t="shared" si="5"/>
        <v>0.24474144456169916</v>
      </c>
    </row>
    <row r="114" spans="1:11">
      <c r="A114" s="3">
        <v>41000</v>
      </c>
      <c r="B114" s="105">
        <v>3450052</v>
      </c>
      <c r="C114" s="190">
        <f>+'Purchased Power Model '!C114</f>
        <v>336.89999999999992</v>
      </c>
      <c r="D114" s="190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</v>
      </c>
      <c r="I114" s="193">
        <f t="shared" si="3"/>
        <v>3351216.4160941448</v>
      </c>
      <c r="J114" s="36">
        <f t="shared" si="4"/>
        <v>-98835.583905855194</v>
      </c>
      <c r="K114" s="5">
        <f t="shared" si="5"/>
        <v>-2.8647563545666905E-2</v>
      </c>
    </row>
    <row r="115" spans="1:11">
      <c r="A115" s="3">
        <v>41030</v>
      </c>
      <c r="B115" s="105">
        <v>3188267</v>
      </c>
      <c r="C115" s="190">
        <f>+'Purchased Power Model '!C115</f>
        <v>109.30000000000001</v>
      </c>
      <c r="D115" s="190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</v>
      </c>
      <c r="I115" s="193">
        <f t="shared" si="3"/>
        <v>2788142.7687465884</v>
      </c>
      <c r="J115" s="36">
        <f t="shared" si="4"/>
        <v>-400124.23125341162</v>
      </c>
      <c r="K115" s="5">
        <f t="shared" si="5"/>
        <v>-0.12549897209155056</v>
      </c>
    </row>
    <row r="116" spans="1:11">
      <c r="A116" s="3">
        <v>41061</v>
      </c>
      <c r="B116" s="105">
        <v>3602012</v>
      </c>
      <c r="C116" s="190">
        <f>+'Purchased Power Model '!C116</f>
        <v>28.2</v>
      </c>
      <c r="D116" s="190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</v>
      </c>
      <c r="I116" s="193">
        <f t="shared" si="3"/>
        <v>2662619.5636668783</v>
      </c>
      <c r="J116" s="36">
        <f t="shared" si="4"/>
        <v>-939392.43633312173</v>
      </c>
      <c r="K116" s="5">
        <f t="shared" si="5"/>
        <v>-0.26079658711107062</v>
      </c>
    </row>
    <row r="117" spans="1:11">
      <c r="A117" s="3">
        <v>41091</v>
      </c>
      <c r="B117" s="105">
        <v>3485626</v>
      </c>
      <c r="C117" s="190">
        <f>+'Purchased Power Model '!C117</f>
        <v>0</v>
      </c>
      <c r="D117" s="190">
        <f>+'Purchased Power Model '!D117</f>
        <v>155.30000000000001</v>
      </c>
      <c r="E117" s="103">
        <f>+'Purchased Power Model '!E117</f>
        <v>9.0999999999999998E-2</v>
      </c>
      <c r="F117" s="57">
        <f>+'Purchased Power Model '!F117</f>
        <v>31</v>
      </c>
      <c r="G117" s="57">
        <f>+'Purchased Power Model '!G117</f>
        <v>0</v>
      </c>
      <c r="H117" s="61">
        <v>1</v>
      </c>
      <c r="I117" s="193">
        <f t="shared" si="3"/>
        <v>2306726.920525888</v>
      </c>
      <c r="J117" s="36">
        <f t="shared" si="4"/>
        <v>-1178899.079474112</v>
      </c>
      <c r="K117" s="5">
        <f t="shared" si="5"/>
        <v>-0.33821731863203686</v>
      </c>
    </row>
    <row r="118" spans="1:11">
      <c r="A118" s="3">
        <v>41122</v>
      </c>
      <c r="B118" s="105">
        <v>3748751</v>
      </c>
      <c r="C118" s="190">
        <f>+'Purchased Power Model '!C118</f>
        <v>4.4000000000000004</v>
      </c>
      <c r="D118" s="190">
        <f>+'Purchased Power Model '!D118</f>
        <v>102.79999999999998</v>
      </c>
      <c r="E118" s="103">
        <f>+'Purchased Power Model '!E118</f>
        <v>9.0999999999999998E-2</v>
      </c>
      <c r="F118" s="57">
        <f>+'Purchased Power Model '!F118</f>
        <v>31</v>
      </c>
      <c r="G118" s="57">
        <f>+'Purchased Power Model '!G118</f>
        <v>0</v>
      </c>
      <c r="H118" s="61">
        <v>1</v>
      </c>
      <c r="I118" s="193">
        <f t="shared" si="3"/>
        <v>1926128.3080550523</v>
      </c>
      <c r="J118" s="36">
        <f t="shared" si="4"/>
        <v>-1822622.6919449477</v>
      </c>
      <c r="K118" s="5">
        <f t="shared" si="5"/>
        <v>-0.48619465308444004</v>
      </c>
    </row>
    <row r="119" spans="1:11">
      <c r="A119" s="3">
        <v>41153</v>
      </c>
      <c r="B119" s="105">
        <v>3917950</v>
      </c>
      <c r="C119" s="190">
        <f>+'Purchased Power Model '!C119</f>
        <v>84</v>
      </c>
      <c r="D119" s="190">
        <f>+'Purchased Power Model '!D119</f>
        <v>24.400000000000002</v>
      </c>
      <c r="E119" s="103">
        <f>+'Purchased Power Model '!E119</f>
        <v>9.0999999999999998E-2</v>
      </c>
      <c r="F119" s="57">
        <f>+'Purchased Power Model '!F119</f>
        <v>30</v>
      </c>
      <c r="G119" s="57">
        <f>+'Purchased Power Model '!G119</f>
        <v>1</v>
      </c>
      <c r="H119" s="61">
        <v>1</v>
      </c>
      <c r="I119" s="193">
        <f t="shared" si="3"/>
        <v>2224421.581658626</v>
      </c>
      <c r="J119" s="36">
        <f t="shared" si="4"/>
        <v>-1693528.418341374</v>
      </c>
      <c r="K119" s="5">
        <f t="shared" si="5"/>
        <v>-0.43224860407646193</v>
      </c>
    </row>
    <row r="120" spans="1:11">
      <c r="A120" s="3">
        <v>41183</v>
      </c>
      <c r="B120" s="105">
        <v>3658530</v>
      </c>
      <c r="C120" s="190">
        <f>+'Purchased Power Model '!C120</f>
        <v>228.99999999999994</v>
      </c>
      <c r="D120" s="190">
        <f>+'Purchased Power Model '!D120</f>
        <v>0</v>
      </c>
      <c r="E120" s="103">
        <f>+'Purchased Power Model '!E120</f>
        <v>9.6000000000000002E-2</v>
      </c>
      <c r="F120" s="57">
        <f>+'Purchased Power Model '!F120</f>
        <v>31</v>
      </c>
      <c r="G120" s="57">
        <f>+'Purchased Power Model '!G120</f>
        <v>1</v>
      </c>
      <c r="H120" s="61">
        <v>1</v>
      </c>
      <c r="I120" s="193">
        <f t="shared" si="3"/>
        <v>1607683.7235213574</v>
      </c>
      <c r="J120" s="36">
        <f t="shared" si="4"/>
        <v>-2050846.2764786426</v>
      </c>
      <c r="K120" s="5">
        <f t="shared" si="5"/>
        <v>-0.56056565792234658</v>
      </c>
    </row>
    <row r="121" spans="1:11">
      <c r="A121" s="3">
        <v>41214</v>
      </c>
      <c r="B121" s="105">
        <v>3306121</v>
      </c>
      <c r="C121" s="190">
        <f>+'Purchased Power Model '!C121</f>
        <v>427.89999999999992</v>
      </c>
      <c r="D121" s="190">
        <f>+'Purchased Power Model '!D121</f>
        <v>0</v>
      </c>
      <c r="E121" s="103">
        <f>+'Purchased Power Model '!E121</f>
        <v>9.6000000000000002E-2</v>
      </c>
      <c r="F121" s="57">
        <f>+'Purchased Power Model '!F121</f>
        <v>30</v>
      </c>
      <c r="G121" s="57">
        <f>+'Purchased Power Model '!G121</f>
        <v>1</v>
      </c>
      <c r="H121" s="61">
        <v>1</v>
      </c>
      <c r="I121" s="193">
        <f t="shared" si="3"/>
        <v>2269329.5529969223</v>
      </c>
      <c r="J121" s="36">
        <f t="shared" si="4"/>
        <v>-1036791.4470030777</v>
      </c>
      <c r="K121" s="5">
        <f t="shared" si="5"/>
        <v>-0.31359755042331411</v>
      </c>
    </row>
    <row r="122" spans="1:11">
      <c r="A122" s="3">
        <v>41244</v>
      </c>
      <c r="B122" s="105">
        <v>3239428</v>
      </c>
      <c r="C122" s="190">
        <f>+'Purchased Power Model '!C122</f>
        <v>451.09999999999997</v>
      </c>
      <c r="D122" s="190">
        <f>+'Purchased Power Model '!D122</f>
        <v>0</v>
      </c>
      <c r="E122" s="103">
        <f>+'Purchased Power Model '!E122</f>
        <v>9.6000000000000002E-2</v>
      </c>
      <c r="F122" s="57">
        <f>+'Purchased Power Model '!F122</f>
        <v>31</v>
      </c>
      <c r="G122" s="57">
        <f>+'Purchased Power Model '!G122</f>
        <v>0</v>
      </c>
      <c r="H122" s="61">
        <v>1</v>
      </c>
      <c r="I122" s="193">
        <f t="shared" si="3"/>
        <v>1615620.518135987</v>
      </c>
      <c r="J122" s="36">
        <f t="shared" si="4"/>
        <v>-1623807.481864013</v>
      </c>
      <c r="K122" s="5">
        <f t="shared" si="5"/>
        <v>-0.50126364341606389</v>
      </c>
    </row>
    <row r="123" spans="1:11">
      <c r="A123" s="3">
        <v>41275</v>
      </c>
      <c r="B123" s="105">
        <v>3277833</v>
      </c>
      <c r="C123" s="190">
        <f>+'Purchased Power Model '!C123</f>
        <v>615.40000000000009</v>
      </c>
      <c r="D123" s="190">
        <f>+'Purchased Power Model '!D123</f>
        <v>0</v>
      </c>
      <c r="E123" s="103">
        <f>+'Purchased Power Model '!E123</f>
        <v>8.6000110000000005E-2</v>
      </c>
      <c r="F123" s="57">
        <f>+'Purchased Power Model '!F123</f>
        <v>31</v>
      </c>
      <c r="G123" s="57">
        <f>+'Purchased Power Model '!G123</f>
        <v>0</v>
      </c>
      <c r="H123" s="61">
        <v>1</v>
      </c>
      <c r="I123" s="193">
        <f t="shared" si="3"/>
        <v>3048569.5530895125</v>
      </c>
      <c r="J123" s="36">
        <f t="shared" si="4"/>
        <v>-229263.44691048749</v>
      </c>
      <c r="K123" s="5">
        <f t="shared" si="5"/>
        <v>-6.9943602041497382E-2</v>
      </c>
    </row>
    <row r="124" spans="1:11">
      <c r="A124" s="3">
        <v>41306</v>
      </c>
      <c r="B124" s="105">
        <v>3479368</v>
      </c>
      <c r="C124" s="190">
        <f>+'Purchased Power Model '!C124</f>
        <v>611.5</v>
      </c>
      <c r="D124" s="190">
        <f>+'Purchased Power Model '!D124</f>
        <v>0</v>
      </c>
      <c r="E124" s="103">
        <f>+'Purchased Power Model '!E124</f>
        <v>8.6000110000000005E-2</v>
      </c>
      <c r="F124" s="57">
        <f>+'Purchased Power Model '!F124</f>
        <v>28</v>
      </c>
      <c r="G124" s="57">
        <f>+'Purchased Power Model '!G124</f>
        <v>0</v>
      </c>
      <c r="H124" s="61">
        <v>1</v>
      </c>
      <c r="I124" s="193">
        <f t="shared" si="3"/>
        <v>3704445.907148283</v>
      </c>
      <c r="J124" s="36">
        <f t="shared" si="4"/>
        <v>225077.90714828297</v>
      </c>
      <c r="K124" s="5">
        <f t="shared" si="5"/>
        <v>6.4689307698490919E-2</v>
      </c>
    </row>
    <row r="125" spans="1:11">
      <c r="A125" s="3">
        <v>41334</v>
      </c>
      <c r="B125" s="105">
        <v>3193324</v>
      </c>
      <c r="C125" s="190">
        <f>+'Purchased Power Model '!C125</f>
        <v>545</v>
      </c>
      <c r="D125" s="190">
        <f>+'Purchased Power Model '!D125</f>
        <v>0</v>
      </c>
      <c r="E125" s="103">
        <f>+'Purchased Power Model '!E125</f>
        <v>8.6000110000000005E-2</v>
      </c>
      <c r="F125" s="57">
        <f>+'Purchased Power Model '!F125</f>
        <v>31</v>
      </c>
      <c r="G125" s="57">
        <f>+'Purchased Power Model '!G125</f>
        <v>1</v>
      </c>
      <c r="H125" s="61">
        <v>1</v>
      </c>
      <c r="I125" s="193">
        <f t="shared" si="3"/>
        <v>3376328.0200193636</v>
      </c>
      <c r="J125" s="36">
        <f t="shared" si="4"/>
        <v>183004.02001936361</v>
      </c>
      <c r="K125" s="5">
        <f t="shared" si="5"/>
        <v>5.7308315729742307E-2</v>
      </c>
    </row>
    <row r="126" spans="1:11">
      <c r="A126" s="3">
        <v>41365</v>
      </c>
      <c r="B126" s="105">
        <v>3548485</v>
      </c>
      <c r="C126" s="190">
        <f>+'Purchased Power Model '!C126</f>
        <v>366.49999999999994</v>
      </c>
      <c r="D126" s="190">
        <f>+'Purchased Power Model '!D126</f>
        <v>0</v>
      </c>
      <c r="E126" s="103">
        <f>+'Purchased Power Model '!E126</f>
        <v>7.8295169999999997E-2</v>
      </c>
      <c r="F126" s="57">
        <f>+'Purchased Power Model '!F126</f>
        <v>30</v>
      </c>
      <c r="G126" s="57">
        <f>+'Purchased Power Model '!G126</f>
        <v>1</v>
      </c>
      <c r="H126" s="61">
        <v>1</v>
      </c>
      <c r="I126" s="193">
        <f t="shared" si="3"/>
        <v>4026782.8296619896</v>
      </c>
      <c r="J126" s="36">
        <f t="shared" si="4"/>
        <v>478297.82966198958</v>
      </c>
      <c r="K126" s="5">
        <f t="shared" si="5"/>
        <v>0.13478930576344259</v>
      </c>
    </row>
    <row r="127" spans="1:11">
      <c r="A127" s="3">
        <v>41395</v>
      </c>
      <c r="B127" s="105">
        <v>3540879</v>
      </c>
      <c r="C127" s="190">
        <f>+'Purchased Power Model '!C127</f>
        <v>133.4</v>
      </c>
      <c r="D127" s="190">
        <f>+'Purchased Power Model '!D127</f>
        <v>3</v>
      </c>
      <c r="E127" s="103">
        <f>+'Purchased Power Model '!E127</f>
        <v>7.8295169999999997E-2</v>
      </c>
      <c r="F127" s="57">
        <f>+'Purchased Power Model '!F127</f>
        <v>31</v>
      </c>
      <c r="G127" s="57">
        <f>+'Purchased Power Model '!G127</f>
        <v>1</v>
      </c>
      <c r="H127" s="61">
        <v>1</v>
      </c>
      <c r="I127" s="193">
        <f t="shared" si="3"/>
        <v>3311761.0719929077</v>
      </c>
      <c r="J127" s="36">
        <f t="shared" si="4"/>
        <v>-229117.92800709233</v>
      </c>
      <c r="K127" s="5">
        <f t="shared" si="5"/>
        <v>-6.4706511577236142E-2</v>
      </c>
    </row>
    <row r="128" spans="1:11">
      <c r="A128" s="3">
        <v>41426</v>
      </c>
      <c r="B128" s="105">
        <v>3666680</v>
      </c>
      <c r="C128" s="190">
        <f>+'Purchased Power Model '!C128</f>
        <v>42.900000000000006</v>
      </c>
      <c r="D128" s="190">
        <f>+'Purchased Power Model '!D128</f>
        <v>32.200000000000003</v>
      </c>
      <c r="E128" s="103">
        <f>+'Purchased Power Model '!E128</f>
        <v>7.8295169999999997E-2</v>
      </c>
      <c r="F128" s="57">
        <f>+'Purchased Power Model '!F128</f>
        <v>30</v>
      </c>
      <c r="G128" s="57">
        <f>+'Purchased Power Model '!G128</f>
        <v>0</v>
      </c>
      <c r="H128" s="61">
        <v>1</v>
      </c>
      <c r="I128" s="193">
        <f t="shared" si="3"/>
        <v>3066551.7615316361</v>
      </c>
      <c r="J128" s="36">
        <f t="shared" si="4"/>
        <v>-600128.23846836388</v>
      </c>
      <c r="K128" s="5">
        <f t="shared" si="5"/>
        <v>-0.16367074259776251</v>
      </c>
    </row>
    <row r="129" spans="1:11">
      <c r="A129" s="3">
        <v>41456</v>
      </c>
      <c r="B129" s="105">
        <v>3569231</v>
      </c>
      <c r="C129" s="190">
        <f>+'Purchased Power Model '!C129</f>
        <v>4.4000000000000004</v>
      </c>
      <c r="D129" s="190">
        <f>+'Purchased Power Model '!D129</f>
        <v>109.99999999999999</v>
      </c>
      <c r="E129" s="103">
        <f>+'Purchased Power Model '!E129</f>
        <v>6.7434110000000005E-2</v>
      </c>
      <c r="F129" s="57">
        <f>+'Purchased Power Model '!F129</f>
        <v>31</v>
      </c>
      <c r="G129" s="57">
        <f>+'Purchased Power Model '!G129</f>
        <v>0</v>
      </c>
      <c r="H129" s="61">
        <v>1</v>
      </c>
      <c r="I129" s="193">
        <f t="shared" si="3"/>
        <v>4499756.5428483263</v>
      </c>
      <c r="J129" s="36">
        <f t="shared" si="4"/>
        <v>930525.54284832627</v>
      </c>
      <c r="K129" s="5">
        <f t="shared" si="5"/>
        <v>0.26070757057986055</v>
      </c>
    </row>
    <row r="130" spans="1:11">
      <c r="A130" s="3">
        <v>41487</v>
      </c>
      <c r="B130" s="105">
        <v>3684619</v>
      </c>
      <c r="C130" s="190">
        <f>+'Purchased Power Model '!C130</f>
        <v>11</v>
      </c>
      <c r="D130" s="190">
        <f>+'Purchased Power Model '!D130</f>
        <v>57.899999999999991</v>
      </c>
      <c r="E130" s="103">
        <f>+'Purchased Power Model '!E130</f>
        <v>6.7434110000000005E-2</v>
      </c>
      <c r="F130" s="57">
        <f>+'Purchased Power Model '!F130</f>
        <v>31</v>
      </c>
      <c r="G130" s="57">
        <f>+'Purchased Power Model '!G130</f>
        <v>0</v>
      </c>
      <c r="H130" s="61">
        <v>1</v>
      </c>
      <c r="I130" s="193">
        <f t="shared" si="3"/>
        <v>4127000.2696025837</v>
      </c>
      <c r="J130" s="36">
        <f t="shared" si="4"/>
        <v>442381.26960258372</v>
      </c>
      <c r="K130" s="5">
        <f t="shared" si="5"/>
        <v>0.12006160463336472</v>
      </c>
    </row>
    <row r="131" spans="1:11">
      <c r="A131" s="3">
        <v>41518</v>
      </c>
      <c r="B131" s="105">
        <v>3802385</v>
      </c>
      <c r="C131" s="190">
        <f>+'Purchased Power Model '!C131</f>
        <v>96.600000000000009</v>
      </c>
      <c r="D131" s="190">
        <f>+'Purchased Power Model '!D131</f>
        <v>15.700000000000001</v>
      </c>
      <c r="E131" s="103">
        <f>+'Purchased Power Model '!E131</f>
        <v>6.7434110000000005E-2</v>
      </c>
      <c r="F131" s="57">
        <f>+'Purchased Power Model '!F131</f>
        <v>30</v>
      </c>
      <c r="G131" s="57">
        <f>+'Purchased Power Model '!G131</f>
        <v>1</v>
      </c>
      <c r="H131" s="61">
        <v>1</v>
      </c>
      <c r="I131" s="193">
        <f t="shared" si="3"/>
        <v>4707716.3768657465</v>
      </c>
      <c r="J131" s="36">
        <f t="shared" si="4"/>
        <v>905331.37686574645</v>
      </c>
      <c r="K131" s="5">
        <f t="shared" si="5"/>
        <v>0.23809566281840119</v>
      </c>
    </row>
    <row r="132" spans="1:11">
      <c r="A132" s="3">
        <v>41548</v>
      </c>
      <c r="B132" s="105">
        <v>3795973</v>
      </c>
      <c r="C132" s="190">
        <f>+'Purchased Power Model '!C132</f>
        <v>221</v>
      </c>
      <c r="D132" s="190">
        <f>+'Purchased Power Model '!D132</f>
        <v>3</v>
      </c>
      <c r="E132" s="103">
        <f>+'Purchased Power Model '!E132</f>
        <v>7.5499999999999998E-2</v>
      </c>
      <c r="F132" s="57">
        <f>+'Purchased Power Model '!F132</f>
        <v>31</v>
      </c>
      <c r="G132" s="57">
        <f>+'Purchased Power Model '!G132</f>
        <v>1</v>
      </c>
      <c r="H132" s="61">
        <v>1</v>
      </c>
      <c r="I132" s="193">
        <f t="shared" ref="I132:I195" si="6">$N$18+C132*$N$19+D132*$N$20+E132*$N$21+F132*$N$22+G132*$N$23+H132*$N$24</f>
        <v>3804520.9143366832</v>
      </c>
      <c r="J132" s="36">
        <f t="shared" ref="J132:J133" si="7">I132-B132</f>
        <v>8547.9143366832286</v>
      </c>
      <c r="K132" s="5">
        <f t="shared" ref="K132:K133" si="8">J132/B132</f>
        <v>2.2518374963897869E-3</v>
      </c>
    </row>
    <row r="133" spans="1:11">
      <c r="A133" s="3">
        <v>41579</v>
      </c>
      <c r="B133" s="105">
        <v>3374463</v>
      </c>
      <c r="C133" s="190">
        <f>+'Purchased Power Model '!C133</f>
        <v>458.6</v>
      </c>
      <c r="D133" s="190">
        <f>+'Purchased Power Model '!D133</f>
        <v>0</v>
      </c>
      <c r="E133" s="103">
        <f>+'Purchased Power Model '!E133</f>
        <v>7.5499999999999998E-2</v>
      </c>
      <c r="F133" s="57">
        <f>+'Purchased Power Model '!F133</f>
        <v>30</v>
      </c>
      <c r="G133" s="57">
        <f>+'Purchased Power Model '!G133</f>
        <v>1</v>
      </c>
      <c r="H133" s="61">
        <v>1</v>
      </c>
      <c r="I133" s="193">
        <f t="shared" si="6"/>
        <v>4529500.6725130193</v>
      </c>
      <c r="J133" s="36">
        <f t="shared" si="7"/>
        <v>1155037.6725130193</v>
      </c>
      <c r="K133" s="5">
        <f t="shared" si="8"/>
        <v>0.34228784624783831</v>
      </c>
    </row>
    <row r="134" spans="1:11">
      <c r="A134" s="3">
        <v>41609</v>
      </c>
      <c r="B134" s="105">
        <v>3392979</v>
      </c>
      <c r="C134" s="190">
        <f>+'Purchased Power Model '!C134</f>
        <v>472.8</v>
      </c>
      <c r="D134" s="190">
        <f ca="1">+'Purchased Power Model '!D134</f>
        <v>0</v>
      </c>
      <c r="E134" s="103">
        <f>+'Purchased Power Model '!E134</f>
        <v>7.5499999999999998E-2</v>
      </c>
      <c r="F134" s="57">
        <f>+'Purchased Power Model '!F134</f>
        <v>31</v>
      </c>
      <c r="G134" s="57">
        <f>+'Purchased Power Model '!G134</f>
        <v>0</v>
      </c>
      <c r="H134" s="61">
        <v>1</v>
      </c>
      <c r="I134" s="193">
        <f t="shared" ca="1" si="6"/>
        <v>3855875.6366375796</v>
      </c>
      <c r="J134" s="36">
        <f t="shared" ref="J134" ca="1" si="9">I134-B134</f>
        <v>462896.63663757965</v>
      </c>
      <c r="K134" s="5">
        <f t="shared" ref="K134" ca="1" si="10">J134/B134</f>
        <v>0.13642779299181623</v>
      </c>
    </row>
    <row r="135" spans="1:11">
      <c r="A135" s="3">
        <v>41640</v>
      </c>
      <c r="C135" s="188">
        <f>+'Purchased Power Model '!C135</f>
        <v>552.13385193331999</v>
      </c>
      <c r="D135" s="188">
        <f ca="1">+'Purchased Power Model '!D135</f>
        <v>0</v>
      </c>
      <c r="E135" s="103">
        <f>+'Purchased Power Model '!E135</f>
        <v>7.5499999999999998E-2</v>
      </c>
      <c r="F135" s="57">
        <f>+'Purchased Power Model '!F135</f>
        <v>31</v>
      </c>
      <c r="G135" s="57">
        <f>+'Purchased Power Model '!G135</f>
        <v>0</v>
      </c>
      <c r="H135" s="192"/>
      <c r="I135" s="193">
        <f t="shared" ca="1" si="6"/>
        <v>2423424.9581242632</v>
      </c>
      <c r="J135" s="36"/>
      <c r="K135" s="5"/>
    </row>
    <row r="136" spans="1:11">
      <c r="A136" s="3">
        <v>41671</v>
      </c>
      <c r="C136" s="188">
        <f>+'Purchased Power Model '!C136</f>
        <v>548.63479112321284</v>
      </c>
      <c r="D136" s="188">
        <f ca="1">+'Purchased Power Model '!D136</f>
        <v>0</v>
      </c>
      <c r="E136" s="103">
        <f>+'Purchased Power Model '!E136</f>
        <v>7.5499999999999998E-2</v>
      </c>
      <c r="F136" s="57">
        <f>+'Purchased Power Model '!F136</f>
        <v>28</v>
      </c>
      <c r="G136" s="57">
        <f>+'Purchased Power Model '!G136</f>
        <v>0</v>
      </c>
      <c r="H136" s="192"/>
      <c r="I136" s="193">
        <f t="shared" ca="1" si="6"/>
        <v>3080188.5461066663</v>
      </c>
      <c r="J136" s="36"/>
      <c r="K136" s="5"/>
    </row>
    <row r="137" spans="1:11">
      <c r="A137" s="3">
        <v>41699</v>
      </c>
      <c r="C137" s="188">
        <f>+'Purchased Power Model '!C137</f>
        <v>488.97131833548809</v>
      </c>
      <c r="D137" s="188">
        <f ca="1">+'Purchased Power Model '!D137</f>
        <v>0</v>
      </c>
      <c r="E137" s="103">
        <f>+'Purchased Power Model '!E137</f>
        <v>7.5499999999999998E-2</v>
      </c>
      <c r="F137" s="57">
        <f>+'Purchased Power Model '!F137</f>
        <v>31</v>
      </c>
      <c r="G137" s="57">
        <f>+'Purchased Power Model '!G137</f>
        <v>1</v>
      </c>
      <c r="H137" s="192"/>
      <c r="I137" s="193">
        <f t="shared" ca="1" si="6"/>
        <v>2767199.1348550022</v>
      </c>
      <c r="J137" s="36"/>
      <c r="K137" s="5"/>
    </row>
    <row r="138" spans="1:11">
      <c r="A138" s="3">
        <v>41730</v>
      </c>
      <c r="C138" s="188">
        <f>+'Purchased Power Model '!C138</f>
        <v>328.82199664212175</v>
      </c>
      <c r="D138" s="188">
        <f ca="1">+'Purchased Power Model '!D138</f>
        <v>0</v>
      </c>
      <c r="E138" s="103">
        <f>+'Purchased Power Model '!E138</f>
        <v>7.5499999999999998E-2</v>
      </c>
      <c r="F138" s="57">
        <f>+'Purchased Power Model '!F138</f>
        <v>30</v>
      </c>
      <c r="G138" s="57">
        <f>+'Purchased Power Model '!G138</f>
        <v>1</v>
      </c>
      <c r="H138" s="192"/>
      <c r="I138" s="193">
        <f t="shared" ca="1" si="6"/>
        <v>2634308.669319218</v>
      </c>
      <c r="J138" s="36"/>
      <c r="K138" s="5"/>
    </row>
    <row r="139" spans="1:11">
      <c r="A139" s="3">
        <v>41760</v>
      </c>
      <c r="C139" s="188">
        <f>+'Purchased Power Model '!C139</f>
        <v>119.68582360725524</v>
      </c>
      <c r="D139" s="188">
        <f ca="1">+'Purchased Power Model '!D139</f>
        <v>3.6853840478727715</v>
      </c>
      <c r="E139" s="103">
        <f>+'Purchased Power Model '!E139</f>
        <v>7.5499999999999998E-2</v>
      </c>
      <c r="F139" s="57">
        <f>+'Purchased Power Model '!F139</f>
        <v>31</v>
      </c>
      <c r="G139" s="57">
        <f>+'Purchased Power Model '!G139</f>
        <v>1</v>
      </c>
      <c r="H139" s="192"/>
      <c r="I139" s="193">
        <f t="shared" ca="1" si="6"/>
        <v>1977412.0027672129</v>
      </c>
      <c r="J139" s="36"/>
      <c r="K139" s="5"/>
    </row>
    <row r="140" spans="1:11">
      <c r="A140" s="3">
        <v>41791</v>
      </c>
      <c r="C140" s="188">
        <f>+'Purchased Power Model '!C140</f>
        <v>38.489668911178789</v>
      </c>
      <c r="D140" s="188">
        <f ca="1">+'Purchased Power Model '!D140</f>
        <v>39.55645544716775</v>
      </c>
      <c r="E140" s="103">
        <f>+'Purchased Power Model '!E140</f>
        <v>7.5499999999999998E-2</v>
      </c>
      <c r="F140" s="57">
        <f>+'Purchased Power Model '!F140</f>
        <v>30</v>
      </c>
      <c r="G140" s="57">
        <f>+'Purchased Power Model '!G140</f>
        <v>0</v>
      </c>
      <c r="H140" s="192"/>
      <c r="I140" s="193">
        <f t="shared" ca="1" si="6"/>
        <v>1802390.2086153254</v>
      </c>
      <c r="J140" s="36"/>
      <c r="K140" s="5"/>
    </row>
    <row r="141" spans="1:11">
      <c r="A141" s="3">
        <v>41821</v>
      </c>
      <c r="C141" s="188">
        <f>+'Purchased Power Model '!C141</f>
        <v>3.9476583498644913</v>
      </c>
      <c r="D141" s="188">
        <f ca="1">+'Purchased Power Model '!D141</f>
        <v>135.1307484220016</v>
      </c>
      <c r="E141" s="103">
        <f>+'Purchased Power Model '!E141</f>
        <v>7.5499999999999998E-2</v>
      </c>
      <c r="F141" s="57">
        <f>+'Purchased Power Model '!F141</f>
        <v>31</v>
      </c>
      <c r="G141" s="57">
        <f>+'Purchased Power Model '!G141</f>
        <v>0</v>
      </c>
      <c r="H141" s="192"/>
      <c r="I141" s="193">
        <f t="shared" ca="1" si="6"/>
        <v>2215041.2733784858</v>
      </c>
      <c r="J141" s="36"/>
      <c r="K141" s="5"/>
    </row>
    <row r="142" spans="1:11">
      <c r="A142" s="3">
        <v>41852</v>
      </c>
      <c r="C142" s="188">
        <f>+'Purchased Power Model '!C142</f>
        <v>9.8691458746612266</v>
      </c>
      <c r="D142" s="188">
        <f ca="1">+'Purchased Power Model '!D142</f>
        <v>71.127912123944469</v>
      </c>
      <c r="E142" s="103">
        <f>+'Purchased Power Model '!E142</f>
        <v>7.5499999999999998E-2</v>
      </c>
      <c r="F142" s="57">
        <f>+'Purchased Power Model '!F142</f>
        <v>31</v>
      </c>
      <c r="G142" s="57">
        <f>+'Purchased Power Model '!G142</f>
        <v>0</v>
      </c>
      <c r="H142" s="192"/>
      <c r="I142" s="193">
        <f t="shared" ca="1" si="6"/>
        <v>1752286.4327894114</v>
      </c>
      <c r="J142" s="36"/>
      <c r="K142" s="5"/>
    </row>
    <row r="143" spans="1:11">
      <c r="A143" s="3">
        <v>41883</v>
      </c>
      <c r="C143" s="188">
        <f>+'Purchased Power Model '!C143</f>
        <v>86.669044681115878</v>
      </c>
      <c r="D143" s="188">
        <f ca="1">+'Purchased Power Model '!D143</f>
        <v>19.286843183867507</v>
      </c>
      <c r="E143" s="103">
        <f>+'Purchased Power Model '!E143</f>
        <v>7.5499999999999998E-2</v>
      </c>
      <c r="F143" s="57">
        <f>+'Purchased Power Model '!F143</f>
        <v>30</v>
      </c>
      <c r="G143" s="57">
        <f>+'Purchased Power Model '!G143</f>
        <v>1</v>
      </c>
      <c r="H143" s="192"/>
      <c r="I143" s="193">
        <f t="shared" ca="1" si="6"/>
        <v>2241847.9449238796</v>
      </c>
      <c r="J143" s="36"/>
      <c r="K143" s="5"/>
    </row>
    <row r="144" spans="1:11">
      <c r="A144" s="3">
        <v>41913</v>
      </c>
      <c r="C144" s="188">
        <f>+'Purchased Power Model '!C144</f>
        <v>198.2801125727392</v>
      </c>
      <c r="D144" s="188">
        <f ca="1">+'Purchased Power Model '!D144</f>
        <v>3.6853840478727715</v>
      </c>
      <c r="E144" s="103">
        <f>+'Purchased Power Model '!E144</f>
        <v>7.5499999999999998E-2</v>
      </c>
      <c r="F144" s="57">
        <f>+'Purchased Power Model '!F144</f>
        <v>31</v>
      </c>
      <c r="G144" s="57">
        <f>+'Purchased Power Model '!G144</f>
        <v>1</v>
      </c>
      <c r="H144" s="192"/>
      <c r="I144" s="193">
        <f t="shared" ca="1" si="6"/>
        <v>2151332.4404084161</v>
      </c>
      <c r="J144" s="36"/>
      <c r="K144" s="5"/>
    </row>
    <row r="145" spans="1:11">
      <c r="A145" s="3">
        <v>41944</v>
      </c>
      <c r="C145" s="188">
        <f>+'Purchased Power Model '!C145</f>
        <v>411.45366346542176</v>
      </c>
      <c r="D145" s="188">
        <f ca="1">+'Purchased Power Model '!D145</f>
        <v>0</v>
      </c>
      <c r="E145" s="103">
        <f>+'Purchased Power Model '!E145</f>
        <v>7.5499999999999998E-2</v>
      </c>
      <c r="F145" s="57">
        <f>+'Purchased Power Model '!F145</f>
        <v>30</v>
      </c>
      <c r="G145" s="57">
        <f>+'Purchased Power Model '!G145</f>
        <v>1</v>
      </c>
      <c r="H145" s="192"/>
      <c r="I145" s="193">
        <f t="shared" ca="1" si="6"/>
        <v>2817163.3760173302</v>
      </c>
      <c r="J145" s="36"/>
      <c r="K145" s="5"/>
    </row>
    <row r="146" spans="1:11">
      <c r="A146" s="3">
        <v>41974</v>
      </c>
      <c r="C146" s="188">
        <f>+'Purchased Power Model '!C146</f>
        <v>424.19383359452985</v>
      </c>
      <c r="D146" s="188">
        <f ca="1">+'Purchased Power Model '!D146</f>
        <v>0</v>
      </c>
      <c r="E146" s="103">
        <f>+'Purchased Power Model '!E146</f>
        <v>7.5499999999999998E-2</v>
      </c>
      <c r="F146" s="57">
        <f>+'Purchased Power Model '!F146</f>
        <v>31</v>
      </c>
      <c r="G146" s="57">
        <f>+'Purchased Power Model '!G146</f>
        <v>0</v>
      </c>
      <c r="H146" s="192"/>
      <c r="I146" s="193">
        <f t="shared" ca="1" si="6"/>
        <v>2140307.8986763675</v>
      </c>
      <c r="J146" s="36"/>
      <c r="K146" s="5"/>
    </row>
    <row r="147" spans="1:11">
      <c r="A147" s="3">
        <v>42005</v>
      </c>
      <c r="C147" s="188">
        <f>+'Purchased Power Model '!C147</f>
        <v>545.6611483841823</v>
      </c>
      <c r="D147" s="188">
        <f ca="1">+'Purchased Power Model '!D147</f>
        <v>0</v>
      </c>
      <c r="E147" s="103">
        <f>+'Purchased Power Model '!E147</f>
        <v>7.5499999999999998E-2</v>
      </c>
      <c r="F147" s="57">
        <f>+'Purchased Power Model '!F147</f>
        <v>31</v>
      </c>
      <c r="G147" s="57">
        <f>+'Purchased Power Model '!G147</f>
        <v>0</v>
      </c>
      <c r="H147" s="192"/>
      <c r="I147" s="193">
        <f t="shared" ca="1" si="6"/>
        <v>2409101.5836296845</v>
      </c>
      <c r="J147" s="36"/>
      <c r="K147" s="5"/>
    </row>
    <row r="148" spans="1:11">
      <c r="A148" s="3">
        <v>42036</v>
      </c>
      <c r="C148" s="188">
        <f>+'Purchased Power Model '!C148</f>
        <v>542.20310730732444</v>
      </c>
      <c r="D148" s="188">
        <f ca="1">+'Purchased Power Model '!D148</f>
        <v>0</v>
      </c>
      <c r="E148" s="103">
        <f>+'Purchased Power Model '!E148</f>
        <v>7.5499999999999998E-2</v>
      </c>
      <c r="F148" s="57">
        <f>+'Purchased Power Model '!F148</f>
        <v>28</v>
      </c>
      <c r="G148" s="57">
        <f>+'Purchased Power Model '!G148</f>
        <v>0</v>
      </c>
      <c r="H148" s="192"/>
      <c r="I148" s="193">
        <f t="shared" ca="1" si="6"/>
        <v>3065955.9437286407</v>
      </c>
      <c r="J148" s="36"/>
      <c r="K148" s="5"/>
    </row>
    <row r="149" spans="1:11">
      <c r="A149" s="3">
        <v>42064</v>
      </c>
      <c r="C149" s="188">
        <f>+'Purchased Power Model '!C149</f>
        <v>483.23907356090245</v>
      </c>
      <c r="D149" s="188">
        <f ca="1">+'Purchased Power Model '!D149</f>
        <v>0</v>
      </c>
      <c r="E149" s="103">
        <f>+'Purchased Power Model '!E149</f>
        <v>7.5499999999999998E-2</v>
      </c>
      <c r="F149" s="57">
        <f>+'Purchased Power Model '!F149</f>
        <v>31</v>
      </c>
      <c r="G149" s="57">
        <f>+'Purchased Power Model '!G149</f>
        <v>1</v>
      </c>
      <c r="H149" s="192"/>
      <c r="I149" s="193">
        <f t="shared" ca="1" si="6"/>
        <v>2754514.3134387769</v>
      </c>
      <c r="J149" s="36"/>
      <c r="K149" s="5"/>
    </row>
    <row r="150" spans="1:11">
      <c r="A150" s="3">
        <v>42095</v>
      </c>
      <c r="C150" s="188">
        <f>+'Purchased Power Model '!C150</f>
        <v>324.96719350471687</v>
      </c>
      <c r="D150" s="188">
        <f ca="1">+'Purchased Power Model '!D150</f>
        <v>0</v>
      </c>
      <c r="E150" s="103">
        <f>+'Purchased Power Model '!E150</f>
        <v>7.5499999999999998E-2</v>
      </c>
      <c r="F150" s="57">
        <f>+'Purchased Power Model '!F150</f>
        <v>30</v>
      </c>
      <c r="G150" s="57">
        <f>+'Purchased Power Model '!G150</f>
        <v>1</v>
      </c>
      <c r="H150" s="192"/>
      <c r="I150" s="193">
        <f t="shared" ca="1" si="6"/>
        <v>2625778.4178530741</v>
      </c>
      <c r="J150" s="36"/>
      <c r="K150" s="5"/>
    </row>
    <row r="151" spans="1:11">
      <c r="A151" s="3">
        <v>42125</v>
      </c>
      <c r="C151" s="188">
        <f>+'Purchased Power Model '!C151</f>
        <v>118.28273837252181</v>
      </c>
      <c r="D151" s="188">
        <f ca="1">+'Purchased Power Model '!D151</f>
        <v>3.7719239281908306</v>
      </c>
      <c r="E151" s="103">
        <f>+'Purchased Power Model '!E151</f>
        <v>7.5499999999999998E-2</v>
      </c>
      <c r="F151" s="57">
        <f>+'Purchased Power Model '!F151</f>
        <v>31</v>
      </c>
      <c r="G151" s="57">
        <f>+'Purchased Power Model '!G151</f>
        <v>1</v>
      </c>
      <c r="H151" s="192"/>
      <c r="I151" s="193">
        <f t="shared" ca="1" si="6"/>
        <v>1974950.551306369</v>
      </c>
      <c r="J151" s="36"/>
      <c r="K151" s="5"/>
    </row>
    <row r="152" spans="1:11">
      <c r="A152" s="3">
        <v>42156</v>
      </c>
      <c r="C152" s="188">
        <f>+'Purchased Power Model '!C152</f>
        <v>38.038451845436171</v>
      </c>
      <c r="D152" s="188">
        <f ca="1">+'Purchased Power Model '!D152</f>
        <v>40.485316829248255</v>
      </c>
      <c r="E152" s="103">
        <f>+'Purchased Power Model '!E152</f>
        <v>7.5499999999999998E-2</v>
      </c>
      <c r="F152" s="57">
        <f>+'Purchased Power Model '!F152</f>
        <v>30</v>
      </c>
      <c r="G152" s="57">
        <f>+'Purchased Power Model '!G152</f>
        <v>0</v>
      </c>
      <c r="H152" s="192"/>
      <c r="I152" s="193">
        <f t="shared" ca="1" si="6"/>
        <v>1808297.7612112593</v>
      </c>
      <c r="J152" s="36"/>
      <c r="K152" s="5"/>
    </row>
    <row r="153" spans="1:11">
      <c r="A153" s="3">
        <v>42186</v>
      </c>
      <c r="C153" s="188">
        <f>+'Purchased Power Model '!C153</f>
        <v>3.9013796764549924</v>
      </c>
      <c r="D153" s="188">
        <f ca="1">+'Purchased Power Model '!D153</f>
        <v>138.30387736699711</v>
      </c>
      <c r="E153" s="103">
        <f>+'Purchased Power Model '!E153</f>
        <v>7.5499999999999998E-2</v>
      </c>
      <c r="F153" s="57">
        <f>+'Purchased Power Model '!F153</f>
        <v>31</v>
      </c>
      <c r="G153" s="57">
        <f>+'Purchased Power Model '!G153</f>
        <v>0</v>
      </c>
      <c r="H153" s="192"/>
      <c r="I153" s="193">
        <f t="shared" ca="1" si="6"/>
        <v>2238530.9460032005</v>
      </c>
      <c r="J153" s="36"/>
      <c r="K153" s="5"/>
    </row>
    <row r="154" spans="1:11">
      <c r="A154" s="3">
        <v>42217</v>
      </c>
      <c r="C154" s="188">
        <f>+'Purchased Power Model '!C154</f>
        <v>9.753449191137479</v>
      </c>
      <c r="D154" s="188">
        <f ca="1">+'Purchased Power Model '!D154</f>
        <v>72.798131814083021</v>
      </c>
      <c r="E154" s="103">
        <f>+'Purchased Power Model '!E154</f>
        <v>7.5499999999999998E-2</v>
      </c>
      <c r="F154" s="57">
        <f>+'Purchased Power Model '!F154</f>
        <v>31</v>
      </c>
      <c r="G154" s="57">
        <f>+'Purchased Power Model '!G154</f>
        <v>0</v>
      </c>
      <c r="H154" s="192"/>
      <c r="I154" s="193">
        <f t="shared" ca="1" si="6"/>
        <v>1764448.4230429512</v>
      </c>
      <c r="J154" s="36"/>
      <c r="K154" s="5"/>
    </row>
    <row r="155" spans="1:11">
      <c r="A155" s="3">
        <v>42248</v>
      </c>
      <c r="C155" s="188">
        <f>+'Purchased Power Model '!C155</f>
        <v>85.653017442170963</v>
      </c>
      <c r="D155" s="188">
        <f ca="1">+'Purchased Power Model '!D155</f>
        <v>19.739735224198682</v>
      </c>
      <c r="E155" s="103">
        <f>+'Purchased Power Model '!E155</f>
        <v>7.5499999999999998E-2</v>
      </c>
      <c r="F155" s="57">
        <f>+'Purchased Power Model '!F155</f>
        <v>30</v>
      </c>
      <c r="G155" s="57">
        <f>+'Purchased Power Model '!G155</f>
        <v>1</v>
      </c>
      <c r="H155" s="192"/>
      <c r="I155" s="193">
        <f t="shared" ca="1" si="6"/>
        <v>2242966.82297072</v>
      </c>
      <c r="J155" s="36"/>
      <c r="K155" s="5"/>
    </row>
    <row r="156" spans="1:11">
      <c r="A156" s="3">
        <v>42278</v>
      </c>
      <c r="C156" s="188">
        <f>+'Purchased Power Model '!C156</f>
        <v>195.95566102194391</v>
      </c>
      <c r="D156" s="188">
        <f ca="1">+'Purchased Power Model '!D156</f>
        <v>3.7719239281908306</v>
      </c>
      <c r="E156" s="103">
        <f>+'Purchased Power Model '!E156</f>
        <v>7.5499999999999998E-2</v>
      </c>
      <c r="F156" s="57">
        <f>+'Purchased Power Model '!F156</f>
        <v>31</v>
      </c>
      <c r="G156" s="57">
        <f>+'Purchased Power Model '!G156</f>
        <v>1</v>
      </c>
      <c r="H156" s="192"/>
      <c r="I156" s="193">
        <f t="shared" ca="1" si="6"/>
        <v>2146832.1075603012</v>
      </c>
      <c r="J156" s="36"/>
      <c r="K156" s="5"/>
    </row>
    <row r="157" spans="1:11">
      <c r="A157" s="3">
        <v>42309</v>
      </c>
      <c r="C157" s="188">
        <f>+'Purchased Power Model '!C157</f>
        <v>406.63016355051349</v>
      </c>
      <c r="D157" s="188">
        <f ca="1">+'Purchased Power Model '!D157</f>
        <v>0</v>
      </c>
      <c r="E157" s="103">
        <f>+'Purchased Power Model '!E157</f>
        <v>7.5499999999999998E-2</v>
      </c>
      <c r="F157" s="57">
        <f>+'Purchased Power Model '!F157</f>
        <v>30</v>
      </c>
      <c r="G157" s="57">
        <f>+'Purchased Power Model '!G157</f>
        <v>1</v>
      </c>
      <c r="H157" s="192"/>
      <c r="I157" s="193">
        <f t="shared" ca="1" si="6"/>
        <v>2806489.5061063562</v>
      </c>
      <c r="J157" s="36"/>
      <c r="K157" s="5"/>
    </row>
    <row r="158" spans="1:11">
      <c r="A158" s="3">
        <v>42339</v>
      </c>
      <c r="C158" s="188">
        <f>+'Purchased Power Model '!C158</f>
        <v>419.22097977907276</v>
      </c>
      <c r="D158" s="188">
        <f ca="1">+'Purchased Power Model '!D158</f>
        <v>0</v>
      </c>
      <c r="E158" s="103">
        <f>+'Purchased Power Model '!E158</f>
        <v>7.5499999999999998E-2</v>
      </c>
      <c r="F158" s="57">
        <f>+'Purchased Power Model '!F158</f>
        <v>31</v>
      </c>
      <c r="G158" s="57">
        <f>+'Purchased Power Model '!G158</f>
        <v>0</v>
      </c>
      <c r="H158" s="192"/>
      <c r="I158" s="193">
        <f t="shared" ca="1" si="6"/>
        <v>2129303.5251615215</v>
      </c>
      <c r="J158" s="36"/>
      <c r="K158" s="5"/>
    </row>
    <row r="159" spans="1:11">
      <c r="A159" s="3">
        <v>42370</v>
      </c>
      <c r="C159" s="188">
        <f>+'Purchased Power Model '!C159</f>
        <v>539.18844483504199</v>
      </c>
      <c r="D159" s="188">
        <f ca="1">+'Purchased Power Model '!D159</f>
        <v>0</v>
      </c>
      <c r="E159" s="103">
        <f>+'Purchased Power Model '!E159</f>
        <v>7.5499999999999998E-2</v>
      </c>
      <c r="F159" s="57">
        <f>+'Purchased Power Model '!F159</f>
        <v>31</v>
      </c>
      <c r="G159" s="57">
        <f>+'Purchased Power Model '!G159</f>
        <v>0</v>
      </c>
      <c r="H159" s="192"/>
      <c r="I159" s="193">
        <f t="shared" ca="1" si="6"/>
        <v>2394778.2091350984</v>
      </c>
      <c r="J159" s="36"/>
      <c r="K159" s="5"/>
    </row>
    <row r="160" spans="1:11">
      <c r="A160" s="3">
        <v>42401</v>
      </c>
      <c r="C160" s="188">
        <f>+'Purchased Power Model '!C160</f>
        <v>535.77142349143355</v>
      </c>
      <c r="D160" s="188">
        <f ca="1">+'Purchased Power Model '!D160</f>
        <v>0</v>
      </c>
      <c r="E160" s="103">
        <f>+'Purchased Power Model '!E160</f>
        <v>7.5499999999999998E-2</v>
      </c>
      <c r="F160" s="57">
        <f>+'Purchased Power Model '!F160</f>
        <v>29</v>
      </c>
      <c r="G160" s="57">
        <f>+'Purchased Power Model '!G160</f>
        <v>0</v>
      </c>
      <c r="H160" s="192"/>
      <c r="I160" s="193">
        <f t="shared" ca="1" si="6"/>
        <v>2830221.1342955958</v>
      </c>
      <c r="J160" s="36"/>
      <c r="K160" s="5"/>
    </row>
    <row r="161" spans="1:11">
      <c r="A161" s="3">
        <v>42430</v>
      </c>
      <c r="C161" s="188">
        <f>+'Purchased Power Model '!C161</f>
        <v>477.50682878631443</v>
      </c>
      <c r="D161" s="188">
        <f ca="1">+'Purchased Power Model '!D161</f>
        <v>0</v>
      </c>
      <c r="E161" s="103">
        <f>+'Purchased Power Model '!E161</f>
        <v>7.5499999999999998E-2</v>
      </c>
      <c r="F161" s="57">
        <f>+'Purchased Power Model '!F161</f>
        <v>31</v>
      </c>
      <c r="G161" s="57">
        <f>+'Purchased Power Model '!G161</f>
        <v>1</v>
      </c>
      <c r="H161" s="192"/>
      <c r="I161" s="193">
        <f t="shared" ca="1" si="6"/>
        <v>2741829.4920225479</v>
      </c>
      <c r="J161" s="36"/>
      <c r="K161" s="5"/>
    </row>
    <row r="162" spans="1:11">
      <c r="A162" s="3">
        <v>42461</v>
      </c>
      <c r="C162" s="188">
        <f>+'Purchased Power Model '!C162</f>
        <v>321.11239036731047</v>
      </c>
      <c r="D162" s="188">
        <f ca="1">+'Purchased Power Model '!D162</f>
        <v>0</v>
      </c>
      <c r="E162" s="103">
        <f>+'Purchased Power Model '!E162</f>
        <v>7.5499999999999998E-2</v>
      </c>
      <c r="F162" s="57">
        <f>+'Purchased Power Model '!F162</f>
        <v>30</v>
      </c>
      <c r="G162" s="57">
        <f>+'Purchased Power Model '!G162</f>
        <v>1</v>
      </c>
      <c r="H162" s="192"/>
      <c r="I162" s="193">
        <f t="shared" ca="1" si="6"/>
        <v>2617248.1663869303</v>
      </c>
      <c r="J162" s="36"/>
      <c r="K162" s="5"/>
    </row>
    <row r="163" spans="1:11">
      <c r="A163" s="3">
        <v>42491</v>
      </c>
      <c r="C163" s="188">
        <f>+'Purchased Power Model '!C163</f>
        <v>116.8796531377878</v>
      </c>
      <c r="D163" s="188">
        <f ca="1">+'Purchased Power Model '!D163</f>
        <v>3.8584638085088909</v>
      </c>
      <c r="E163" s="103">
        <f>+'Purchased Power Model '!E163</f>
        <v>7.5499999999999998E-2</v>
      </c>
      <c r="F163" s="57">
        <f>+'Purchased Power Model '!F163</f>
        <v>31</v>
      </c>
      <c r="G163" s="57">
        <f>+'Purchased Power Model '!G163</f>
        <v>1</v>
      </c>
      <c r="H163" s="192"/>
      <c r="I163" s="193">
        <f t="shared" ca="1" si="6"/>
        <v>1972489.0998455232</v>
      </c>
      <c r="J163" s="36"/>
      <c r="K163" s="5"/>
    </row>
    <row r="164" spans="1:11">
      <c r="A164" s="3">
        <v>42522</v>
      </c>
      <c r="C164" s="188">
        <f>+'Purchased Power Model '!C164</f>
        <v>37.587234779693375</v>
      </c>
      <c r="D164" s="188">
        <f ca="1">+'Purchased Power Model '!D164</f>
        <v>41.414178211328768</v>
      </c>
      <c r="E164" s="103">
        <f>+'Purchased Power Model '!E164</f>
        <v>7.5499999999999998E-2</v>
      </c>
      <c r="F164" s="57">
        <f>+'Purchased Power Model '!F164</f>
        <v>30</v>
      </c>
      <c r="G164" s="57">
        <f>+'Purchased Power Model '!G164</f>
        <v>0</v>
      </c>
      <c r="H164" s="192"/>
      <c r="I164" s="193">
        <f t="shared" ca="1" si="6"/>
        <v>1814205.3138071913</v>
      </c>
      <c r="J164" s="36"/>
      <c r="K164" s="5"/>
    </row>
    <row r="165" spans="1:11">
      <c r="A165" s="3">
        <v>42552</v>
      </c>
      <c r="C165" s="188">
        <f>+'Purchased Power Model '!C165</f>
        <v>3.8551010030454749</v>
      </c>
      <c r="D165" s="188">
        <f ca="1">+'Purchased Power Model '!D165</f>
        <v>141.47700631199265</v>
      </c>
      <c r="E165" s="103">
        <f>+'Purchased Power Model '!E165</f>
        <v>7.5499999999999998E-2</v>
      </c>
      <c r="F165" s="57">
        <f>+'Purchased Power Model '!F165</f>
        <v>31</v>
      </c>
      <c r="G165" s="57">
        <f>+'Purchased Power Model '!G165</f>
        <v>0</v>
      </c>
      <c r="H165" s="192"/>
      <c r="I165" s="193">
        <f t="shared" ca="1" si="6"/>
        <v>2262020.6186279189</v>
      </c>
      <c r="J165" s="36"/>
      <c r="K165" s="5"/>
    </row>
    <row r="166" spans="1:11">
      <c r="A166" s="3">
        <v>42583</v>
      </c>
      <c r="C166" s="188">
        <f>+'Purchased Power Model '!C166</f>
        <v>9.6377525076136852</v>
      </c>
      <c r="D166" s="188">
        <f ca="1">+'Purchased Power Model '!D166</f>
        <v>74.468351504221573</v>
      </c>
      <c r="E166" s="103">
        <f>+'Purchased Power Model '!E166</f>
        <v>7.5499999999999998E-2</v>
      </c>
      <c r="F166" s="57">
        <f>+'Purchased Power Model '!F166</f>
        <v>31</v>
      </c>
      <c r="G166" s="57">
        <f>+'Purchased Power Model '!G166</f>
        <v>0</v>
      </c>
      <c r="H166" s="192"/>
      <c r="I166" s="193">
        <f t="shared" ca="1" si="6"/>
        <v>1776610.4132964872</v>
      </c>
      <c r="J166" s="36"/>
      <c r="K166" s="5"/>
    </row>
    <row r="167" spans="1:11">
      <c r="A167" s="3">
        <v>42614</v>
      </c>
      <c r="C167" s="188">
        <f>+'Purchased Power Model '!C167</f>
        <v>84.636990203225636</v>
      </c>
      <c r="D167" s="188">
        <f ca="1">+'Purchased Power Model '!D167</f>
        <v>20.192627264529865</v>
      </c>
      <c r="E167" s="103">
        <f>+'Purchased Power Model '!E167</f>
        <v>7.5499999999999998E-2</v>
      </c>
      <c r="F167" s="57">
        <f>+'Purchased Power Model '!F167</f>
        <v>30</v>
      </c>
      <c r="G167" s="57">
        <f>+'Purchased Power Model '!G167</f>
        <v>1</v>
      </c>
      <c r="H167" s="192"/>
      <c r="I167" s="193">
        <f t="shared" ca="1" si="6"/>
        <v>2244085.7010175567</v>
      </c>
      <c r="J167" s="36"/>
      <c r="K167" s="5"/>
    </row>
    <row r="168" spans="1:11">
      <c r="A168" s="3">
        <v>42644</v>
      </c>
      <c r="C168" s="188">
        <f>+'Purchased Power Model '!C168</f>
        <v>193.63120947114768</v>
      </c>
      <c r="D168" s="188">
        <f ca="1">+'Purchased Power Model '!D168</f>
        <v>3.8584638085088909</v>
      </c>
      <c r="E168" s="103">
        <f>+'Purchased Power Model '!E168</f>
        <v>7.5499999999999998E-2</v>
      </c>
      <c r="F168" s="57">
        <f>+'Purchased Power Model '!F168</f>
        <v>31</v>
      </c>
      <c r="G168" s="57">
        <f>+'Purchased Power Model '!G168</f>
        <v>1</v>
      </c>
      <c r="H168" s="192"/>
      <c r="I168" s="193">
        <f t="shared" ca="1" si="6"/>
        <v>2142331.7747121882</v>
      </c>
      <c r="J168" s="36"/>
      <c r="K168" s="5"/>
    </row>
    <row r="169" spans="1:11">
      <c r="A169" s="3">
        <v>42675</v>
      </c>
      <c r="C169" s="188">
        <f>+'Purchased Power Model '!C169</f>
        <v>401.80666363560329</v>
      </c>
      <c r="D169" s="188">
        <f ca="1">+'Purchased Power Model '!D169</f>
        <v>0</v>
      </c>
      <c r="E169" s="103">
        <f>+'Purchased Power Model '!E169</f>
        <v>7.5499999999999998E-2</v>
      </c>
      <c r="F169" s="57">
        <f>+'Purchased Power Model '!F169</f>
        <v>30</v>
      </c>
      <c r="G169" s="57">
        <f>+'Purchased Power Model '!G169</f>
        <v>1</v>
      </c>
      <c r="H169" s="192"/>
      <c r="I169" s="193">
        <f t="shared" ca="1" si="6"/>
        <v>2795815.6361953747</v>
      </c>
      <c r="J169" s="36"/>
      <c r="K169" s="5"/>
    </row>
    <row r="170" spans="1:11">
      <c r="A170" s="3">
        <v>42705</v>
      </c>
      <c r="C170" s="188">
        <f>+'Purchased Power Model '!C170</f>
        <v>414.24812596361369</v>
      </c>
      <c r="D170" s="188">
        <f ca="1">+'Purchased Power Model '!D170</f>
        <v>0</v>
      </c>
      <c r="E170" s="103">
        <f>+'Purchased Power Model '!E170</f>
        <v>7.5499999999999998E-2</v>
      </c>
      <c r="F170" s="57">
        <f>+'Purchased Power Model '!F170</f>
        <v>31</v>
      </c>
      <c r="G170" s="57">
        <f>+'Purchased Power Model '!G170</f>
        <v>0</v>
      </c>
      <c r="H170" s="192"/>
      <c r="I170" s="193">
        <f t="shared" ca="1" si="6"/>
        <v>2118299.1516466718</v>
      </c>
      <c r="J170" s="36"/>
      <c r="K170" s="5"/>
    </row>
    <row r="171" spans="1:11">
      <c r="A171" s="3">
        <v>42736</v>
      </c>
      <c r="C171" s="188">
        <f>+'Purchased Power Model '!C171</f>
        <v>532.7157412859018</v>
      </c>
      <c r="D171" s="188">
        <f ca="1">+'Purchased Power Model '!D171</f>
        <v>0</v>
      </c>
      <c r="E171" s="103">
        <f>+'Purchased Power Model '!E171</f>
        <v>7.5499999999999998E-2</v>
      </c>
      <c r="F171" s="57">
        <f>+'Purchased Power Model '!F171</f>
        <v>31</v>
      </c>
      <c r="G171" s="57">
        <f>+'Purchased Power Model '!G171</f>
        <v>0</v>
      </c>
      <c r="H171" s="192"/>
      <c r="I171" s="193">
        <f t="shared" ca="1" si="6"/>
        <v>2380454.834640516</v>
      </c>
      <c r="J171" s="36"/>
      <c r="K171" s="5"/>
    </row>
    <row r="172" spans="1:11">
      <c r="A172" s="3">
        <v>42767</v>
      </c>
      <c r="C172" s="188">
        <f>+'Purchased Power Model '!C172</f>
        <v>529.33973967554266</v>
      </c>
      <c r="D172" s="188">
        <f ca="1">+'Purchased Power Model '!D172</f>
        <v>0</v>
      </c>
      <c r="E172" s="103">
        <f>+'Purchased Power Model '!E172</f>
        <v>7.5499999999999998E-2</v>
      </c>
      <c r="F172" s="57">
        <f>+'Purchased Power Model '!F172</f>
        <v>28</v>
      </c>
      <c r="G172" s="57">
        <f>+'Purchased Power Model '!G172</f>
        <v>0</v>
      </c>
      <c r="H172" s="192"/>
      <c r="I172" s="193">
        <f t="shared" ca="1" si="6"/>
        <v>3037490.7389725856</v>
      </c>
      <c r="J172" s="36"/>
      <c r="K172" s="5"/>
    </row>
    <row r="173" spans="1:11">
      <c r="A173" s="3">
        <v>42795</v>
      </c>
      <c r="C173" s="188">
        <f>+'Purchased Power Model '!C173</f>
        <v>471.77458401172646</v>
      </c>
      <c r="D173" s="188">
        <f ca="1">+'Purchased Power Model '!D173</f>
        <v>0</v>
      </c>
      <c r="E173" s="103">
        <f>+'Purchased Power Model '!E173</f>
        <v>7.5499999999999998E-2</v>
      </c>
      <c r="F173" s="57">
        <f>+'Purchased Power Model '!F173</f>
        <v>31</v>
      </c>
      <c r="G173" s="57">
        <f>+'Purchased Power Model '!G173</f>
        <v>1</v>
      </c>
      <c r="H173" s="192"/>
      <c r="I173" s="193">
        <f t="shared" ca="1" si="6"/>
        <v>2729144.6706063151</v>
      </c>
      <c r="J173" s="36"/>
      <c r="K173" s="5"/>
    </row>
    <row r="174" spans="1:11">
      <c r="A174" s="3">
        <v>42826</v>
      </c>
      <c r="C174" s="188">
        <f>+'Purchased Power Model '!C174</f>
        <v>317.25758722990406</v>
      </c>
      <c r="D174" s="188">
        <f ca="1">+'Purchased Power Model '!D174</f>
        <v>0</v>
      </c>
      <c r="E174" s="103">
        <f>+'Purchased Power Model '!E174</f>
        <v>7.5499999999999998E-2</v>
      </c>
      <c r="F174" s="57">
        <f>+'Purchased Power Model '!F174</f>
        <v>30</v>
      </c>
      <c r="G174" s="57">
        <f>+'Purchased Power Model '!G174</f>
        <v>1</v>
      </c>
      <c r="H174" s="192"/>
      <c r="I174" s="193">
        <f t="shared" ca="1" si="6"/>
        <v>2608717.9149207864</v>
      </c>
      <c r="J174" s="36"/>
      <c r="K174" s="5"/>
    </row>
    <row r="175" spans="1:11">
      <c r="A175" s="3">
        <v>42856</v>
      </c>
      <c r="C175" s="188">
        <f>+'Purchased Power Model '!C175</f>
        <v>115.47656790305378</v>
      </c>
      <c r="D175" s="188">
        <f ca="1">+'Purchased Power Model '!D175</f>
        <v>3.9450036888269517</v>
      </c>
      <c r="E175" s="103">
        <f>+'Purchased Power Model '!E175</f>
        <v>7.5499999999999998E-2</v>
      </c>
      <c r="F175" s="57">
        <f>+'Purchased Power Model '!F175</f>
        <v>31</v>
      </c>
      <c r="G175" s="57">
        <f>+'Purchased Power Model '!G175</f>
        <v>1</v>
      </c>
      <c r="H175" s="192"/>
      <c r="I175" s="193">
        <f t="shared" ca="1" si="6"/>
        <v>1970027.6483846793</v>
      </c>
      <c r="J175" s="36"/>
      <c r="K175" s="5"/>
    </row>
    <row r="176" spans="1:11">
      <c r="A176" s="3">
        <v>42887</v>
      </c>
      <c r="C176" s="188">
        <f>+'Purchased Power Model '!C176</f>
        <v>37.136017713950579</v>
      </c>
      <c r="D176" s="188">
        <f ca="1">+'Purchased Power Model '!D176</f>
        <v>42.343039593409287</v>
      </c>
      <c r="E176" s="103">
        <f>+'Purchased Power Model '!E176</f>
        <v>7.5499999999999998E-2</v>
      </c>
      <c r="F176" s="57">
        <f>+'Purchased Power Model '!F176</f>
        <v>30</v>
      </c>
      <c r="G176" s="57">
        <f>+'Purchased Power Model '!G176</f>
        <v>0</v>
      </c>
      <c r="H176" s="192"/>
      <c r="I176" s="193">
        <f t="shared" ca="1" si="6"/>
        <v>1820112.8664031252</v>
      </c>
      <c r="J176" s="36"/>
      <c r="K176" s="5"/>
    </row>
    <row r="177" spans="1:11">
      <c r="A177" s="3">
        <v>42917</v>
      </c>
      <c r="C177" s="188">
        <f>+'Purchased Power Model '!C177</f>
        <v>3.8088223296359573</v>
      </c>
      <c r="D177" s="188">
        <f ca="1">+'Purchased Power Model '!D177</f>
        <v>144.65013525698822</v>
      </c>
      <c r="E177" s="103">
        <f>+'Purchased Power Model '!E177</f>
        <v>7.5499999999999998E-2</v>
      </c>
      <c r="F177" s="57">
        <f>+'Purchased Power Model '!F177</f>
        <v>31</v>
      </c>
      <c r="G177" s="57">
        <f>+'Purchased Power Model '!G177</f>
        <v>0</v>
      </c>
      <c r="H177" s="192"/>
      <c r="I177" s="193">
        <f t="shared" ca="1" si="6"/>
        <v>2285510.2912526336</v>
      </c>
      <c r="J177" s="36"/>
      <c r="K177" s="5"/>
    </row>
    <row r="178" spans="1:11">
      <c r="A178" s="3">
        <v>42948</v>
      </c>
      <c r="C178" s="188">
        <f>+'Purchased Power Model '!C178</f>
        <v>9.5220558240898914</v>
      </c>
      <c r="D178" s="188">
        <f ca="1">+'Purchased Power Model '!D178</f>
        <v>76.138571194360154</v>
      </c>
      <c r="E178" s="103">
        <f>+'Purchased Power Model '!E178</f>
        <v>7.5499999999999998E-2</v>
      </c>
      <c r="F178" s="57">
        <f>+'Purchased Power Model '!F178</f>
        <v>31</v>
      </c>
      <c r="G178" s="57">
        <f>+'Purchased Power Model '!G178</f>
        <v>0</v>
      </c>
      <c r="H178" s="192"/>
      <c r="I178" s="193">
        <f t="shared" ca="1" si="6"/>
        <v>1788772.4035500232</v>
      </c>
      <c r="J178" s="36"/>
      <c r="K178" s="5"/>
    </row>
    <row r="179" spans="1:11">
      <c r="A179" s="3">
        <v>42979</v>
      </c>
      <c r="C179" s="188">
        <f>+'Purchased Power Model '!C179</f>
        <v>83.620962964280309</v>
      </c>
      <c r="D179" s="188">
        <f ca="1">+'Purchased Power Model '!D179</f>
        <v>20.64551930486105</v>
      </c>
      <c r="E179" s="103">
        <f>+'Purchased Power Model '!E179</f>
        <v>7.5499999999999998E-2</v>
      </c>
      <c r="F179" s="57">
        <f>+'Purchased Power Model '!F179</f>
        <v>30</v>
      </c>
      <c r="G179" s="57">
        <f>+'Purchased Power Model '!G179</f>
        <v>1</v>
      </c>
      <c r="H179" s="192"/>
      <c r="I179" s="193">
        <f t="shared" ca="1" si="6"/>
        <v>2245204.5790643953</v>
      </c>
      <c r="J179" s="36"/>
      <c r="K179" s="5"/>
    </row>
    <row r="180" spans="1:11">
      <c r="A180" s="3">
        <v>43009</v>
      </c>
      <c r="C180" s="188">
        <f>+'Purchased Power Model '!C180</f>
        <v>191.30675792035146</v>
      </c>
      <c r="D180" s="188">
        <f ca="1">+'Purchased Power Model '!D180</f>
        <v>3.9450036888269517</v>
      </c>
      <c r="E180" s="103">
        <f>+'Purchased Power Model '!E180</f>
        <v>7.5499999999999998E-2</v>
      </c>
      <c r="F180" s="57">
        <f>+'Purchased Power Model '!F180</f>
        <v>31</v>
      </c>
      <c r="G180" s="57">
        <f>+'Purchased Power Model '!G180</f>
        <v>1</v>
      </c>
      <c r="H180" s="192"/>
      <c r="I180" s="193">
        <f t="shared" ca="1" si="6"/>
        <v>2137831.4418640733</v>
      </c>
      <c r="J180" s="36"/>
      <c r="K180" s="5"/>
    </row>
    <row r="181" spans="1:11">
      <c r="A181" s="3">
        <v>43040</v>
      </c>
      <c r="C181" s="188">
        <f>+'Purchased Power Model '!C181</f>
        <v>396.98316372069308</v>
      </c>
      <c r="D181" s="188">
        <f ca="1">+'Purchased Power Model '!D181</f>
        <v>0</v>
      </c>
      <c r="E181" s="103">
        <f>+'Purchased Power Model '!E181</f>
        <v>7.5499999999999998E-2</v>
      </c>
      <c r="F181" s="57">
        <f>+'Purchased Power Model '!F181</f>
        <v>30</v>
      </c>
      <c r="G181" s="57">
        <f>+'Purchased Power Model '!G181</f>
        <v>1</v>
      </c>
      <c r="H181" s="192"/>
      <c r="I181" s="193">
        <f t="shared" ca="1" si="6"/>
        <v>2785141.7662843969</v>
      </c>
      <c r="J181" s="36"/>
      <c r="K181" s="5"/>
    </row>
    <row r="182" spans="1:11">
      <c r="A182" s="3">
        <v>43070</v>
      </c>
      <c r="C182" s="188">
        <f>+'Purchased Power Model '!C182</f>
        <v>409.27527214815461</v>
      </c>
      <c r="D182" s="188">
        <f ca="1">+'Purchased Power Model '!D182</f>
        <v>0</v>
      </c>
      <c r="E182" s="103">
        <f>+'Purchased Power Model '!E182</f>
        <v>7.5499999999999998E-2</v>
      </c>
      <c r="F182" s="57">
        <f>+'Purchased Power Model '!F182</f>
        <v>31</v>
      </c>
      <c r="G182" s="57">
        <f>+'Purchased Power Model '!G182</f>
        <v>0</v>
      </c>
      <c r="H182" s="192"/>
      <c r="I182" s="193">
        <f t="shared" ca="1" si="6"/>
        <v>2107294.7781318184</v>
      </c>
      <c r="J182" s="36"/>
      <c r="K182" s="5"/>
    </row>
    <row r="183" spans="1:11">
      <c r="A183" s="3">
        <v>43101</v>
      </c>
      <c r="C183" s="188">
        <f>+'Purchased Power Model '!C183</f>
        <v>526.24303773676161</v>
      </c>
      <c r="D183" s="188">
        <f ca="1">+'Purchased Power Model '!D183</f>
        <v>0</v>
      </c>
      <c r="E183" s="103">
        <f>+'Purchased Power Model '!E183</f>
        <v>7.5499999999999998E-2</v>
      </c>
      <c r="F183" s="57">
        <f>+'Purchased Power Model '!F183</f>
        <v>31</v>
      </c>
      <c r="G183" s="57">
        <f>+'Purchased Power Model '!G183</f>
        <v>0</v>
      </c>
      <c r="H183" s="192"/>
      <c r="I183" s="193">
        <f t="shared" ca="1" si="6"/>
        <v>2366131.4601459298</v>
      </c>
      <c r="J183" s="36"/>
      <c r="K183" s="5"/>
    </row>
    <row r="184" spans="1:11">
      <c r="A184" s="3">
        <v>43132</v>
      </c>
      <c r="C184" s="188">
        <f>+'Purchased Power Model '!C184</f>
        <v>522.90805585965177</v>
      </c>
      <c r="D184" s="188">
        <f ca="1">+'Purchased Power Model '!D184</f>
        <v>0</v>
      </c>
      <c r="E184" s="103">
        <f>+'Purchased Power Model '!E184</f>
        <v>7.5499999999999998E-2</v>
      </c>
      <c r="F184" s="57">
        <f>+'Purchased Power Model '!F184</f>
        <v>28</v>
      </c>
      <c r="G184" s="57">
        <f>+'Purchased Power Model '!G184</f>
        <v>0</v>
      </c>
      <c r="H184" s="192"/>
      <c r="I184" s="193">
        <f t="shared" ca="1" si="6"/>
        <v>3023258.1365945563</v>
      </c>
      <c r="J184" s="36"/>
      <c r="K184" s="5"/>
    </row>
    <row r="185" spans="1:11">
      <c r="A185" s="3">
        <v>43160</v>
      </c>
      <c r="C185" s="188">
        <f>+'Purchased Power Model '!C185</f>
        <v>466.04233923713849</v>
      </c>
      <c r="D185" s="188">
        <f ca="1">+'Purchased Power Model '!D185</f>
        <v>0</v>
      </c>
      <c r="E185" s="103">
        <f>+'Purchased Power Model '!E185</f>
        <v>7.5499999999999998E-2</v>
      </c>
      <c r="F185" s="57">
        <f>+'Purchased Power Model '!F185</f>
        <v>31</v>
      </c>
      <c r="G185" s="57">
        <f>+'Purchased Power Model '!G185</f>
        <v>1</v>
      </c>
      <c r="H185" s="192"/>
      <c r="I185" s="193">
        <f t="shared" ca="1" si="6"/>
        <v>2716459.8491900824</v>
      </c>
      <c r="J185" s="36"/>
      <c r="K185" s="5"/>
    </row>
    <row r="186" spans="1:11">
      <c r="A186" s="3">
        <v>43191</v>
      </c>
      <c r="C186" s="188">
        <f>+'Purchased Power Model '!C186</f>
        <v>313.40278409249765</v>
      </c>
      <c r="D186" s="188">
        <f ca="1">+'Purchased Power Model '!D186</f>
        <v>0</v>
      </c>
      <c r="E186" s="103">
        <f>+'Purchased Power Model '!E186</f>
        <v>7.5499999999999998E-2</v>
      </c>
      <c r="F186" s="57">
        <f>+'Purchased Power Model '!F186</f>
        <v>30</v>
      </c>
      <c r="G186" s="57">
        <f>+'Purchased Power Model '!G186</f>
        <v>1</v>
      </c>
      <c r="H186" s="192"/>
      <c r="I186" s="193">
        <f t="shared" ca="1" si="6"/>
        <v>2600187.6634546425</v>
      </c>
      <c r="J186" s="36"/>
      <c r="K186" s="5"/>
    </row>
    <row r="187" spans="1:11">
      <c r="A187" s="3">
        <v>43221</v>
      </c>
      <c r="C187" s="188">
        <f>+'Purchased Power Model '!C187</f>
        <v>114.07348266831977</v>
      </c>
      <c r="D187" s="188">
        <f ca="1">+'Purchased Power Model '!D187</f>
        <v>4.0315435691450112</v>
      </c>
      <c r="E187" s="103">
        <f>+'Purchased Power Model '!E187</f>
        <v>7.5499999999999998E-2</v>
      </c>
      <c r="F187" s="57">
        <f>+'Purchased Power Model '!F187</f>
        <v>31</v>
      </c>
      <c r="G187" s="57">
        <f>+'Purchased Power Model '!G187</f>
        <v>1</v>
      </c>
      <c r="H187" s="192"/>
      <c r="I187" s="193">
        <f t="shared" ca="1" si="6"/>
        <v>1967566.1969238336</v>
      </c>
      <c r="J187" s="36"/>
      <c r="K187" s="5"/>
    </row>
    <row r="188" spans="1:11">
      <c r="A188" s="3">
        <v>43252</v>
      </c>
      <c r="C188" s="188">
        <f>+'Purchased Power Model '!C188</f>
        <v>36.684800648207784</v>
      </c>
      <c r="D188" s="188">
        <f ca="1">+'Purchased Power Model '!D188</f>
        <v>43.271900975489793</v>
      </c>
      <c r="E188" s="103">
        <f>+'Purchased Power Model '!E188</f>
        <v>7.5499999999999998E-2</v>
      </c>
      <c r="F188" s="57">
        <f>+'Purchased Power Model '!F188</f>
        <v>30</v>
      </c>
      <c r="G188" s="57">
        <f>+'Purchased Power Model '!G188</f>
        <v>0</v>
      </c>
      <c r="H188" s="192"/>
      <c r="I188" s="193">
        <f t="shared" ca="1" si="6"/>
        <v>1826020.4189990573</v>
      </c>
      <c r="J188" s="36"/>
      <c r="K188" s="5"/>
    </row>
    <row r="189" spans="1:11">
      <c r="A189" s="3">
        <v>43282</v>
      </c>
      <c r="C189" s="188">
        <f>+'Purchased Power Model '!C189</f>
        <v>3.7625436562264398</v>
      </c>
      <c r="D189" s="188">
        <f ca="1">+'Purchased Power Model '!D189</f>
        <v>147.82326420198373</v>
      </c>
      <c r="E189" s="103">
        <f>+'Purchased Power Model '!E189</f>
        <v>7.5499999999999998E-2</v>
      </c>
      <c r="F189" s="57">
        <f>+'Purchased Power Model '!F189</f>
        <v>31</v>
      </c>
      <c r="G189" s="57">
        <f>+'Purchased Power Model '!G189</f>
        <v>0</v>
      </c>
      <c r="H189" s="192"/>
      <c r="I189" s="193">
        <f t="shared" ca="1" si="6"/>
        <v>2308999.9638773482</v>
      </c>
      <c r="J189" s="36"/>
      <c r="K189" s="5"/>
    </row>
    <row r="190" spans="1:11">
      <c r="A190" s="3">
        <v>43313</v>
      </c>
      <c r="C190" s="188">
        <f>+'Purchased Power Model '!C190</f>
        <v>9.4063591405660976</v>
      </c>
      <c r="D190" s="188">
        <f ca="1">+'Purchased Power Model '!D190</f>
        <v>77.808790884498691</v>
      </c>
      <c r="E190" s="103">
        <f>+'Purchased Power Model '!E190</f>
        <v>7.5499999999999998E-2</v>
      </c>
      <c r="F190" s="57">
        <f>+'Purchased Power Model '!F190</f>
        <v>31</v>
      </c>
      <c r="G190" s="57">
        <f>+'Purchased Power Model '!G190</f>
        <v>0</v>
      </c>
      <c r="H190" s="192"/>
      <c r="I190" s="193">
        <f t="shared" ca="1" si="6"/>
        <v>1800934.3938035611</v>
      </c>
      <c r="J190" s="36"/>
      <c r="K190" s="5"/>
    </row>
    <row r="191" spans="1:11">
      <c r="A191" s="3">
        <v>43344</v>
      </c>
      <c r="C191" s="188">
        <f>+'Purchased Power Model '!C191</f>
        <v>82.604935725334997</v>
      </c>
      <c r="D191" s="188">
        <f ca="1">+'Purchased Power Model '!D191</f>
        <v>21.098411345192229</v>
      </c>
      <c r="E191" s="103">
        <f>+'Purchased Power Model '!E191</f>
        <v>7.5499999999999998E-2</v>
      </c>
      <c r="F191" s="57">
        <f>+'Purchased Power Model '!F191</f>
        <v>30</v>
      </c>
      <c r="G191" s="57">
        <f>+'Purchased Power Model '!G191</f>
        <v>1</v>
      </c>
      <c r="H191" s="192"/>
      <c r="I191" s="193">
        <f t="shared" ca="1" si="6"/>
        <v>2246323.4571112338</v>
      </c>
      <c r="J191" s="36"/>
      <c r="K191" s="5"/>
    </row>
    <row r="192" spans="1:11">
      <c r="A192" s="3">
        <v>43374</v>
      </c>
      <c r="C192" s="188">
        <f>+'Purchased Power Model '!C192</f>
        <v>188.98230636955523</v>
      </c>
      <c r="D192" s="188">
        <f ca="1">+'Purchased Power Model '!D192</f>
        <v>4.0315435691450112</v>
      </c>
      <c r="E192" s="103">
        <f>+'Purchased Power Model '!E192</f>
        <v>7.5499999999999998E-2</v>
      </c>
      <c r="F192" s="57">
        <f>+'Purchased Power Model '!F192</f>
        <v>31</v>
      </c>
      <c r="G192" s="57">
        <f>+'Purchased Power Model '!G192</f>
        <v>1</v>
      </c>
      <c r="H192" s="192"/>
      <c r="I192" s="193">
        <f t="shared" ca="1" si="6"/>
        <v>2133331.1090159584</v>
      </c>
      <c r="J192" s="36"/>
      <c r="K192" s="5"/>
    </row>
    <row r="193" spans="1:11">
      <c r="A193" s="3">
        <v>43405</v>
      </c>
      <c r="C193" s="188">
        <f>+'Purchased Power Model '!C193</f>
        <v>392.15966380578294</v>
      </c>
      <c r="D193" s="188">
        <f ca="1">+'Purchased Power Model '!D193</f>
        <v>0</v>
      </c>
      <c r="E193" s="103">
        <f>+'Purchased Power Model '!E193</f>
        <v>7.5499999999999998E-2</v>
      </c>
      <c r="F193" s="57">
        <f>+'Purchased Power Model '!F193</f>
        <v>30</v>
      </c>
      <c r="G193" s="57">
        <f>+'Purchased Power Model '!G193</f>
        <v>1</v>
      </c>
      <c r="H193" s="192"/>
      <c r="I193" s="193">
        <f t="shared" ca="1" si="6"/>
        <v>2774467.8963734191</v>
      </c>
      <c r="J193" s="36"/>
      <c r="K193" s="5"/>
    </row>
    <row r="194" spans="1:11">
      <c r="A194" s="3">
        <v>43435</v>
      </c>
      <c r="C194" s="188">
        <f>+'Purchased Power Model '!C194</f>
        <v>404.30241833269554</v>
      </c>
      <c r="D194" s="188">
        <f ca="1">+'Purchased Power Model '!D194</f>
        <v>0</v>
      </c>
      <c r="E194" s="103">
        <f>+'Purchased Power Model '!E194</f>
        <v>7.5499999999999998E-2</v>
      </c>
      <c r="F194" s="57">
        <f>+'Purchased Power Model '!F194</f>
        <v>31</v>
      </c>
      <c r="G194" s="57">
        <f>+'Purchased Power Model '!G194</f>
        <v>0</v>
      </c>
      <c r="H194" s="192"/>
      <c r="I194" s="193">
        <f t="shared" ca="1" si="6"/>
        <v>2096290.4046169687</v>
      </c>
      <c r="J194" s="36"/>
      <c r="K194" s="5"/>
    </row>
    <row r="195" spans="1:11">
      <c r="A195" s="3">
        <v>43466</v>
      </c>
      <c r="C195" s="188">
        <f>+'Purchased Power Model '!C195</f>
        <v>519.7703341876213</v>
      </c>
      <c r="D195" s="188">
        <f ca="1">+'Purchased Power Model '!D195</f>
        <v>0</v>
      </c>
      <c r="E195" s="103">
        <f>+'Purchased Power Model '!E195</f>
        <v>7.5499999999999998E-2</v>
      </c>
      <c r="F195" s="57">
        <f>+'Purchased Power Model '!F195</f>
        <v>31</v>
      </c>
      <c r="G195" s="57">
        <f>+'Purchased Power Model '!G195</f>
        <v>0</v>
      </c>
      <c r="H195" s="192"/>
      <c r="I195" s="193">
        <f t="shared" ca="1" si="6"/>
        <v>2351808.0856513437</v>
      </c>
      <c r="J195" s="36"/>
      <c r="K195" s="5"/>
    </row>
    <row r="196" spans="1:11">
      <c r="A196" s="3">
        <v>43497</v>
      </c>
      <c r="C196" s="188">
        <f>+'Purchased Power Model '!C196</f>
        <v>516.47637204376076</v>
      </c>
      <c r="D196" s="188">
        <f ca="1">+'Purchased Power Model '!D196</f>
        <v>0</v>
      </c>
      <c r="E196" s="103">
        <f>+'Purchased Power Model '!E196</f>
        <v>7.5499999999999998E-2</v>
      </c>
      <c r="F196" s="57">
        <f>+'Purchased Power Model '!F196</f>
        <v>28</v>
      </c>
      <c r="G196" s="57">
        <f>+'Purchased Power Model '!G196</f>
        <v>0</v>
      </c>
      <c r="H196" s="192"/>
      <c r="I196" s="193">
        <f t="shared" ref="I196:I206" ca="1" si="11">$N$18+C196*$N$19+D196*$N$20+E196*$N$21+F196*$N$22+G196*$N$23+H196*$N$24</f>
        <v>3009025.5342165269</v>
      </c>
      <c r="J196" s="36"/>
      <c r="K196" s="5"/>
    </row>
    <row r="197" spans="1:11">
      <c r="A197" s="3">
        <v>43525</v>
      </c>
      <c r="C197" s="188">
        <f>+'Purchased Power Model '!C197</f>
        <v>460.31009446255047</v>
      </c>
      <c r="D197" s="188">
        <f ca="1">+'Purchased Power Model '!D197</f>
        <v>0</v>
      </c>
      <c r="E197" s="103">
        <f>+'Purchased Power Model '!E197</f>
        <v>7.5499999999999998E-2</v>
      </c>
      <c r="F197" s="57">
        <f>+'Purchased Power Model '!F197</f>
        <v>31</v>
      </c>
      <c r="G197" s="57">
        <f>+'Purchased Power Model '!G197</f>
        <v>1</v>
      </c>
      <c r="H197" s="192"/>
      <c r="I197" s="193">
        <f t="shared" ca="1" si="11"/>
        <v>2703775.0277738534</v>
      </c>
      <c r="J197" s="36"/>
      <c r="K197" s="5"/>
    </row>
    <row r="198" spans="1:11">
      <c r="A198" s="3">
        <v>43556</v>
      </c>
      <c r="C198" s="188">
        <f>+'Purchased Power Model '!C198</f>
        <v>309.54798095509119</v>
      </c>
      <c r="D198" s="188">
        <f ca="1">+'Purchased Power Model '!D198</f>
        <v>0</v>
      </c>
      <c r="E198" s="103">
        <f>+'Purchased Power Model '!E198</f>
        <v>7.5499999999999998E-2</v>
      </c>
      <c r="F198" s="57">
        <f>+'Purchased Power Model '!F198</f>
        <v>30</v>
      </c>
      <c r="G198" s="57">
        <f>+'Purchased Power Model '!G198</f>
        <v>1</v>
      </c>
      <c r="H198" s="192"/>
      <c r="I198" s="193">
        <f t="shared" ca="1" si="11"/>
        <v>2591657.4119884986</v>
      </c>
      <c r="J198" s="36"/>
      <c r="K198" s="5"/>
    </row>
    <row r="199" spans="1:11">
      <c r="A199" s="3">
        <v>43586</v>
      </c>
      <c r="C199" s="188">
        <f>+'Purchased Power Model '!C199</f>
        <v>112.67039743358573</v>
      </c>
      <c r="D199" s="188">
        <f ca="1">+'Purchased Power Model '!D199</f>
        <v>4.1180834494630707</v>
      </c>
      <c r="E199" s="103">
        <f>+'Purchased Power Model '!E199</f>
        <v>7.5499999999999998E-2</v>
      </c>
      <c r="F199" s="57">
        <f>+'Purchased Power Model '!F199</f>
        <v>31</v>
      </c>
      <c r="G199" s="57">
        <f>+'Purchased Power Model '!G199</f>
        <v>1</v>
      </c>
      <c r="H199" s="192"/>
      <c r="I199" s="193">
        <f t="shared" ca="1" si="11"/>
        <v>1965104.7454629878</v>
      </c>
      <c r="J199" s="36"/>
      <c r="K199" s="5"/>
    </row>
    <row r="200" spans="1:11">
      <c r="A200" s="3">
        <v>43617</v>
      </c>
      <c r="C200" s="188">
        <f>+'Purchased Power Model '!C200</f>
        <v>36.233583582464981</v>
      </c>
      <c r="D200" s="188">
        <f ca="1">+'Purchased Power Model '!D200</f>
        <v>44.200762357570305</v>
      </c>
      <c r="E200" s="103">
        <f>+'Purchased Power Model '!E200</f>
        <v>7.5499999999999998E-2</v>
      </c>
      <c r="F200" s="57">
        <f>+'Purchased Power Model '!F200</f>
        <v>30</v>
      </c>
      <c r="G200" s="57">
        <f>+'Purchased Power Model '!G200</f>
        <v>0</v>
      </c>
      <c r="H200" s="192"/>
      <c r="I200" s="193">
        <f t="shared" ca="1" si="11"/>
        <v>1831927.9715949912</v>
      </c>
      <c r="J200" s="36"/>
      <c r="K200" s="5"/>
    </row>
    <row r="201" spans="1:11">
      <c r="A201" s="3">
        <v>43647</v>
      </c>
      <c r="C201" s="188">
        <f>+'Purchased Power Model '!C201</f>
        <v>3.7162649828169214</v>
      </c>
      <c r="D201" s="188">
        <f ca="1">+'Purchased Power Model '!D201</f>
        <v>150.99639314697927</v>
      </c>
      <c r="E201" s="103">
        <f>+'Purchased Power Model '!E201</f>
        <v>7.5499999999999998E-2</v>
      </c>
      <c r="F201" s="57">
        <f>+'Purchased Power Model '!F201</f>
        <v>31</v>
      </c>
      <c r="G201" s="57">
        <f>+'Purchased Power Model '!G201</f>
        <v>0</v>
      </c>
      <c r="H201" s="192"/>
      <c r="I201" s="193">
        <f t="shared" ca="1" si="11"/>
        <v>2332489.6365020629</v>
      </c>
      <c r="J201" s="36"/>
      <c r="K201" s="5"/>
    </row>
    <row r="202" spans="1:11">
      <c r="A202" s="3">
        <v>43678</v>
      </c>
      <c r="C202" s="188">
        <f>+'Purchased Power Model '!C202</f>
        <v>9.290662457042302</v>
      </c>
      <c r="D202" s="188">
        <f ca="1">+'Purchased Power Model '!D202</f>
        <v>79.479010574637257</v>
      </c>
      <c r="E202" s="103">
        <f>+'Purchased Power Model '!E202</f>
        <v>7.5499999999999998E-2</v>
      </c>
      <c r="F202" s="57">
        <f>+'Purchased Power Model '!F202</f>
        <v>31</v>
      </c>
      <c r="G202" s="57">
        <f>+'Purchased Power Model '!G202</f>
        <v>0</v>
      </c>
      <c r="H202" s="192"/>
      <c r="I202" s="193">
        <f t="shared" ca="1" si="11"/>
        <v>1813096.3840570971</v>
      </c>
      <c r="J202" s="36"/>
      <c r="K202" s="5"/>
    </row>
    <row r="203" spans="1:11">
      <c r="A203" s="3">
        <v>43709</v>
      </c>
      <c r="C203" s="188">
        <f>+'Purchased Power Model '!C203</f>
        <v>81.58890848638967</v>
      </c>
      <c r="D203" s="188">
        <f ca="1">+'Purchased Power Model '!D203</f>
        <v>21.551303385523408</v>
      </c>
      <c r="E203" s="103">
        <f>+'Purchased Power Model '!E203</f>
        <v>7.5499999999999998E-2</v>
      </c>
      <c r="F203" s="57">
        <f>+'Purchased Power Model '!F203</f>
        <v>30</v>
      </c>
      <c r="G203" s="57">
        <f>+'Purchased Power Model '!G203</f>
        <v>1</v>
      </c>
      <c r="H203" s="192"/>
      <c r="I203" s="193">
        <f t="shared" ca="1" si="11"/>
        <v>2247442.3351580705</v>
      </c>
      <c r="J203" s="36"/>
      <c r="K203" s="5"/>
    </row>
    <row r="204" spans="1:11">
      <c r="A204" s="3">
        <v>43739</v>
      </c>
      <c r="C204" s="188">
        <f>+'Purchased Power Model '!C204</f>
        <v>186.65785481875898</v>
      </c>
      <c r="D204" s="188">
        <f ca="1">+'Purchased Power Model '!D204</f>
        <v>4.1180834494630707</v>
      </c>
      <c r="E204" s="103">
        <f>+'Purchased Power Model '!E204</f>
        <v>7.5499999999999998E-2</v>
      </c>
      <c r="F204" s="57">
        <f>+'Purchased Power Model '!F204</f>
        <v>31</v>
      </c>
      <c r="G204" s="57">
        <f>+'Purchased Power Model '!G204</f>
        <v>1</v>
      </c>
      <c r="H204" s="192"/>
      <c r="I204" s="193">
        <f t="shared" ca="1" si="11"/>
        <v>2128830.7761678435</v>
      </c>
      <c r="J204" s="36"/>
      <c r="K204" s="5"/>
    </row>
    <row r="205" spans="1:11">
      <c r="A205" s="3">
        <v>43770</v>
      </c>
      <c r="C205" s="188">
        <f>+'Purchased Power Model '!C205</f>
        <v>387.33616389087268</v>
      </c>
      <c r="D205" s="188">
        <f ca="1">+'Purchased Power Model '!D205</f>
        <v>0</v>
      </c>
      <c r="E205" s="103">
        <f>+'Purchased Power Model '!E205</f>
        <v>7.5499999999999998E-2</v>
      </c>
      <c r="F205" s="57">
        <f>+'Purchased Power Model '!F205</f>
        <v>30</v>
      </c>
      <c r="G205" s="57">
        <f>+'Purchased Power Model '!G205</f>
        <v>1</v>
      </c>
      <c r="H205" s="192"/>
      <c r="I205" s="193">
        <f t="shared" ca="1" si="11"/>
        <v>2763794.0264624376</v>
      </c>
      <c r="J205" s="36"/>
      <c r="K205" s="5"/>
    </row>
    <row r="206" spans="1:11">
      <c r="A206" s="3">
        <v>43800</v>
      </c>
      <c r="C206" s="188">
        <f>+'Purchased Power Model '!C206</f>
        <v>399.32956451723641</v>
      </c>
      <c r="D206" s="188">
        <f ca="1">+'Purchased Power Model '!D206</f>
        <v>0</v>
      </c>
      <c r="E206" s="103">
        <f>+'Purchased Power Model '!E206</f>
        <v>7.5499999999999998E-2</v>
      </c>
      <c r="F206" s="57">
        <f>+'Purchased Power Model '!F206</f>
        <v>31</v>
      </c>
      <c r="G206" s="57">
        <f>+'Purchased Power Model '!G206</f>
        <v>0</v>
      </c>
      <c r="H206" s="192"/>
      <c r="I206" s="193">
        <f t="shared" ca="1" si="11"/>
        <v>2085286.0311021153</v>
      </c>
      <c r="J206" s="36"/>
      <c r="K206" s="5"/>
    </row>
    <row r="207" spans="1:11">
      <c r="A207" s="3"/>
      <c r="J207" s="11"/>
      <c r="K207" s="11"/>
    </row>
    <row r="208" spans="1:11">
      <c r="A208" s="3"/>
      <c r="C208" s="18"/>
      <c r="D208" s="63" t="s">
        <v>60</v>
      </c>
      <c r="I208" s="47">
        <f ca="1">SUM(I3:I206)</f>
        <v>870356181.84930301</v>
      </c>
    </row>
    <row r="209" spans="1:11">
      <c r="A209" s="3"/>
      <c r="C209" s="23"/>
      <c r="D209" s="23"/>
      <c r="F209" s="180"/>
      <c r="G209" s="180"/>
      <c r="H209"/>
      <c r="I209" s="180"/>
      <c r="J209" s="36"/>
      <c r="K209" s="5" t="s">
        <v>196</v>
      </c>
    </row>
    <row r="210" spans="1:11">
      <c r="A210" s="16">
        <v>2003</v>
      </c>
      <c r="B210" s="6">
        <f>SUM(B3:B14)</f>
        <v>169257212.5</v>
      </c>
      <c r="C210" s="107"/>
      <c r="D210" s="23" t="s">
        <v>195</v>
      </c>
      <c r="E210" s="108" t="s">
        <v>107</v>
      </c>
      <c r="F210" s="180"/>
      <c r="G210" s="180"/>
      <c r="H210"/>
      <c r="I210" s="6">
        <f>SUM(I3:I14)</f>
        <v>109580182.64169255</v>
      </c>
      <c r="J210" s="36">
        <f>I210-B210</f>
        <v>-59677029.858307451</v>
      </c>
      <c r="K210" s="5">
        <f>J210/B210</f>
        <v>-0.35258190169182568</v>
      </c>
    </row>
    <row r="211" spans="1:11">
      <c r="A211">
        <v>2004</v>
      </c>
      <c r="B211" s="6">
        <f>SUM(B15:B26)</f>
        <v>112144196</v>
      </c>
      <c r="C211" s="107">
        <f>+B211-B210</f>
        <v>-57113016.5</v>
      </c>
      <c r="D211" s="109">
        <f>+C211/B210</f>
        <v>-0.33743328072356149</v>
      </c>
      <c r="E211" s="109">
        <f>RATE(1,0,-B$210,B211)</f>
        <v>-0.33743328072356149</v>
      </c>
      <c r="F211" s="180"/>
      <c r="G211" s="180"/>
      <c r="H211"/>
      <c r="I211" s="6">
        <f>SUM(I15:I26)</f>
        <v>105490037.12089352</v>
      </c>
      <c r="J211" s="36">
        <f t="shared" ref="J211:J226" si="12">I211-B211</f>
        <v>-6654158.8791064769</v>
      </c>
      <c r="K211" s="5">
        <f t="shared" ref="K211:K226" si="13">J211/B211</f>
        <v>-5.9335740202787465E-2</v>
      </c>
    </row>
    <row r="212" spans="1:11">
      <c r="A212" s="16">
        <v>2005</v>
      </c>
      <c r="B212" s="6">
        <f>SUM(B27:B38)</f>
        <v>62904833</v>
      </c>
      <c r="C212" s="107">
        <f t="shared" ref="C212:C226" si="14">+B212-B211</f>
        <v>-49239363</v>
      </c>
      <c r="D212" s="109">
        <f t="shared" ref="D212:D226" si="15">+C212/B211</f>
        <v>-0.43907188027813765</v>
      </c>
      <c r="E212" s="109">
        <f>RATE(2,0,-B$210,B212)</f>
        <v>-0.39036707435210188</v>
      </c>
      <c r="F212" s="180"/>
      <c r="G212" s="180"/>
      <c r="H212"/>
      <c r="I212" s="6">
        <f>SUM(I27:I38)</f>
        <v>81819638.09363465</v>
      </c>
      <c r="J212" s="36">
        <f t="shared" si="12"/>
        <v>18914805.09363465</v>
      </c>
      <c r="K212" s="5">
        <f t="shared" si="13"/>
        <v>0.30068921880191068</v>
      </c>
    </row>
    <row r="213" spans="1:11">
      <c r="A213">
        <v>2006</v>
      </c>
      <c r="B213" s="6">
        <f>SUM(B39:B50)</f>
        <v>59654446</v>
      </c>
      <c r="C213" s="107">
        <f t="shared" si="14"/>
        <v>-3250387</v>
      </c>
      <c r="D213" s="109">
        <f t="shared" si="15"/>
        <v>-5.1671498754316703E-2</v>
      </c>
      <c r="E213" s="109">
        <f>RATE(3,0,-B$210,B213)</f>
        <v>-0.29363059957985366</v>
      </c>
      <c r="F213" s="180"/>
      <c r="G213" s="180"/>
      <c r="H213"/>
      <c r="I213" s="6">
        <f>SUM(I39:I50)</f>
        <v>78371718.237220004</v>
      </c>
      <c r="J213" s="36">
        <f t="shared" si="12"/>
        <v>18717272.237220004</v>
      </c>
      <c r="K213" s="5">
        <f t="shared" si="13"/>
        <v>0.31376156334131416</v>
      </c>
    </row>
    <row r="214" spans="1:11">
      <c r="A214" s="16">
        <v>2007</v>
      </c>
      <c r="B214" s="6">
        <f>SUM(B51:B62)</f>
        <v>61811846</v>
      </c>
      <c r="C214" s="107">
        <f t="shared" si="14"/>
        <v>2157400</v>
      </c>
      <c r="D214" s="109">
        <f t="shared" si="15"/>
        <v>3.6164949046714807E-2</v>
      </c>
      <c r="E214" s="109">
        <f>RATE(4,0,-B$210,B214)</f>
        <v>-0.2226239929459839</v>
      </c>
      <c r="F214" s="180"/>
      <c r="G214" s="180"/>
      <c r="H214"/>
      <c r="I214" s="6">
        <f>SUM(I51:I62)</f>
        <v>82192863.342727825</v>
      </c>
      <c r="J214" s="36">
        <f t="shared" si="12"/>
        <v>20381017.342727825</v>
      </c>
      <c r="K214" s="5">
        <f t="shared" si="13"/>
        <v>0.32972672168256917</v>
      </c>
    </row>
    <row r="215" spans="1:11">
      <c r="A215">
        <v>2008</v>
      </c>
      <c r="B215" s="6">
        <f>SUM(B63:B74)</f>
        <v>46461021</v>
      </c>
      <c r="C215" s="107">
        <f t="shared" si="14"/>
        <v>-15350825</v>
      </c>
      <c r="D215" s="109">
        <f t="shared" si="15"/>
        <v>-0.24834762255765666</v>
      </c>
      <c r="E215" s="109">
        <f>RATE(5,0,-B$210,B215)</f>
        <v>-0.22783819926497662</v>
      </c>
      <c r="F215" s="180"/>
      <c r="G215" s="180"/>
      <c r="H215"/>
      <c r="I215" s="6">
        <f>SUM(I63:I74)</f>
        <v>75424456.288610861</v>
      </c>
      <c r="J215" s="36">
        <f t="shared" si="12"/>
        <v>28963435.288610861</v>
      </c>
      <c r="K215" s="5">
        <f t="shared" si="13"/>
        <v>0.62339213958752349</v>
      </c>
    </row>
    <row r="216" spans="1:11">
      <c r="A216" s="16">
        <v>2009</v>
      </c>
      <c r="B216" s="6">
        <f>SUM(B75:B86)</f>
        <v>36580289</v>
      </c>
      <c r="C216" s="107">
        <f t="shared" si="14"/>
        <v>-9880732</v>
      </c>
      <c r="D216" s="109">
        <f t="shared" si="15"/>
        <v>-0.21266713015196115</v>
      </c>
      <c r="E216" s="109">
        <f>RATE(6,0,-B$210,B216)</f>
        <v>-0.22533014219921019</v>
      </c>
      <c r="F216" s="180"/>
      <c r="G216" s="180"/>
      <c r="H216"/>
      <c r="I216" s="6">
        <f>SUM(I75:I86)</f>
        <v>34054559.890469372</v>
      </c>
      <c r="J216" s="36">
        <f t="shared" si="12"/>
        <v>-2525729.1095306277</v>
      </c>
      <c r="K216" s="5">
        <f t="shared" si="13"/>
        <v>-6.9046177014364968E-2</v>
      </c>
    </row>
    <row r="217" spans="1:11">
      <c r="A217">
        <v>2010</v>
      </c>
      <c r="B217" s="6">
        <f>SUM(B87:B98)</f>
        <v>33402763</v>
      </c>
      <c r="C217" s="107">
        <f t="shared" si="14"/>
        <v>-3177526</v>
      </c>
      <c r="D217" s="109">
        <f t="shared" si="15"/>
        <v>-8.6864431278823415E-2</v>
      </c>
      <c r="E217" s="109">
        <f>RATE(7,0,-B$210,B217)</f>
        <v>-0.20691576791731983</v>
      </c>
      <c r="F217" s="180"/>
      <c r="G217" s="180"/>
      <c r="H217"/>
      <c r="I217" s="6">
        <f>SUM(I87:I98)</f>
        <v>16953596.140778311</v>
      </c>
      <c r="J217" s="36">
        <f t="shared" si="12"/>
        <v>-16449166.859221689</v>
      </c>
      <c r="K217" s="5">
        <f t="shared" si="13"/>
        <v>-0.49244928807900379</v>
      </c>
    </row>
    <row r="218" spans="1:11">
      <c r="A218">
        <v>2011</v>
      </c>
      <c r="B218" s="6">
        <f>SUM(B99:B110)</f>
        <v>37740699</v>
      </c>
      <c r="C218" s="107">
        <f t="shared" si="14"/>
        <v>4337936</v>
      </c>
      <c r="D218" s="109">
        <f t="shared" si="15"/>
        <v>0.12986758011605207</v>
      </c>
      <c r="E218" s="109">
        <f>RATE(8,0,-B$210,B218)</f>
        <v>-0.17104139439277968</v>
      </c>
      <c r="F218" s="180"/>
      <c r="G218" s="180"/>
      <c r="H218"/>
      <c r="I218" s="6">
        <f>SUM(I99:I110)</f>
        <v>41064308.520175084</v>
      </c>
      <c r="J218" s="36">
        <f t="shared" si="12"/>
        <v>3323609.5201750845</v>
      </c>
      <c r="K218" s="5">
        <f t="shared" si="13"/>
        <v>8.8064333948215542E-2</v>
      </c>
    </row>
    <row r="219" spans="1:11">
      <c r="A219">
        <v>2012</v>
      </c>
      <c r="B219" s="6">
        <f>SUM(B111:B122)</f>
        <v>40812737</v>
      </c>
      <c r="C219" s="107">
        <f t="shared" si="14"/>
        <v>3072038</v>
      </c>
      <c r="D219" s="109">
        <f t="shared" si="15"/>
        <v>8.1398545374053624E-2</v>
      </c>
      <c r="E219" s="109">
        <f>RATE(9,0,-B$210,B219)</f>
        <v>-0.14619056729559121</v>
      </c>
      <c r="F219" s="180"/>
      <c r="G219" s="180"/>
      <c r="H219"/>
      <c r="I219" s="6">
        <f>SUM(I111:I122)</f>
        <v>32086091.66754977</v>
      </c>
      <c r="J219" s="36">
        <f t="shared" si="12"/>
        <v>-8726645.3324502297</v>
      </c>
      <c r="K219" s="5">
        <f t="shared" si="13"/>
        <v>-0.21382161486621762</v>
      </c>
    </row>
    <row r="220" spans="1:11">
      <c r="A220">
        <v>2013</v>
      </c>
      <c r="B220" s="6">
        <f>SUM(B123:B134)</f>
        <v>42326219</v>
      </c>
      <c r="C220" s="107">
        <f t="shared" si="14"/>
        <v>1513482</v>
      </c>
      <c r="D220" s="109">
        <f t="shared" si="15"/>
        <v>3.7083570258961071E-2</v>
      </c>
      <c r="E220" s="109">
        <f>RATE(10,0,-B$210,B220)</f>
        <v>-0.12942492476197995</v>
      </c>
      <c r="F220" s="180"/>
      <c r="G220" s="180"/>
      <c r="H220"/>
      <c r="I220" s="6">
        <f ca="1">SUM(I123:I134)</f>
        <v>46058809.556247637</v>
      </c>
      <c r="J220" s="36">
        <f t="shared" ca="1" si="12"/>
        <v>3732590.5562476367</v>
      </c>
      <c r="K220" s="5">
        <f t="shared" ca="1" si="13"/>
        <v>8.8186250613305123E-2</v>
      </c>
    </row>
    <row r="221" spans="1:11">
      <c r="A221">
        <v>2014</v>
      </c>
      <c r="B221" s="6">
        <f ca="1">+I221</f>
        <v>28002902.885981582</v>
      </c>
      <c r="C221" s="107">
        <f t="shared" ca="1" si="14"/>
        <v>-14323316.114018418</v>
      </c>
      <c r="D221" s="109">
        <f t="shared" ca="1" si="15"/>
        <v>-0.33840292028017949</v>
      </c>
      <c r="E221" s="109">
        <f ca="1">RATE(11,0,-B$210,B221)</f>
        <v>-0.150880693740888</v>
      </c>
      <c r="F221" s="103"/>
      <c r="G221" s="180"/>
      <c r="H221"/>
      <c r="I221" s="6">
        <f ca="1">SUM(I135:I146)</f>
        <v>28002902.885981582</v>
      </c>
      <c r="J221" s="36">
        <f t="shared" ca="1" si="12"/>
        <v>0</v>
      </c>
      <c r="K221" s="5">
        <f t="shared" ca="1" si="13"/>
        <v>0</v>
      </c>
    </row>
    <row r="222" spans="1:11">
      <c r="A222">
        <v>2015</v>
      </c>
      <c r="B222" s="6">
        <f t="shared" ref="B222:B226" ca="1" si="16">+I222</f>
        <v>27967169.902012847</v>
      </c>
      <c r="C222" s="107">
        <f t="shared" ca="1" si="14"/>
        <v>-35732.983968734741</v>
      </c>
      <c r="D222" s="109">
        <f t="shared" ca="1" si="15"/>
        <v>-1.2760457054837298E-3</v>
      </c>
      <c r="E222" s="109">
        <f ca="1">RATE(12,0,-B$210,B222)</f>
        <v>-0.13931986750129779</v>
      </c>
      <c r="F222" s="103"/>
      <c r="G222" s="180"/>
      <c r="H222"/>
      <c r="I222" s="6">
        <f ca="1">SUM(I147:I158)</f>
        <v>27967169.902012847</v>
      </c>
      <c r="J222" s="36">
        <f t="shared" ca="1" si="12"/>
        <v>0</v>
      </c>
      <c r="K222" s="5">
        <f t="shared" ca="1" si="13"/>
        <v>0</v>
      </c>
    </row>
    <row r="223" spans="1:11">
      <c r="A223">
        <v>2016</v>
      </c>
      <c r="B223" s="6">
        <f t="shared" ca="1" si="16"/>
        <v>27709934.710989088</v>
      </c>
      <c r="C223" s="107">
        <f t="shared" ca="1" si="14"/>
        <v>-257235.19102375954</v>
      </c>
      <c r="D223" s="109">
        <f t="shared" ca="1" si="15"/>
        <v>-9.1977555085130686E-3</v>
      </c>
      <c r="E223" s="109">
        <f ca="1">RATE(13,0,-B$210,B223)</f>
        <v>-0.12994790868334505</v>
      </c>
      <c r="F223" s="103"/>
      <c r="G223" s="180"/>
      <c r="H223"/>
      <c r="I223" s="6">
        <f ca="1">SUM(I159:I170)</f>
        <v>27709934.710989088</v>
      </c>
      <c r="J223" s="36">
        <f t="shared" ca="1" si="12"/>
        <v>0</v>
      </c>
      <c r="K223" s="5">
        <f t="shared" ca="1" si="13"/>
        <v>0</v>
      </c>
    </row>
    <row r="224" spans="1:11">
      <c r="A224">
        <v>2017</v>
      </c>
      <c r="B224" s="6">
        <f t="shared" ca="1" si="16"/>
        <v>27895703.934075348</v>
      </c>
      <c r="C224" s="107">
        <f t="shared" ca="1" si="14"/>
        <v>185769.22308626026</v>
      </c>
      <c r="D224" s="109">
        <f t="shared" ca="1" si="15"/>
        <v>6.7040657087000894E-3</v>
      </c>
      <c r="E224" s="109">
        <f ca="1">RATE(14,0,-B$210,B224)</f>
        <v>-0.1208343237217846</v>
      </c>
      <c r="F224" s="103"/>
      <c r="G224" s="180"/>
      <c r="H224"/>
      <c r="I224" s="6">
        <f ca="1">SUM(I171:I182)</f>
        <v>27895703.934075348</v>
      </c>
      <c r="J224" s="36">
        <f t="shared" ca="1" si="12"/>
        <v>0</v>
      </c>
      <c r="K224" s="5">
        <f t="shared" ca="1" si="13"/>
        <v>0</v>
      </c>
    </row>
    <row r="225" spans="1:11">
      <c r="A225">
        <v>2018</v>
      </c>
      <c r="B225" s="6">
        <f t="shared" ca="1" si="16"/>
        <v>27859970.950106584</v>
      </c>
      <c r="C225" s="107">
        <f t="shared" ca="1" si="14"/>
        <v>-35732.983968764544</v>
      </c>
      <c r="D225" s="109">
        <f t="shared" ca="1" si="15"/>
        <v>-1.2809493552559449E-3</v>
      </c>
      <c r="E225" s="109">
        <f ca="1">RATE(15,0,-B$210,B225)</f>
        <v>-0.11332955681104701</v>
      </c>
      <c r="F225" s="103"/>
      <c r="G225" s="180"/>
      <c r="H225"/>
      <c r="I225" s="6">
        <f ca="1">SUM(I183:I194)</f>
        <v>27859970.950106584</v>
      </c>
      <c r="J225" s="36">
        <f t="shared" ca="1" si="12"/>
        <v>0</v>
      </c>
      <c r="K225" s="5">
        <f t="shared" ca="1" si="13"/>
        <v>0</v>
      </c>
    </row>
    <row r="226" spans="1:11">
      <c r="A226">
        <v>2019</v>
      </c>
      <c r="B226" s="6">
        <f t="shared" ca="1" si="16"/>
        <v>27824237.966137826</v>
      </c>
      <c r="C226" s="107">
        <f t="shared" ca="1" si="14"/>
        <v>-35732.983968757093</v>
      </c>
      <c r="D226" s="109">
        <f t="shared" ca="1" si="15"/>
        <v>-1.2825922910239213E-3</v>
      </c>
      <c r="E226" s="109">
        <f ca="1">RATE(16,0,-B$210,B226)</f>
        <v>-0.10671044500806202</v>
      </c>
      <c r="F226" s="103"/>
      <c r="G226" s="180"/>
      <c r="H226"/>
      <c r="I226" s="6">
        <f ca="1">SUM(I195:I206)</f>
        <v>27824237.966137826</v>
      </c>
      <c r="J226" s="36">
        <f t="shared" ca="1" si="12"/>
        <v>0</v>
      </c>
      <c r="K226" s="5">
        <f t="shared" ca="1" si="13"/>
        <v>0</v>
      </c>
    </row>
    <row r="227" spans="1:11">
      <c r="C227" s="101"/>
      <c r="D227" s="180"/>
      <c r="F227" s="180"/>
      <c r="G227" s="180"/>
      <c r="H227"/>
      <c r="J227" s="180"/>
      <c r="K227" s="180"/>
    </row>
    <row r="228" spans="1:11">
      <c r="A228" t="s">
        <v>9</v>
      </c>
      <c r="B228" s="6">
        <f ca="1">SUM(B210:B226)</f>
        <v>870356181.84930325</v>
      </c>
      <c r="C228" s="101"/>
      <c r="D228" s="180"/>
      <c r="F228" s="180"/>
      <c r="G228" s="180"/>
      <c r="H228"/>
      <c r="I228" s="6">
        <f ca="1">SUM(I210:I226)</f>
        <v>870356181.84930277</v>
      </c>
      <c r="J228" s="184">
        <f ca="1">I228-B228</f>
        <v>0</v>
      </c>
      <c r="K228" s="180"/>
    </row>
    <row r="229" spans="1:11">
      <c r="C229" s="180"/>
      <c r="D229" s="180"/>
      <c r="F229" s="180"/>
      <c r="G229" s="180"/>
      <c r="H229"/>
      <c r="I229" s="180"/>
      <c r="J229" s="62"/>
      <c r="K229" s="180"/>
    </row>
    <row r="230" spans="1:11">
      <c r="C230" s="180"/>
      <c r="D230" s="180"/>
      <c r="F230" s="180"/>
      <c r="G230" s="180"/>
      <c r="H230"/>
      <c r="I230" s="6">
        <f ca="1">SUM(I210:I226)</f>
        <v>870356181.84930277</v>
      </c>
      <c r="J230" s="184">
        <f ca="1">I208-I230</f>
        <v>0</v>
      </c>
      <c r="K230" s="180"/>
    </row>
    <row r="231" spans="1:11">
      <c r="C231" s="180"/>
      <c r="D231" s="180"/>
      <c r="F231" s="180"/>
      <c r="G231" s="180"/>
      <c r="H231"/>
      <c r="I231" s="23"/>
      <c r="J231" s="185" t="s">
        <v>69</v>
      </c>
      <c r="K231" s="18"/>
    </row>
    <row r="242" spans="9:11">
      <c r="I242" s="11"/>
    </row>
    <row r="243" spans="9:11">
      <c r="J243" s="11"/>
      <c r="K243" s="11"/>
    </row>
    <row r="247" spans="9:11">
      <c r="I247" s="11"/>
    </row>
    <row r="271" spans="9:9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320"/>
  <sheetViews>
    <sheetView showGridLines="0" workbookViewId="0"/>
  </sheetViews>
  <sheetFormatPr defaultRowHeight="13.2"/>
  <cols>
    <col min="1" max="1" width="25.88671875" customWidth="1"/>
    <col min="2" max="2" width="12.6640625" bestFit="1" customWidth="1"/>
    <col min="3" max="3" width="10.6640625" bestFit="1" customWidth="1"/>
    <col min="4" max="4" width="9.5546875" bestFit="1" customWidth="1"/>
    <col min="5" max="5" width="10" customWidth="1"/>
    <col min="6" max="7" width="11.109375" customWidth="1"/>
    <col min="9" max="9" width="10.109375" customWidth="1"/>
    <col min="10" max="10" width="10.5546875" customWidth="1"/>
    <col min="12" max="12" width="25.88671875" customWidth="1"/>
    <col min="13" max="13" width="11.109375" customWidth="1"/>
    <col min="21" max="21" width="9.5546875" bestFit="1" customWidth="1"/>
  </cols>
  <sheetData>
    <row r="2" spans="1:9">
      <c r="A2" s="66" t="s">
        <v>247</v>
      </c>
    </row>
    <row r="3" spans="1:9" ht="13.8" thickBot="1"/>
    <row r="4" spans="1:9" ht="46.2" thickBot="1">
      <c r="A4" s="257" t="s">
        <v>112</v>
      </c>
      <c r="B4" s="250" t="s">
        <v>224</v>
      </c>
      <c r="C4" s="250" t="s">
        <v>225</v>
      </c>
      <c r="D4" s="250" t="s">
        <v>195</v>
      </c>
      <c r="E4" s="250" t="s">
        <v>226</v>
      </c>
      <c r="F4" s="250" t="s">
        <v>234</v>
      </c>
      <c r="G4" s="250" t="s">
        <v>225</v>
      </c>
      <c r="H4" s="250" t="s">
        <v>195</v>
      </c>
      <c r="I4" s="251" t="s">
        <v>226</v>
      </c>
    </row>
    <row r="5" spans="1:9">
      <c r="A5" s="258" t="s">
        <v>114</v>
      </c>
      <c r="B5" s="259">
        <v>1192455603</v>
      </c>
      <c r="C5" s="259">
        <f>+B13-B5</f>
        <v>-33573677</v>
      </c>
      <c r="D5" s="260">
        <f>+C5/B5</f>
        <v>-2.8155075053138058E-2</v>
      </c>
      <c r="E5" s="260"/>
      <c r="F5" s="259">
        <v>63653</v>
      </c>
      <c r="G5" s="259">
        <f>+F13-F5</f>
        <v>-308.5</v>
      </c>
      <c r="H5" s="260">
        <f>+G5/F5</f>
        <v>-4.846590105729502E-3</v>
      </c>
      <c r="I5" s="261"/>
    </row>
    <row r="6" spans="1:9" ht="13.8" thickBot="1">
      <c r="A6" s="273" t="s">
        <v>227</v>
      </c>
      <c r="B6" s="274">
        <v>1161936612</v>
      </c>
      <c r="C6" s="274">
        <f>+B17-B6</f>
        <v>-25724659.329020977</v>
      </c>
      <c r="D6" s="275">
        <f>+C6/B6</f>
        <v>-2.2139468765634333E-2</v>
      </c>
      <c r="E6" s="275"/>
      <c r="F6" s="274">
        <v>67507</v>
      </c>
      <c r="G6" s="274">
        <f>+F17-F6</f>
        <v>-1580</v>
      </c>
      <c r="H6" s="275">
        <f>+G6/F6</f>
        <v>-2.340498022427304E-2</v>
      </c>
      <c r="I6" s="276"/>
    </row>
    <row r="7" spans="1:9">
      <c r="A7" s="268"/>
      <c r="B7" s="269"/>
      <c r="C7" s="270"/>
      <c r="D7" s="271"/>
      <c r="E7" s="271"/>
      <c r="F7" s="270"/>
      <c r="G7" s="270"/>
      <c r="H7" s="271"/>
      <c r="I7" s="272"/>
    </row>
    <row r="8" spans="1:9">
      <c r="A8" s="277">
        <v>2003</v>
      </c>
      <c r="B8" s="252">
        <f>+Chart!C7</f>
        <v>1232724170</v>
      </c>
      <c r="C8" s="252"/>
      <c r="D8" s="253"/>
      <c r="E8" s="253"/>
      <c r="F8" s="252">
        <f>+'Rate Class Customer Model'!J3</f>
        <v>57960.5</v>
      </c>
      <c r="G8" s="252"/>
      <c r="H8" s="253"/>
      <c r="I8" s="263"/>
    </row>
    <row r="9" spans="1:9">
      <c r="A9" s="278">
        <v>2004</v>
      </c>
      <c r="B9" s="252">
        <f>+Chart!C8</f>
        <v>1178441190</v>
      </c>
      <c r="C9" s="252">
        <f>+B9-B8</f>
        <v>-54282980</v>
      </c>
      <c r="D9" s="253">
        <f>+C9/B8</f>
        <v>-4.4034976616058402E-2</v>
      </c>
      <c r="E9" s="253">
        <f>RATE(1,0,-B$8,B9)</f>
        <v>-4.4034976616058499E-2</v>
      </c>
      <c r="F9" s="252">
        <f>+'Rate Class Customer Model'!J4</f>
        <v>58730.5</v>
      </c>
      <c r="G9" s="252">
        <f>+F9-F8</f>
        <v>770</v>
      </c>
      <c r="H9" s="253">
        <f>+G9/F8</f>
        <v>1.3284909550469716E-2</v>
      </c>
      <c r="I9" s="264">
        <f>RATE(1,0,-F$8,F9)</f>
        <v>1.3284909550469686E-2</v>
      </c>
    </row>
    <row r="10" spans="1:9">
      <c r="A10" s="277">
        <v>2005</v>
      </c>
      <c r="B10" s="252">
        <f>+Chart!C9</f>
        <v>1174501350</v>
      </c>
      <c r="C10" s="252">
        <f t="shared" ref="C10:C24" si="0">+B10-B9</f>
        <v>-3939840</v>
      </c>
      <c r="D10" s="253">
        <f t="shared" ref="D10:D24" si="1">+C10/B9</f>
        <v>-3.3432639943619079E-3</v>
      </c>
      <c r="E10" s="253">
        <f>RATE(2,0,-B$8,B10)</f>
        <v>-2.3901142331683341E-2</v>
      </c>
      <c r="F10" s="252">
        <f>+'Rate Class Customer Model'!J5</f>
        <v>59614.5</v>
      </c>
      <c r="G10" s="252">
        <f t="shared" ref="G10:G24" si="2">+F10-F9</f>
        <v>884</v>
      </c>
      <c r="H10" s="253">
        <f t="shared" ref="H10:H24" si="3">+G10/F9</f>
        <v>1.5051804428703996E-2</v>
      </c>
      <c r="I10" s="264">
        <f>RATE(2,0,-F$8,F10)</f>
        <v>1.4167972201637047E-2</v>
      </c>
    </row>
    <row r="11" spans="1:9">
      <c r="A11" s="278">
        <v>2006</v>
      </c>
      <c r="B11" s="252">
        <f>+Chart!C10</f>
        <v>1151360440</v>
      </c>
      <c r="C11" s="252">
        <f t="shared" si="0"/>
        <v>-23140910</v>
      </c>
      <c r="D11" s="253">
        <f t="shared" si="1"/>
        <v>-1.9702753002369899E-2</v>
      </c>
      <c r="E11" s="253">
        <f>RATE(3,0,-B$8,B11)</f>
        <v>-2.2503680894619967E-2</v>
      </c>
      <c r="F11" s="252">
        <f>+'Rate Class Customer Model'!J6</f>
        <v>60872.5</v>
      </c>
      <c r="G11" s="252">
        <f t="shared" si="2"/>
        <v>1258</v>
      </c>
      <c r="H11" s="253">
        <f t="shared" si="3"/>
        <v>2.1102248614011693E-2</v>
      </c>
      <c r="I11" s="264">
        <f>RATE(3,0,-F$8,F11)</f>
        <v>1.6474149542546394E-2</v>
      </c>
    </row>
    <row r="12" spans="1:9">
      <c r="A12" s="277">
        <v>2007</v>
      </c>
      <c r="B12" s="252">
        <f>+Chart!C11</f>
        <v>1191153590</v>
      </c>
      <c r="C12" s="252">
        <f t="shared" si="0"/>
        <v>39793150</v>
      </c>
      <c r="D12" s="253">
        <f t="shared" si="1"/>
        <v>3.4561852759158546E-2</v>
      </c>
      <c r="E12" s="253">
        <f>RATE(4,0,-B$8,B12)</f>
        <v>-8.5393934317338754E-3</v>
      </c>
      <c r="F12" s="252">
        <f>+'Rate Class Customer Model'!J7</f>
        <v>62211</v>
      </c>
      <c r="G12" s="252">
        <f t="shared" si="2"/>
        <v>1338.5</v>
      </c>
      <c r="H12" s="253">
        <f t="shared" si="3"/>
        <v>2.1988582693334428E-2</v>
      </c>
      <c r="I12" s="264">
        <f>RATE(4,0,-F$8,F12)</f>
        <v>1.78499620360448E-2</v>
      </c>
    </row>
    <row r="13" spans="1:9">
      <c r="A13" s="278">
        <v>2008</v>
      </c>
      <c r="B13" s="252">
        <f>+Chart!C12</f>
        <v>1158881926</v>
      </c>
      <c r="C13" s="252">
        <f t="shared" si="0"/>
        <v>-32271664</v>
      </c>
      <c r="D13" s="253">
        <f t="shared" si="1"/>
        <v>-2.70927815446537E-2</v>
      </c>
      <c r="E13" s="253">
        <f>RATE(5,0,-B$8,B13)</f>
        <v>-1.2278162500929547E-2</v>
      </c>
      <c r="F13" s="252">
        <f>+'Rate Class Customer Model'!J8</f>
        <v>63344.5</v>
      </c>
      <c r="G13" s="252">
        <f t="shared" si="2"/>
        <v>1133.5</v>
      </c>
      <c r="H13" s="253">
        <f t="shared" si="3"/>
        <v>1.8220250438025429E-2</v>
      </c>
      <c r="I13" s="264">
        <f>RATE(5,0,-F$8,F13)</f>
        <v>1.7924008941779188E-2</v>
      </c>
    </row>
    <row r="14" spans="1:9">
      <c r="A14" s="277">
        <v>2009</v>
      </c>
      <c r="B14" s="252">
        <f>+Chart!C13</f>
        <v>1128390784.5107694</v>
      </c>
      <c r="C14" s="252">
        <f t="shared" si="0"/>
        <v>-30491141.489230633</v>
      </c>
      <c r="D14" s="253">
        <f t="shared" si="1"/>
        <v>-2.6310826672803447E-2</v>
      </c>
      <c r="E14" s="253">
        <f>RATE(6,0,-B$8,B14)</f>
        <v>-1.4630905973235077E-2</v>
      </c>
      <c r="F14" s="252">
        <f>+'Rate Class Customer Model'!J9</f>
        <v>64128</v>
      </c>
      <c r="G14" s="252">
        <f t="shared" si="2"/>
        <v>783.5</v>
      </c>
      <c r="H14" s="253">
        <f t="shared" si="3"/>
        <v>1.2368871804181895E-2</v>
      </c>
      <c r="I14" s="264">
        <f>RATE(6,0,-F$8,F14)</f>
        <v>1.6996040414734147E-2</v>
      </c>
    </row>
    <row r="15" spans="1:9">
      <c r="A15" s="278">
        <v>2010</v>
      </c>
      <c r="B15" s="252">
        <f>+Chart!C14</f>
        <v>1148489331.8146157</v>
      </c>
      <c r="C15" s="252">
        <f t="shared" si="0"/>
        <v>20098547.303846359</v>
      </c>
      <c r="D15" s="253">
        <f t="shared" si="1"/>
        <v>1.781169039993568E-2</v>
      </c>
      <c r="E15" s="253">
        <f>RATE(7,0,-B$8,B15)</f>
        <v>-1.0060343960087228E-2</v>
      </c>
      <c r="F15" s="252">
        <f>+'Rate Class Customer Model'!J10</f>
        <v>64894</v>
      </c>
      <c r="G15" s="252">
        <f t="shared" si="2"/>
        <v>766</v>
      </c>
      <c r="H15" s="253">
        <f t="shared" si="3"/>
        <v>1.1944860279441118E-2</v>
      </c>
      <c r="I15" s="264">
        <f>RATE(7,0,-F$8,F15)</f>
        <v>1.6272902511597749E-2</v>
      </c>
    </row>
    <row r="16" spans="1:9">
      <c r="A16" s="278">
        <v>2011</v>
      </c>
      <c r="B16" s="252">
        <f>+Chart!C15</f>
        <v>1148632387.3953846</v>
      </c>
      <c r="C16" s="252">
        <f t="shared" si="0"/>
        <v>143055.58076882362</v>
      </c>
      <c r="D16" s="253">
        <f t="shared" si="1"/>
        <v>1.2455978197272019E-4</v>
      </c>
      <c r="E16" s="253">
        <f>RATE(8,0,-B$8,B16)</f>
        <v>-8.7929249231188996E-3</v>
      </c>
      <c r="F16" s="252">
        <f>+'Rate Class Customer Model'!J11</f>
        <v>65524.5</v>
      </c>
      <c r="G16" s="252">
        <f t="shared" si="2"/>
        <v>630.5</v>
      </c>
      <c r="H16" s="253">
        <f t="shared" si="3"/>
        <v>9.7158442999352793E-3</v>
      </c>
      <c r="I16" s="264">
        <f>RATE(8,0,-F$8,F16)</f>
        <v>1.5450947221827164E-2</v>
      </c>
    </row>
    <row r="17" spans="1:21">
      <c r="A17" s="278">
        <v>2012</v>
      </c>
      <c r="B17" s="252">
        <f>+Chart!C16</f>
        <v>1136211952.670979</v>
      </c>
      <c r="C17" s="252">
        <f t="shared" si="0"/>
        <v>-12420434.724405527</v>
      </c>
      <c r="D17" s="253">
        <f t="shared" si="1"/>
        <v>-1.0813237429748827E-2</v>
      </c>
      <c r="E17" s="253">
        <f>RATE(9,0,-B$8,B17)</f>
        <v>-9.0176077035169049E-3</v>
      </c>
      <c r="F17" s="252">
        <f>+'Rate Class Customer Model'!J12</f>
        <v>65927</v>
      </c>
      <c r="G17" s="252">
        <f t="shared" si="2"/>
        <v>402.5</v>
      </c>
      <c r="H17" s="253">
        <f t="shared" si="3"/>
        <v>6.1427405016444229E-3</v>
      </c>
      <c r="I17" s="264">
        <f>RATE(9,0,-F$8,F17)</f>
        <v>1.441246400059943E-2</v>
      </c>
    </row>
    <row r="18" spans="1:21">
      <c r="A18" s="278">
        <v>2013</v>
      </c>
      <c r="B18" s="252">
        <f>+Chart!C17</f>
        <v>1130407041.6666667</v>
      </c>
      <c r="C18" s="252">
        <f t="shared" si="0"/>
        <v>-5804911.0043122768</v>
      </c>
      <c r="D18" s="253">
        <f t="shared" si="1"/>
        <v>-5.1090036420284399E-3</v>
      </c>
      <c r="E18" s="253">
        <f>RATE(10,0,-B$8,B18)</f>
        <v>-8.6274392985243292E-3</v>
      </c>
      <c r="F18" s="252">
        <f>+'Rate Class Customer Model'!J13</f>
        <v>66571.5</v>
      </c>
      <c r="G18" s="252">
        <f t="shared" si="2"/>
        <v>644.5</v>
      </c>
      <c r="H18" s="253">
        <f t="shared" si="3"/>
        <v>9.7759643241767408E-3</v>
      </c>
      <c r="I18" s="264">
        <f>RATE(10,0,-F$8,F18)</f>
        <v>1.3947857636579868E-2</v>
      </c>
    </row>
    <row r="19" spans="1:21">
      <c r="A19" s="278" t="s">
        <v>228</v>
      </c>
      <c r="B19" s="252">
        <f ca="1">+Chart!D18</f>
        <v>1146348131.8266783</v>
      </c>
      <c r="C19" s="252">
        <f t="shared" ca="1" si="0"/>
        <v>15941090.16001153</v>
      </c>
      <c r="D19" s="253">
        <f t="shared" ca="1" si="1"/>
        <v>1.4102079669026178E-2</v>
      </c>
      <c r="E19" s="253">
        <f ca="1">RATE(11,0,-B$8,B19)</f>
        <v>-6.5823445275546531E-3</v>
      </c>
      <c r="F19" s="252">
        <f>+'Rate Class Customer Model'!J14</f>
        <v>67512.040898196501</v>
      </c>
      <c r="G19" s="252">
        <f t="shared" si="2"/>
        <v>940.54089819650108</v>
      </c>
      <c r="H19" s="253">
        <f t="shared" si="3"/>
        <v>1.4128281594924271E-2</v>
      </c>
      <c r="I19" s="264">
        <f>RATE(11,0,-F$8,F19)</f>
        <v>1.3964258488108271E-2</v>
      </c>
    </row>
    <row r="20" spans="1:21">
      <c r="A20" s="278" t="s">
        <v>229</v>
      </c>
      <c r="B20" s="252">
        <f ca="1">+Chart!D19</f>
        <v>1161409405.5438561</v>
      </c>
      <c r="C20" s="252">
        <f t="shared" ca="1" si="0"/>
        <v>15061273.717177868</v>
      </c>
      <c r="D20" s="253">
        <f t="shared" ca="1" si="1"/>
        <v>1.313848149530116E-2</v>
      </c>
      <c r="E20" s="253">
        <f ca="1">RATE(12,0,-B$8,B20)</f>
        <v>-4.9537080813108411E-3</v>
      </c>
      <c r="F20" s="252">
        <f>+'Rate Class Customer Model'!J15</f>
        <v>68466.894577676314</v>
      </c>
      <c r="G20" s="252">
        <f t="shared" si="2"/>
        <v>954.85367947981285</v>
      </c>
      <c r="H20" s="253">
        <f t="shared" si="3"/>
        <v>1.4143457474788332E-2</v>
      </c>
      <c r="I20" s="264">
        <f>RATE(12,0,-F$8,F20)</f>
        <v>1.3979190527517097E-2</v>
      </c>
    </row>
    <row r="21" spans="1:21">
      <c r="A21" s="278" t="s">
        <v>230</v>
      </c>
      <c r="B21" s="252">
        <f ca="1">+Chart!D20</f>
        <v>1179453259.4483292</v>
      </c>
      <c r="C21" s="252">
        <f t="shared" ca="1" si="0"/>
        <v>18043853.904473066</v>
      </c>
      <c r="D21" s="253">
        <f t="shared" ca="1" si="1"/>
        <v>1.553616994863549E-2</v>
      </c>
      <c r="E21" s="253">
        <f ca="1">RATE(13,0,-B$8,B21)</f>
        <v>-3.3923484088537424E-3</v>
      </c>
      <c r="F21" s="252">
        <f>+'Rate Class Customer Model'!J16</f>
        <v>69436.287982798807</v>
      </c>
      <c r="G21" s="252">
        <f t="shared" si="2"/>
        <v>969.39340512249328</v>
      </c>
      <c r="H21" s="253">
        <f t="shared" si="3"/>
        <v>1.4158571249681956E-2</v>
      </c>
      <c r="I21" s="264">
        <f>RATE(13,0,-F$8,F21)</f>
        <v>1.3992987918103874E-2</v>
      </c>
    </row>
    <row r="22" spans="1:21">
      <c r="A22" s="278" t="s">
        <v>231</v>
      </c>
      <c r="B22" s="252">
        <f ca="1">+Chart!D21</f>
        <v>1191117841.5283267</v>
      </c>
      <c r="C22" s="252">
        <f t="shared" ca="1" si="0"/>
        <v>11664582.07999754</v>
      </c>
      <c r="D22" s="253">
        <f t="shared" ca="1" si="1"/>
        <v>9.8898213952568707E-3</v>
      </c>
      <c r="E22" s="253">
        <f ca="1">RATE(14,0,-B$8,B22)</f>
        <v>-2.449442630667559E-3</v>
      </c>
      <c r="F22" s="252">
        <f>+'Rate Class Customer Model'!J17</f>
        <v>70420.451916484162</v>
      </c>
      <c r="G22" s="252">
        <f t="shared" si="2"/>
        <v>984.163933685355</v>
      </c>
      <c r="H22" s="253">
        <f t="shared" si="3"/>
        <v>1.4173625380566978E-2</v>
      </c>
      <c r="I22" s="264">
        <f>RATE(14,0,-F$8,F22)</f>
        <v>1.400588952692083E-2</v>
      </c>
    </row>
    <row r="23" spans="1:21">
      <c r="A23" s="278" t="s">
        <v>232</v>
      </c>
      <c r="B23" s="252">
        <f ca="1">+Chart!D22</f>
        <v>1205768874.1562457</v>
      </c>
      <c r="C23" s="252">
        <f t="shared" ca="1" si="0"/>
        <v>14651032.627918959</v>
      </c>
      <c r="D23" s="253">
        <f t="shared" ca="1" si="1"/>
        <v>1.2300237740642166E-2</v>
      </c>
      <c r="E23" s="253">
        <f ca="1">RATE(15,0,-B$8,B23)</f>
        <v>-1.4728515843951777E-3</v>
      </c>
      <c r="F23" s="252">
        <f>+'Rate Class Customer Model'!J18</f>
        <v>71419.621105758837</v>
      </c>
      <c r="G23" s="252">
        <f t="shared" si="2"/>
        <v>999.16918927467486</v>
      </c>
      <c r="H23" s="253">
        <f t="shared" si="3"/>
        <v>1.4188622226674283E-2</v>
      </c>
      <c r="I23" s="264">
        <f>RATE(15,0,-F$8,F23)</f>
        <v>1.4018070682533771E-2</v>
      </c>
    </row>
    <row r="24" spans="1:21" ht="13.8" thickBot="1">
      <c r="A24" s="279" t="s">
        <v>233</v>
      </c>
      <c r="B24" s="265">
        <f ca="1">+Chart!D23</f>
        <v>1220192559.2700689</v>
      </c>
      <c r="C24" s="265">
        <f t="shared" ca="1" si="0"/>
        <v>14423685.113823175</v>
      </c>
      <c r="D24" s="266">
        <f t="shared" ca="1" si="1"/>
        <v>1.1962230426553646E-2</v>
      </c>
      <c r="E24" s="266">
        <f ca="1">RATE(16,0,-B$8,B24)</f>
        <v>-6.384093169573737E-4</v>
      </c>
      <c r="F24" s="265">
        <f>+'Rate Class Customer Model'!J19</f>
        <v>72434.034268570409</v>
      </c>
      <c r="G24" s="265">
        <f t="shared" si="2"/>
        <v>1014.413162811572</v>
      </c>
      <c r="H24" s="266">
        <f t="shared" si="3"/>
        <v>1.420356405012874E-2</v>
      </c>
      <c r="I24" s="267">
        <f>RATE(16,0,-F$8,F24)</f>
        <v>1.4029663024020506E-2</v>
      </c>
    </row>
    <row r="26" spans="1:21">
      <c r="A26" s="66" t="s">
        <v>291</v>
      </c>
    </row>
    <row r="27" spans="1:21" ht="13.8" thickBot="1"/>
    <row r="28" spans="1:21" ht="23.4" thickBot="1">
      <c r="A28" s="257" t="s">
        <v>112</v>
      </c>
      <c r="B28" s="250" t="s">
        <v>71</v>
      </c>
      <c r="C28" s="250" t="s">
        <v>236</v>
      </c>
      <c r="D28" s="250" t="s">
        <v>235</v>
      </c>
      <c r="E28" s="250" t="s">
        <v>74</v>
      </c>
      <c r="F28" s="250" t="s">
        <v>237</v>
      </c>
      <c r="G28" s="250" t="s">
        <v>238</v>
      </c>
      <c r="H28" s="250" t="s">
        <v>239</v>
      </c>
      <c r="I28" s="250" t="s">
        <v>76</v>
      </c>
      <c r="J28" s="251" t="s">
        <v>9</v>
      </c>
      <c r="L28" s="257" t="s">
        <v>112</v>
      </c>
      <c r="M28" s="250" t="s">
        <v>71</v>
      </c>
      <c r="N28" s="250" t="s">
        <v>236</v>
      </c>
      <c r="O28" s="250" t="s">
        <v>235</v>
      </c>
      <c r="P28" s="250" t="s">
        <v>74</v>
      </c>
      <c r="Q28" s="250" t="s">
        <v>237</v>
      </c>
      <c r="R28" s="250" t="s">
        <v>238</v>
      </c>
      <c r="S28" s="250" t="s">
        <v>239</v>
      </c>
      <c r="T28" s="250" t="s">
        <v>76</v>
      </c>
      <c r="U28" s="251" t="s">
        <v>9</v>
      </c>
    </row>
    <row r="29" spans="1:21">
      <c r="A29" s="280" t="s">
        <v>263</v>
      </c>
      <c r="B29" s="281"/>
      <c r="C29" s="281"/>
      <c r="D29" s="281"/>
      <c r="E29" s="281"/>
      <c r="F29" s="281"/>
      <c r="G29" s="281"/>
      <c r="H29" s="281"/>
      <c r="I29" s="281"/>
      <c r="J29" s="282"/>
      <c r="L29" s="280" t="s">
        <v>263</v>
      </c>
      <c r="M29" s="281"/>
      <c r="N29" s="281"/>
      <c r="O29" s="281"/>
      <c r="P29" s="281"/>
      <c r="Q29" s="281"/>
      <c r="R29" s="281"/>
      <c r="S29" s="281"/>
      <c r="T29" s="281"/>
      <c r="U29" s="282"/>
    </row>
    <row r="30" spans="1:21">
      <c r="A30" s="283" t="s">
        <v>114</v>
      </c>
      <c r="B30" s="255">
        <v>47243</v>
      </c>
      <c r="C30" s="255">
        <v>3845</v>
      </c>
      <c r="D30" s="255">
        <v>522</v>
      </c>
      <c r="E30" s="255">
        <v>2</v>
      </c>
      <c r="F30" s="255">
        <v>9</v>
      </c>
      <c r="G30" s="255">
        <v>11650</v>
      </c>
      <c r="H30" s="255">
        <v>77</v>
      </c>
      <c r="I30" s="255">
        <v>305</v>
      </c>
      <c r="J30" s="262">
        <f>SUM(B30:I30)</f>
        <v>63653</v>
      </c>
      <c r="L30" s="283" t="s">
        <v>114</v>
      </c>
      <c r="M30" s="255">
        <v>0</v>
      </c>
      <c r="N30" s="255">
        <v>0</v>
      </c>
      <c r="O30" s="255">
        <v>0</v>
      </c>
      <c r="P30" s="255">
        <v>0</v>
      </c>
      <c r="Q30" s="255">
        <v>0</v>
      </c>
      <c r="R30" s="255">
        <v>0</v>
      </c>
      <c r="S30" s="255">
        <v>0</v>
      </c>
      <c r="T30" s="255">
        <v>0</v>
      </c>
      <c r="U30" s="262">
        <f>SUM(M30:T30)</f>
        <v>0</v>
      </c>
    </row>
    <row r="31" spans="1:21">
      <c r="A31" s="283" t="s">
        <v>227</v>
      </c>
      <c r="B31" s="255">
        <v>49919.725406979574</v>
      </c>
      <c r="C31" s="255">
        <v>3961</v>
      </c>
      <c r="D31" s="255">
        <v>518</v>
      </c>
      <c r="E31" s="255">
        <v>1</v>
      </c>
      <c r="F31" s="255">
        <v>10</v>
      </c>
      <c r="G31" s="255">
        <v>12761.899782618997</v>
      </c>
      <c r="H31" s="255">
        <v>22.307657589073369</v>
      </c>
      <c r="I31" s="255">
        <v>313.0793844964528</v>
      </c>
      <c r="J31" s="262">
        <f>SUM(B31:I31)</f>
        <v>67507.012231684101</v>
      </c>
      <c r="L31" s="283" t="s">
        <v>227</v>
      </c>
      <c r="M31" s="255">
        <v>0</v>
      </c>
      <c r="N31" s="255">
        <v>0</v>
      </c>
      <c r="O31" s="255">
        <v>0</v>
      </c>
      <c r="P31" s="255">
        <v>0</v>
      </c>
      <c r="Q31" s="255">
        <v>0</v>
      </c>
      <c r="R31" s="255">
        <v>0</v>
      </c>
      <c r="S31" s="255">
        <v>0</v>
      </c>
      <c r="T31" s="255">
        <v>0</v>
      </c>
      <c r="U31" s="262">
        <f>SUM(M31:T31)</f>
        <v>0</v>
      </c>
    </row>
    <row r="32" spans="1:21">
      <c r="A32" s="277"/>
      <c r="B32" s="254"/>
      <c r="C32" s="284"/>
      <c r="D32" s="284"/>
      <c r="E32" s="284"/>
      <c r="F32" s="284"/>
      <c r="G32" s="284"/>
      <c r="H32" s="284"/>
      <c r="I32" s="284"/>
      <c r="J32" s="285"/>
      <c r="L32" s="277"/>
      <c r="M32" s="254"/>
      <c r="N32" s="284"/>
      <c r="O32" s="284"/>
      <c r="P32" s="284"/>
      <c r="Q32" s="284"/>
      <c r="R32" s="284"/>
      <c r="S32" s="284"/>
      <c r="T32" s="284"/>
      <c r="U32" s="285"/>
    </row>
    <row r="33" spans="1:21">
      <c r="A33" s="277">
        <v>2003</v>
      </c>
      <c r="B33" s="252">
        <f>+'Rate Class Customer Model'!B3</f>
        <v>43319.5</v>
      </c>
      <c r="C33" s="252">
        <f>+'Rate Class Customer Model'!C3</f>
        <v>3689</v>
      </c>
      <c r="D33" s="252">
        <f>+'Rate Class Customer Model'!D3</f>
        <v>559</v>
      </c>
      <c r="E33" s="252">
        <f>+'Rate Class Customer Model'!E3</f>
        <v>2.5</v>
      </c>
      <c r="F33" s="252">
        <f>+'Rate Class Customer Model'!F3</f>
        <v>5</v>
      </c>
      <c r="G33" s="252">
        <f>+'Rate Class Customer Model'!G3</f>
        <v>10059</v>
      </c>
      <c r="H33" s="252">
        <f>+'Rate Class Customer Model'!H3</f>
        <v>34.5</v>
      </c>
      <c r="I33" s="252">
        <f>+'Rate Class Customer Model'!I3</f>
        <v>292</v>
      </c>
      <c r="J33" s="286">
        <f t="shared" ref="J33:J49" si="4">SUM(B33:I33)</f>
        <v>57960.5</v>
      </c>
      <c r="L33" s="277">
        <v>2003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86">
        <f t="shared" ref="U33:U49" si="5">SUM(M33:T33)</f>
        <v>0</v>
      </c>
    </row>
    <row r="34" spans="1:21">
      <c r="A34" s="278">
        <v>2004</v>
      </c>
      <c r="B34" s="252">
        <f>+'Rate Class Customer Model'!B4</f>
        <v>43979.5</v>
      </c>
      <c r="C34" s="252">
        <f>+'Rate Class Customer Model'!C4</f>
        <v>3626.5</v>
      </c>
      <c r="D34" s="252">
        <f>+'Rate Class Customer Model'!D4</f>
        <v>530</v>
      </c>
      <c r="E34" s="252">
        <f>+'Rate Class Customer Model'!E4</f>
        <v>2.5</v>
      </c>
      <c r="F34" s="252">
        <f>+'Rate Class Customer Model'!F4</f>
        <v>6</v>
      </c>
      <c r="G34" s="252">
        <f>+'Rate Class Customer Model'!G4</f>
        <v>10262</v>
      </c>
      <c r="H34" s="252">
        <f>+'Rate Class Customer Model'!H4</f>
        <v>30</v>
      </c>
      <c r="I34" s="252">
        <f>+'Rate Class Customer Model'!I4</f>
        <v>294</v>
      </c>
      <c r="J34" s="286">
        <f t="shared" si="4"/>
        <v>58730.5</v>
      </c>
      <c r="L34" s="278">
        <v>2004</v>
      </c>
      <c r="M34" s="252">
        <v>0</v>
      </c>
      <c r="N34" s="252">
        <v>0</v>
      </c>
      <c r="O34" s="252">
        <v>0</v>
      </c>
      <c r="P34" s="252">
        <v>0</v>
      </c>
      <c r="Q34" s="252">
        <v>0</v>
      </c>
      <c r="R34" s="252">
        <v>0</v>
      </c>
      <c r="S34" s="252">
        <v>0</v>
      </c>
      <c r="T34" s="252">
        <v>0</v>
      </c>
      <c r="U34" s="286">
        <f t="shared" si="5"/>
        <v>0</v>
      </c>
    </row>
    <row r="35" spans="1:21">
      <c r="A35" s="277">
        <v>2005</v>
      </c>
      <c r="B35" s="252">
        <f>+'Rate Class Customer Model'!B5</f>
        <v>44598.5</v>
      </c>
      <c r="C35" s="252">
        <f>+'Rate Class Customer Model'!C5</f>
        <v>3662</v>
      </c>
      <c r="D35" s="252">
        <f>+'Rate Class Customer Model'!D5</f>
        <v>521.5</v>
      </c>
      <c r="E35" s="252">
        <f>+'Rate Class Customer Model'!E5</f>
        <v>2</v>
      </c>
      <c r="F35" s="252">
        <f>+'Rate Class Customer Model'!F5</f>
        <v>7.5</v>
      </c>
      <c r="G35" s="252">
        <f>+'Rate Class Customer Model'!G5</f>
        <v>10498.5</v>
      </c>
      <c r="H35" s="252">
        <f>+'Rate Class Customer Model'!H5</f>
        <v>29.5</v>
      </c>
      <c r="I35" s="252">
        <f>+'Rate Class Customer Model'!I5</f>
        <v>295</v>
      </c>
      <c r="J35" s="286">
        <f t="shared" si="4"/>
        <v>59614.5</v>
      </c>
      <c r="L35" s="277">
        <v>2005</v>
      </c>
      <c r="M35" s="252">
        <v>0</v>
      </c>
      <c r="N35" s="252">
        <v>0</v>
      </c>
      <c r="O35" s="252">
        <v>0</v>
      </c>
      <c r="P35" s="252">
        <v>0</v>
      </c>
      <c r="Q35" s="252">
        <v>0</v>
      </c>
      <c r="R35" s="252">
        <v>0</v>
      </c>
      <c r="S35" s="252">
        <v>0</v>
      </c>
      <c r="T35" s="252">
        <v>0</v>
      </c>
      <c r="U35" s="286">
        <f t="shared" si="5"/>
        <v>0</v>
      </c>
    </row>
    <row r="36" spans="1:21">
      <c r="A36" s="278">
        <v>2006</v>
      </c>
      <c r="B36" s="252">
        <f>+'Rate Class Customer Model'!B6</f>
        <v>45439</v>
      </c>
      <c r="C36" s="252">
        <f>+'Rate Class Customer Model'!C6</f>
        <v>3740.5</v>
      </c>
      <c r="D36" s="252">
        <f>+'Rate Class Customer Model'!D6</f>
        <v>525</v>
      </c>
      <c r="E36" s="252">
        <f>+'Rate Class Customer Model'!E6</f>
        <v>2</v>
      </c>
      <c r="F36" s="252">
        <f>+'Rate Class Customer Model'!F6</f>
        <v>8.5</v>
      </c>
      <c r="G36" s="252">
        <f>+'Rate Class Customer Model'!G6</f>
        <v>10831</v>
      </c>
      <c r="H36" s="252">
        <f>+'Rate Class Customer Model'!H6</f>
        <v>28.5</v>
      </c>
      <c r="I36" s="252">
        <f>+'Rate Class Customer Model'!I6</f>
        <v>298</v>
      </c>
      <c r="J36" s="286">
        <f t="shared" si="4"/>
        <v>60872.5</v>
      </c>
      <c r="L36" s="278">
        <v>2006</v>
      </c>
      <c r="M36" s="252">
        <v>0</v>
      </c>
      <c r="N36" s="252">
        <v>0</v>
      </c>
      <c r="O36" s="252">
        <v>0</v>
      </c>
      <c r="P36" s="252">
        <v>0</v>
      </c>
      <c r="Q36" s="252">
        <v>0</v>
      </c>
      <c r="R36" s="252">
        <v>0</v>
      </c>
      <c r="S36" s="252">
        <v>0</v>
      </c>
      <c r="T36" s="252">
        <v>0</v>
      </c>
      <c r="U36" s="286">
        <f t="shared" si="5"/>
        <v>0</v>
      </c>
    </row>
    <row r="37" spans="1:21">
      <c r="A37" s="277">
        <v>2007</v>
      </c>
      <c r="B37" s="252">
        <f>+'Rate Class Customer Model'!B7</f>
        <v>46320</v>
      </c>
      <c r="C37" s="252">
        <f>+'Rate Class Customer Model'!C7</f>
        <v>3749</v>
      </c>
      <c r="D37" s="252">
        <f>+'Rate Class Customer Model'!D7</f>
        <v>523</v>
      </c>
      <c r="E37" s="252">
        <f>+'Rate Class Customer Model'!E7</f>
        <v>2</v>
      </c>
      <c r="F37" s="252">
        <f>+'Rate Class Customer Model'!F7</f>
        <v>9</v>
      </c>
      <c r="G37" s="252">
        <f>+'Rate Class Customer Model'!G7</f>
        <v>11280.5</v>
      </c>
      <c r="H37" s="252">
        <f>+'Rate Class Customer Model'!H7</f>
        <v>26.5</v>
      </c>
      <c r="I37" s="252">
        <f>+'Rate Class Customer Model'!I7</f>
        <v>301</v>
      </c>
      <c r="J37" s="286">
        <f t="shared" si="4"/>
        <v>62211</v>
      </c>
      <c r="L37" s="277">
        <v>2007</v>
      </c>
      <c r="M37" s="252">
        <v>0</v>
      </c>
      <c r="N37" s="252">
        <v>0</v>
      </c>
      <c r="O37" s="252">
        <v>0</v>
      </c>
      <c r="P37" s="252">
        <v>0</v>
      </c>
      <c r="Q37" s="252">
        <v>0</v>
      </c>
      <c r="R37" s="252">
        <v>0</v>
      </c>
      <c r="S37" s="252">
        <v>0</v>
      </c>
      <c r="T37" s="252">
        <v>0</v>
      </c>
      <c r="U37" s="286">
        <f t="shared" si="5"/>
        <v>0</v>
      </c>
    </row>
    <row r="38" spans="1:21">
      <c r="A38" s="278">
        <v>2008</v>
      </c>
      <c r="B38" s="252">
        <f>+'Rate Class Customer Model'!B8</f>
        <v>47057.5</v>
      </c>
      <c r="C38" s="252">
        <f>+'Rate Class Customer Model'!C8</f>
        <v>3793.5</v>
      </c>
      <c r="D38" s="252">
        <f>+'Rate Class Customer Model'!D8</f>
        <v>533.5</v>
      </c>
      <c r="E38" s="252">
        <f>+'Rate Class Customer Model'!E8</f>
        <v>2.5</v>
      </c>
      <c r="F38" s="252">
        <f>+'Rate Class Customer Model'!F8</f>
        <v>9</v>
      </c>
      <c r="G38" s="252">
        <f>+'Rate Class Customer Model'!G8</f>
        <v>11621.5</v>
      </c>
      <c r="H38" s="252">
        <f>+'Rate Class Customer Model'!H8</f>
        <v>26</v>
      </c>
      <c r="I38" s="252">
        <f>+'Rate Class Customer Model'!I8</f>
        <v>301</v>
      </c>
      <c r="J38" s="286">
        <f t="shared" si="4"/>
        <v>63344.5</v>
      </c>
      <c r="L38" s="278">
        <v>2008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86">
        <f t="shared" si="5"/>
        <v>0</v>
      </c>
    </row>
    <row r="39" spans="1:21">
      <c r="A39" s="277">
        <v>2009</v>
      </c>
      <c r="B39" s="252">
        <f>+'Rate Class Customer Model'!B9</f>
        <v>47602.5</v>
      </c>
      <c r="C39" s="252">
        <f>+'Rate Class Customer Model'!C9</f>
        <v>3859.5</v>
      </c>
      <c r="D39" s="252">
        <f>+'Rate Class Customer Model'!D9</f>
        <v>525</v>
      </c>
      <c r="E39" s="252">
        <f>+'Rate Class Customer Model'!E9</f>
        <v>2</v>
      </c>
      <c r="F39" s="252">
        <f>+'Rate Class Customer Model'!F9</f>
        <v>9.5</v>
      </c>
      <c r="G39" s="252">
        <f>+'Rate Class Customer Model'!G9</f>
        <v>11801</v>
      </c>
      <c r="H39" s="252">
        <f>+'Rate Class Customer Model'!H9</f>
        <v>26</v>
      </c>
      <c r="I39" s="252">
        <f>+'Rate Class Customer Model'!I9</f>
        <v>302.5</v>
      </c>
      <c r="J39" s="286">
        <f t="shared" si="4"/>
        <v>64128</v>
      </c>
      <c r="L39" s="277">
        <v>2009</v>
      </c>
      <c r="M39" s="252">
        <v>0</v>
      </c>
      <c r="N39" s="252">
        <v>0</v>
      </c>
      <c r="O39" s="252">
        <v>0</v>
      </c>
      <c r="P39" s="252">
        <v>0</v>
      </c>
      <c r="Q39" s="252">
        <v>0</v>
      </c>
      <c r="R39" s="252">
        <v>0</v>
      </c>
      <c r="S39" s="252">
        <v>0</v>
      </c>
      <c r="T39" s="252">
        <v>0</v>
      </c>
      <c r="U39" s="286">
        <f t="shared" si="5"/>
        <v>0</v>
      </c>
    </row>
    <row r="40" spans="1:21">
      <c r="A40" s="278">
        <v>2010</v>
      </c>
      <c r="B40" s="252">
        <f>+'Rate Class Customer Model'!B10</f>
        <v>48114.5</v>
      </c>
      <c r="C40" s="252">
        <f>+'Rate Class Customer Model'!C10</f>
        <v>3929</v>
      </c>
      <c r="D40" s="252">
        <f>+'Rate Class Customer Model'!D10</f>
        <v>512.5</v>
      </c>
      <c r="E40" s="252">
        <f>+'Rate Class Customer Model'!E10</f>
        <v>1</v>
      </c>
      <c r="F40" s="252">
        <f>+'Rate Class Customer Model'!F10</f>
        <v>10</v>
      </c>
      <c r="G40" s="252">
        <f>+'Rate Class Customer Model'!G10</f>
        <v>11995.5</v>
      </c>
      <c r="H40" s="252">
        <f>+'Rate Class Customer Model'!H10</f>
        <v>25</v>
      </c>
      <c r="I40" s="252">
        <f>+'Rate Class Customer Model'!I10</f>
        <v>306.5</v>
      </c>
      <c r="J40" s="286">
        <f t="shared" si="4"/>
        <v>64894</v>
      </c>
      <c r="L40" s="278">
        <v>2010</v>
      </c>
      <c r="M40" s="252">
        <v>0</v>
      </c>
      <c r="N40" s="252">
        <v>0</v>
      </c>
      <c r="O40" s="252">
        <v>0</v>
      </c>
      <c r="P40" s="252">
        <v>0</v>
      </c>
      <c r="Q40" s="252">
        <v>0</v>
      </c>
      <c r="R40" s="252">
        <v>0</v>
      </c>
      <c r="S40" s="252">
        <v>0</v>
      </c>
      <c r="T40" s="252">
        <v>0</v>
      </c>
      <c r="U40" s="286">
        <f t="shared" si="5"/>
        <v>0</v>
      </c>
    </row>
    <row r="41" spans="1:21">
      <c r="A41" s="278">
        <v>2011</v>
      </c>
      <c r="B41" s="252">
        <f>+'Rate Class Customer Model'!B11</f>
        <v>48650.5</v>
      </c>
      <c r="C41" s="252">
        <f>+'Rate Class Customer Model'!C11</f>
        <v>3888.5</v>
      </c>
      <c r="D41" s="252">
        <f>+'Rate Class Customer Model'!D11</f>
        <v>520.5</v>
      </c>
      <c r="E41" s="252">
        <f>+'Rate Class Customer Model'!E11</f>
        <v>1</v>
      </c>
      <c r="F41" s="252">
        <f>+'Rate Class Customer Model'!F11</f>
        <v>10</v>
      </c>
      <c r="G41" s="252">
        <f>+'Rate Class Customer Model'!G11</f>
        <v>12127.5</v>
      </c>
      <c r="H41" s="252">
        <f>+'Rate Class Customer Model'!H11</f>
        <v>24</v>
      </c>
      <c r="I41" s="252">
        <f>+'Rate Class Customer Model'!I11</f>
        <v>302.5</v>
      </c>
      <c r="J41" s="286">
        <f t="shared" si="4"/>
        <v>65524.5</v>
      </c>
      <c r="L41" s="278">
        <v>2011</v>
      </c>
      <c r="M41" s="252">
        <v>0</v>
      </c>
      <c r="N41" s="252">
        <v>0</v>
      </c>
      <c r="O41" s="252">
        <v>0</v>
      </c>
      <c r="P41" s="252">
        <v>0</v>
      </c>
      <c r="Q41" s="252">
        <v>0</v>
      </c>
      <c r="R41" s="252">
        <v>0</v>
      </c>
      <c r="S41" s="252">
        <v>0</v>
      </c>
      <c r="T41" s="252">
        <v>0</v>
      </c>
      <c r="U41" s="286">
        <f t="shared" si="5"/>
        <v>0</v>
      </c>
    </row>
    <row r="42" spans="1:21">
      <c r="A42" s="278">
        <v>2012</v>
      </c>
      <c r="B42" s="252">
        <f>+'Rate Class Customer Model'!B12</f>
        <v>49021</v>
      </c>
      <c r="C42" s="252">
        <f>+'Rate Class Customer Model'!C12</f>
        <v>3850.5</v>
      </c>
      <c r="D42" s="252">
        <f>+'Rate Class Customer Model'!D12</f>
        <v>511.5</v>
      </c>
      <c r="E42" s="252">
        <f>+'Rate Class Customer Model'!E12</f>
        <v>1</v>
      </c>
      <c r="F42" s="252">
        <f>+'Rate Class Customer Model'!F12</f>
        <v>10.5</v>
      </c>
      <c r="G42" s="252">
        <f>+'Rate Class Customer Model'!G12</f>
        <v>12213</v>
      </c>
      <c r="H42" s="252">
        <f>+'Rate Class Customer Model'!H12</f>
        <v>24</v>
      </c>
      <c r="I42" s="252">
        <f>+'Rate Class Customer Model'!I12</f>
        <v>295.5</v>
      </c>
      <c r="J42" s="286">
        <f t="shared" si="4"/>
        <v>65927</v>
      </c>
      <c r="L42" s="278">
        <v>2012</v>
      </c>
      <c r="M42" s="252">
        <v>0</v>
      </c>
      <c r="N42" s="252">
        <v>0</v>
      </c>
      <c r="O42" s="252">
        <v>0</v>
      </c>
      <c r="P42" s="252">
        <v>0</v>
      </c>
      <c r="Q42" s="252">
        <v>0</v>
      </c>
      <c r="R42" s="252">
        <v>0</v>
      </c>
      <c r="S42" s="252">
        <v>0</v>
      </c>
      <c r="T42" s="252">
        <v>0</v>
      </c>
      <c r="U42" s="286">
        <f t="shared" si="5"/>
        <v>0</v>
      </c>
    </row>
    <row r="43" spans="1:21">
      <c r="A43" s="278">
        <v>2013</v>
      </c>
      <c r="B43" s="252">
        <f>+'Rate Class Customer Model'!B13</f>
        <v>49511</v>
      </c>
      <c r="C43" s="252">
        <f>+'Rate Class Customer Model'!C13</f>
        <v>3902</v>
      </c>
      <c r="D43" s="252">
        <f>+'Rate Class Customer Model'!D13</f>
        <v>500</v>
      </c>
      <c r="E43" s="252">
        <f>+'Rate Class Customer Model'!E13</f>
        <v>1</v>
      </c>
      <c r="F43" s="252">
        <f>+'Rate Class Customer Model'!F13</f>
        <v>11</v>
      </c>
      <c r="G43" s="252">
        <f>+'Rate Class Customer Model'!G13</f>
        <v>12327.5</v>
      </c>
      <c r="H43" s="252">
        <f>+'Rate Class Customer Model'!H13</f>
        <v>24</v>
      </c>
      <c r="I43" s="252">
        <f>+'Rate Class Customer Model'!I13</f>
        <v>295</v>
      </c>
      <c r="J43" s="286">
        <f t="shared" si="4"/>
        <v>66571.5</v>
      </c>
      <c r="L43" s="278">
        <v>2013</v>
      </c>
      <c r="M43" s="252">
        <v>0</v>
      </c>
      <c r="N43" s="252">
        <v>0</v>
      </c>
      <c r="O43" s="252">
        <v>0</v>
      </c>
      <c r="P43" s="252">
        <v>0</v>
      </c>
      <c r="Q43" s="252">
        <v>0</v>
      </c>
      <c r="R43" s="252">
        <v>0</v>
      </c>
      <c r="S43" s="252">
        <v>0</v>
      </c>
      <c r="T43" s="252">
        <v>0</v>
      </c>
      <c r="U43" s="286">
        <f t="shared" si="5"/>
        <v>0</v>
      </c>
    </row>
    <row r="44" spans="1:21">
      <c r="A44" s="278" t="s">
        <v>228</v>
      </c>
      <c r="B44" s="252">
        <f>+'Rate Class Customer Model'!B14+M44</f>
        <v>50176.865096229601</v>
      </c>
      <c r="C44" s="252">
        <f>+'Rate Class Customer Model'!C14+N44</f>
        <v>3923.9650092846832</v>
      </c>
      <c r="D44" s="252">
        <f>+'Rate Class Customer Model'!D14+O44</f>
        <v>500</v>
      </c>
      <c r="E44" s="252">
        <f>+'Rate Class Customer Model'!E14+P44</f>
        <v>1</v>
      </c>
      <c r="F44" s="252">
        <f>+'Rate Class Customer Model'!F14+Q44</f>
        <v>11</v>
      </c>
      <c r="G44" s="252">
        <f>+'Rate Class Customer Model'!G14+R44</f>
        <v>12580.764461270714</v>
      </c>
      <c r="H44" s="252">
        <f>+'Rate Class Customer Model'!H14+S44</f>
        <v>23.144641405622657</v>
      </c>
      <c r="I44" s="252">
        <f>+'Rate Class Customer Model'!I14+T44</f>
        <v>295.30169000587858</v>
      </c>
      <c r="J44" s="286">
        <f t="shared" si="4"/>
        <v>67512.040898196501</v>
      </c>
      <c r="L44" s="278" t="s">
        <v>228</v>
      </c>
      <c r="M44" s="252">
        <f>+'City Expansion'!B65</f>
        <v>0</v>
      </c>
      <c r="N44" s="252">
        <f>+'City Expansion'!C65</f>
        <v>0</v>
      </c>
      <c r="O44" s="252">
        <f>+'City Expansion'!D65</f>
        <v>0</v>
      </c>
      <c r="P44" s="252">
        <f>+'City Expansion'!E65</f>
        <v>0</v>
      </c>
      <c r="Q44" s="252">
        <f>+'City Expansion'!F65</f>
        <v>0</v>
      </c>
      <c r="R44" s="252">
        <f>+'City Expansion'!G65</f>
        <v>0</v>
      </c>
      <c r="S44" s="252">
        <f>+'City Expansion'!H65</f>
        <v>0</v>
      </c>
      <c r="T44" s="252">
        <f>+'City Expansion'!I65</f>
        <v>0</v>
      </c>
      <c r="U44" s="286">
        <f t="shared" si="5"/>
        <v>0</v>
      </c>
    </row>
    <row r="45" spans="1:21">
      <c r="A45" s="278" t="s">
        <v>229</v>
      </c>
      <c r="B45" s="252">
        <f>+'Rate Class Customer Model'!B15+M45</f>
        <v>51682.185299937883</v>
      </c>
      <c r="C45" s="252">
        <f>+'Rate Class Customer Model'!C15+N45</f>
        <v>4041.6536632728203</v>
      </c>
      <c r="D45" s="252">
        <f>+'Rate Class Customer Model'!D15+O45</f>
        <v>515</v>
      </c>
      <c r="E45" s="252">
        <f>+'Rate Class Customer Model'!E15+P45</f>
        <v>1</v>
      </c>
      <c r="F45" s="252">
        <f>+'Rate Class Customer Model'!F15+Q45</f>
        <v>11.3</v>
      </c>
      <c r="G45" s="252">
        <f>+'Rate Class Customer Model'!G15+R45</f>
        <v>12958.232158180668</v>
      </c>
      <c r="H45" s="252">
        <f>+'Rate Class Customer Model'!H15+S45</f>
        <v>22.319767741452615</v>
      </c>
      <c r="I45" s="252">
        <f>+'Rate Class Customer Model'!I15+T45</f>
        <v>295.60368854348479</v>
      </c>
      <c r="J45" s="286">
        <f t="shared" si="4"/>
        <v>69527.294577676308</v>
      </c>
      <c r="L45" s="278" t="s">
        <v>229</v>
      </c>
      <c r="M45" s="252">
        <f>+'City Expansion'!B66</f>
        <v>830.5</v>
      </c>
      <c r="N45" s="252">
        <f>+'City Expansion'!C66</f>
        <v>95.6</v>
      </c>
      <c r="O45" s="252">
        <f>+'City Expansion'!D66</f>
        <v>15</v>
      </c>
      <c r="P45" s="252">
        <f>+'City Expansion'!E66</f>
        <v>0</v>
      </c>
      <c r="Q45" s="252">
        <f>+'City Expansion'!F66</f>
        <v>0.3</v>
      </c>
      <c r="R45" s="252">
        <f>+'City Expansion'!G66</f>
        <v>119</v>
      </c>
      <c r="S45" s="252">
        <f>+'City Expansion'!H66</f>
        <v>0</v>
      </c>
      <c r="T45" s="252">
        <f>+'City Expansion'!I66</f>
        <v>0</v>
      </c>
      <c r="U45" s="286">
        <f t="shared" si="5"/>
        <v>1060.4000000000001</v>
      </c>
    </row>
    <row r="46" spans="1:21">
      <c r="A46" s="278" t="s">
        <v>230</v>
      </c>
      <c r="B46" s="252">
        <f>+'Rate Class Customer Model'!B16+M46</f>
        <v>53232.681046856349</v>
      </c>
      <c r="C46" s="252">
        <f>+'Rate Class Customer Model'!C16+N46</f>
        <v>4162.9666579810846</v>
      </c>
      <c r="D46" s="252">
        <f>+'Rate Class Customer Model'!D16+O46</f>
        <v>530.5</v>
      </c>
      <c r="E46" s="252">
        <f>+'Rate Class Customer Model'!E16+P46</f>
        <v>1</v>
      </c>
      <c r="F46" s="252">
        <f>+'Rate Class Customer Model'!F16+Q46</f>
        <v>11.7</v>
      </c>
      <c r="G46" s="252">
        <f>+'Rate Class Customer Model'!G16+R46</f>
        <v>13346.909989506667</v>
      </c>
      <c r="H46" s="252">
        <f>+'Rate Class Customer Model'!H16+S46</f>
        <v>21.524292526362714</v>
      </c>
      <c r="I46" s="252">
        <f>+'Rate Class Customer Model'!I16+T46</f>
        <v>295.90599592834724</v>
      </c>
      <c r="J46" s="286">
        <f t="shared" si="4"/>
        <v>71603.187982798801</v>
      </c>
      <c r="L46" s="278" t="s">
        <v>230</v>
      </c>
      <c r="M46" s="252">
        <f>+'City Expansion'!B67</f>
        <v>1697.1</v>
      </c>
      <c r="N46" s="252">
        <f>+'City Expansion'!C67</f>
        <v>194.7</v>
      </c>
      <c r="O46" s="252">
        <f>+'City Expansion'!D67</f>
        <v>30.5</v>
      </c>
      <c r="P46" s="252">
        <f>+'City Expansion'!E67</f>
        <v>0</v>
      </c>
      <c r="Q46" s="252">
        <f>+'City Expansion'!F67</f>
        <v>0.7</v>
      </c>
      <c r="R46" s="252">
        <f>+'City Expansion'!G67</f>
        <v>243.9</v>
      </c>
      <c r="S46" s="252">
        <f>+'City Expansion'!H67</f>
        <v>0</v>
      </c>
      <c r="T46" s="252">
        <f>+'City Expansion'!I67</f>
        <v>0</v>
      </c>
      <c r="U46" s="286">
        <f t="shared" si="5"/>
        <v>2166.9</v>
      </c>
    </row>
    <row r="47" spans="1:21">
      <c r="A47" s="278" t="s">
        <v>231</v>
      </c>
      <c r="B47" s="252">
        <f>+'Rate Class Customer Model'!B17+M47</f>
        <v>54829.574392436392</v>
      </c>
      <c r="C47" s="252">
        <f>+'Rate Class Customer Model'!C17+N47</f>
        <v>4287.8046933441428</v>
      </c>
      <c r="D47" s="252">
        <f>+'Rate Class Customer Model'!D17+O47</f>
        <v>546.4</v>
      </c>
      <c r="E47" s="252">
        <f>+'Rate Class Customer Model'!E17+P47</f>
        <v>1</v>
      </c>
      <c r="F47" s="252">
        <f>+'Rate Class Customer Model'!F17+Q47</f>
        <v>12</v>
      </c>
      <c r="G47" s="252">
        <f>+'Rate Class Customer Model'!G17+R47</f>
        <v>13747.307050225967</v>
      </c>
      <c r="H47" s="252">
        <f>+'Rate Class Customer Model'!H17+S47</f>
        <v>20.757168001349534</v>
      </c>
      <c r="I47" s="252">
        <f>+'Rate Class Customer Model'!I17+T47</f>
        <v>296.20861247631717</v>
      </c>
      <c r="J47" s="286">
        <f t="shared" si="4"/>
        <v>73741.051916484168</v>
      </c>
      <c r="L47" s="278" t="s">
        <v>231</v>
      </c>
      <c r="M47" s="252">
        <f>+'City Expansion'!B68</f>
        <v>2600.9</v>
      </c>
      <c r="N47" s="252">
        <f>+'City Expansion'!C68</f>
        <v>297.2</v>
      </c>
      <c r="O47" s="252">
        <f>+'City Expansion'!D68</f>
        <v>46.4</v>
      </c>
      <c r="P47" s="252">
        <f>+'City Expansion'!E68</f>
        <v>0</v>
      </c>
      <c r="Q47" s="252">
        <f>+'City Expansion'!F68</f>
        <v>1</v>
      </c>
      <c r="R47" s="252">
        <f>+'City Expansion'!G68</f>
        <v>375.1</v>
      </c>
      <c r="S47" s="252">
        <f>+'City Expansion'!H68</f>
        <v>0</v>
      </c>
      <c r="T47" s="252">
        <f>+'City Expansion'!I68</f>
        <v>0</v>
      </c>
      <c r="U47" s="286">
        <f t="shared" si="5"/>
        <v>3320.6</v>
      </c>
    </row>
    <row r="48" spans="1:21">
      <c r="A48" s="278" t="s">
        <v>232</v>
      </c>
      <c r="B48" s="252">
        <f>+'Rate Class Customer Model'!B18+M48</f>
        <v>56474.48903363257</v>
      </c>
      <c r="C48" s="252">
        <f>+'Rate Class Customer Model'!C18+N48</f>
        <v>4416.4684732367114</v>
      </c>
      <c r="D48" s="252">
        <f>+'Rate Class Customer Model'!D18+O48</f>
        <v>562.79999999999995</v>
      </c>
      <c r="E48" s="252">
        <f>+'Rate Class Customer Model'!E18+P48</f>
        <v>1</v>
      </c>
      <c r="F48" s="252">
        <f>+'Rate Class Customer Model'!F18+Q48</f>
        <v>12.4</v>
      </c>
      <c r="G48" s="252">
        <f>+'Rate Class Customer Model'!G18+R48</f>
        <v>14159.734676636504</v>
      </c>
      <c r="H48" s="252">
        <f>+'Rate Class Customer Model'!H18+S48</f>
        <v>20.017383749479173</v>
      </c>
      <c r="I48" s="252">
        <f>+'Rate Class Customer Model'!I18+T48</f>
        <v>296.51153850356894</v>
      </c>
      <c r="J48" s="286">
        <f t="shared" si="4"/>
        <v>75943.42110575884</v>
      </c>
      <c r="L48" s="278" t="s">
        <v>232</v>
      </c>
      <c r="M48" s="252">
        <f>+'City Expansion'!B69</f>
        <v>3543.4</v>
      </c>
      <c r="N48" s="252">
        <f>+'City Expansion'!C69</f>
        <v>403.4</v>
      </c>
      <c r="O48" s="252">
        <f>+'City Expansion'!D69</f>
        <v>62.8</v>
      </c>
      <c r="P48" s="252">
        <f>+'City Expansion'!E69</f>
        <v>0</v>
      </c>
      <c r="Q48" s="252">
        <f>+'City Expansion'!F69</f>
        <v>1.4</v>
      </c>
      <c r="R48" s="252">
        <f>+'City Expansion'!G69</f>
        <v>512.79999999999995</v>
      </c>
      <c r="S48" s="252">
        <f>+'City Expansion'!H69</f>
        <v>0</v>
      </c>
      <c r="T48" s="252">
        <f>+'City Expansion'!I69</f>
        <v>0</v>
      </c>
      <c r="U48" s="286">
        <f t="shared" si="5"/>
        <v>4523.8</v>
      </c>
    </row>
    <row r="49" spans="1:21" ht="13.8" thickBot="1">
      <c r="A49" s="279" t="s">
        <v>233</v>
      </c>
      <c r="B49" s="265">
        <f>+'Rate Class Customer Model'!B19+M49</f>
        <v>58168.750330978961</v>
      </c>
      <c r="C49" s="265">
        <f>+'Rate Class Customer Model'!C19+N49</f>
        <v>4548.9587054957365</v>
      </c>
      <c r="D49" s="265">
        <f>+'Rate Class Customer Model'!D19+O49</f>
        <v>579.6</v>
      </c>
      <c r="E49" s="265">
        <f>+'Rate Class Customer Model'!E19+P49</f>
        <v>1</v>
      </c>
      <c r="F49" s="265">
        <f>+'Rate Class Customer Model'!F19+Q49</f>
        <v>12.8</v>
      </c>
      <c r="G49" s="265">
        <f>+'Rate Class Customer Model'!G19+R49</f>
        <v>14584.506492404096</v>
      </c>
      <c r="H49" s="265">
        <f>+'Rate Class Customer Model'!H19+S49</f>
        <v>19.303965365018076</v>
      </c>
      <c r="I49" s="265">
        <f>+'Rate Class Customer Model'!I19+T49</f>
        <v>296.81477432660017</v>
      </c>
      <c r="J49" s="287">
        <f t="shared" si="4"/>
        <v>78211.734268570421</v>
      </c>
      <c r="L49" s="279" t="s">
        <v>233</v>
      </c>
      <c r="M49" s="265">
        <f>+'City Expansion'!B70</f>
        <v>4525.8</v>
      </c>
      <c r="N49" s="265">
        <f>+'City Expansion'!C70</f>
        <v>513.29999999999995</v>
      </c>
      <c r="O49" s="265">
        <f>+'City Expansion'!D70</f>
        <v>79.599999999999994</v>
      </c>
      <c r="P49" s="265">
        <f>+'City Expansion'!E70</f>
        <v>0</v>
      </c>
      <c r="Q49" s="265">
        <f>+'City Expansion'!F70</f>
        <v>1.8</v>
      </c>
      <c r="R49" s="265">
        <f>+'City Expansion'!G70</f>
        <v>657.2</v>
      </c>
      <c r="S49" s="265">
        <f>+'City Expansion'!H70</f>
        <v>0</v>
      </c>
      <c r="T49" s="265">
        <f>+'City Expansion'!I70</f>
        <v>0</v>
      </c>
      <c r="U49" s="287">
        <f t="shared" si="5"/>
        <v>5777.7000000000007</v>
      </c>
    </row>
    <row r="50" spans="1:21"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21">
      <c r="A51" s="66" t="s">
        <v>248</v>
      </c>
    </row>
    <row r="52" spans="1:21" ht="13.8" thickBot="1"/>
    <row r="53" spans="1:21" ht="23.4" thickBot="1">
      <c r="A53" s="257" t="s">
        <v>112</v>
      </c>
      <c r="B53" s="250" t="s">
        <v>71</v>
      </c>
      <c r="C53" s="250" t="s">
        <v>236</v>
      </c>
      <c r="D53" s="250" t="s">
        <v>235</v>
      </c>
      <c r="E53" s="250" t="s">
        <v>74</v>
      </c>
      <c r="F53" s="250" t="s">
        <v>237</v>
      </c>
      <c r="G53" s="250" t="s">
        <v>238</v>
      </c>
      <c r="H53" s="250" t="s">
        <v>239</v>
      </c>
      <c r="I53" s="250" t="s">
        <v>76</v>
      </c>
      <c r="J53" s="251" t="s">
        <v>9</v>
      </c>
      <c r="L53" s="257" t="s">
        <v>112</v>
      </c>
      <c r="M53" s="250" t="s">
        <v>71</v>
      </c>
      <c r="N53" s="250" t="s">
        <v>236</v>
      </c>
      <c r="O53" s="250" t="s">
        <v>235</v>
      </c>
      <c r="P53" s="250" t="s">
        <v>74</v>
      </c>
      <c r="Q53" s="250" t="s">
        <v>237</v>
      </c>
      <c r="R53" s="250" t="s">
        <v>238</v>
      </c>
      <c r="S53" s="250" t="s">
        <v>239</v>
      </c>
      <c r="T53" s="250" t="s">
        <v>76</v>
      </c>
      <c r="U53" s="251" t="s">
        <v>9</v>
      </c>
    </row>
    <row r="54" spans="1:21">
      <c r="A54" s="280" t="s">
        <v>240</v>
      </c>
      <c r="B54" s="281"/>
      <c r="C54" s="281"/>
      <c r="D54" s="281"/>
      <c r="E54" s="281"/>
      <c r="F54" s="281"/>
      <c r="G54" s="281"/>
      <c r="H54" s="281"/>
      <c r="I54" s="281"/>
      <c r="J54" s="282"/>
      <c r="L54" s="280" t="s">
        <v>240</v>
      </c>
      <c r="M54" s="281"/>
      <c r="N54" s="281"/>
      <c r="O54" s="281"/>
      <c r="P54" s="281"/>
      <c r="Q54" s="281"/>
      <c r="R54" s="281"/>
      <c r="S54" s="281"/>
      <c r="T54" s="281"/>
      <c r="U54" s="282"/>
    </row>
    <row r="55" spans="1:21">
      <c r="A55" s="283" t="s">
        <v>114</v>
      </c>
      <c r="B55" s="255">
        <v>487192399</v>
      </c>
      <c r="C55" s="255">
        <v>140097188</v>
      </c>
      <c r="D55" s="255">
        <v>358858375</v>
      </c>
      <c r="E55" s="255">
        <v>60139982</v>
      </c>
      <c r="F55" s="255">
        <v>80956601</v>
      </c>
      <c r="G55" s="255">
        <v>10072853</v>
      </c>
      <c r="H55" s="255">
        <v>40813</v>
      </c>
      <c r="I55" s="255">
        <v>3841944</v>
      </c>
      <c r="J55" s="262">
        <f>SUM(B55:I55)</f>
        <v>1141200155</v>
      </c>
      <c r="L55" s="283" t="s">
        <v>114</v>
      </c>
      <c r="M55" s="255">
        <v>0</v>
      </c>
      <c r="N55" s="255">
        <v>0</v>
      </c>
      <c r="O55" s="255">
        <v>0</v>
      </c>
      <c r="P55" s="255">
        <v>0</v>
      </c>
      <c r="Q55" s="255">
        <v>0</v>
      </c>
      <c r="R55" s="255">
        <v>0</v>
      </c>
      <c r="S55" s="255">
        <v>0</v>
      </c>
      <c r="T55" s="255">
        <v>0</v>
      </c>
      <c r="U55" s="262">
        <f>SUM(M55:T55)</f>
        <v>0</v>
      </c>
    </row>
    <row r="56" spans="1:21">
      <c r="A56" s="283" t="s">
        <v>227</v>
      </c>
      <c r="B56" s="255">
        <v>496447375</v>
      </c>
      <c r="C56" s="255">
        <v>132319612</v>
      </c>
      <c r="D56" s="255">
        <v>359363080</v>
      </c>
      <c r="E56" s="255">
        <v>33402763</v>
      </c>
      <c r="F56" s="255">
        <v>78175306</v>
      </c>
      <c r="G56" s="255">
        <v>11044796</v>
      </c>
      <c r="H56" s="255">
        <v>38567</v>
      </c>
      <c r="I56" s="255">
        <v>3208501</v>
      </c>
      <c r="J56" s="262">
        <f>SUM(B56:I56)</f>
        <v>1114000000</v>
      </c>
      <c r="L56" s="283" t="s">
        <v>227</v>
      </c>
      <c r="M56" s="255">
        <v>0</v>
      </c>
      <c r="N56" s="255">
        <v>0</v>
      </c>
      <c r="O56" s="255">
        <v>0</v>
      </c>
      <c r="P56" s="255">
        <v>0</v>
      </c>
      <c r="Q56" s="255">
        <v>0</v>
      </c>
      <c r="R56" s="255">
        <v>0</v>
      </c>
      <c r="S56" s="255">
        <v>0</v>
      </c>
      <c r="T56" s="255">
        <v>0</v>
      </c>
      <c r="U56" s="262">
        <f>SUM(M56:T56)</f>
        <v>0</v>
      </c>
    </row>
    <row r="57" spans="1:21">
      <c r="A57" s="277"/>
      <c r="B57" s="254"/>
      <c r="C57" s="284"/>
      <c r="D57" s="284"/>
      <c r="E57" s="284"/>
      <c r="F57" s="284"/>
      <c r="G57" s="284"/>
      <c r="H57" s="284"/>
      <c r="I57" s="284"/>
      <c r="J57" s="285"/>
      <c r="L57" s="277"/>
      <c r="M57" s="254"/>
      <c r="N57" s="284"/>
      <c r="O57" s="284"/>
      <c r="P57" s="284"/>
      <c r="Q57" s="284"/>
      <c r="R57" s="284"/>
      <c r="S57" s="284"/>
      <c r="T57" s="284"/>
      <c r="U57" s="285"/>
    </row>
    <row r="58" spans="1:21">
      <c r="A58" s="277">
        <v>2003</v>
      </c>
      <c r="B58" s="252">
        <f>+'Rate Class Energy Model'!H7</f>
        <v>457616904</v>
      </c>
      <c r="C58" s="252">
        <f>+'Rate Class Energy Model'!I7</f>
        <v>121224653</v>
      </c>
      <c r="D58" s="252">
        <f>+'Rate Class Energy Model'!J7</f>
        <v>281244125.5</v>
      </c>
      <c r="E58" s="252">
        <f>+'Rate Class Energy Model'!K7</f>
        <v>169257212.5</v>
      </c>
      <c r="F58" s="252">
        <f>+'Rate Class Energy Model'!L7</f>
        <v>96172091</v>
      </c>
      <c r="G58" s="252">
        <f>+'Rate Class Energy Model'!M7</f>
        <v>8359780.5</v>
      </c>
      <c r="H58" s="252">
        <f>+'Rate Class Energy Model'!N7</f>
        <v>45541</v>
      </c>
      <c r="I58" s="252">
        <f>+'Rate Class Energy Model'!O7</f>
        <v>2920000</v>
      </c>
      <c r="J58" s="286">
        <f t="shared" ref="J58:J68" si="6">SUM(B58:I58)</f>
        <v>1136840307.5</v>
      </c>
      <c r="L58" s="277">
        <v>2003</v>
      </c>
      <c r="M58" s="252">
        <v>0</v>
      </c>
      <c r="N58" s="252">
        <v>0</v>
      </c>
      <c r="O58" s="252">
        <v>0</v>
      </c>
      <c r="P58" s="252">
        <v>0</v>
      </c>
      <c r="Q58" s="252">
        <v>0</v>
      </c>
      <c r="R58" s="252">
        <v>0</v>
      </c>
      <c r="S58" s="252">
        <v>0</v>
      </c>
      <c r="T58" s="252">
        <v>0</v>
      </c>
      <c r="U58" s="286">
        <f t="shared" ref="U58:U68" si="7">SUM(M58:T58)</f>
        <v>0</v>
      </c>
    </row>
    <row r="59" spans="1:21" ht="13.5" customHeight="1">
      <c r="A59" s="278">
        <v>2004</v>
      </c>
      <c r="B59" s="252">
        <f>+'Rate Class Energy Model'!H8</f>
        <v>448138859</v>
      </c>
      <c r="C59" s="252">
        <f>+'Rate Class Energy Model'!I8</f>
        <v>129998490</v>
      </c>
      <c r="D59" s="252">
        <f>+'Rate Class Energy Model'!J8</f>
        <v>360631980</v>
      </c>
      <c r="E59" s="252">
        <f>+'Rate Class Energy Model'!K8</f>
        <v>112144196</v>
      </c>
      <c r="F59" s="252">
        <f>+'Rate Class Energy Model'!L8</f>
        <v>65676068</v>
      </c>
      <c r="G59" s="252">
        <f>+'Rate Class Energy Model'!M8</f>
        <v>8743099.0634733941</v>
      </c>
      <c r="H59" s="252">
        <f>+'Rate Class Energy Model'!N8</f>
        <v>27821</v>
      </c>
      <c r="I59" s="252">
        <f>+'Rate Class Energy Model'!O8</f>
        <v>2940000</v>
      </c>
      <c r="J59" s="286">
        <f t="shared" si="6"/>
        <v>1128300513.0634735</v>
      </c>
      <c r="L59" s="278">
        <v>2004</v>
      </c>
      <c r="M59" s="252">
        <v>0</v>
      </c>
      <c r="N59" s="252">
        <v>0</v>
      </c>
      <c r="O59" s="252">
        <v>0</v>
      </c>
      <c r="P59" s="252">
        <v>0</v>
      </c>
      <c r="Q59" s="252">
        <v>0</v>
      </c>
      <c r="R59" s="252">
        <v>0</v>
      </c>
      <c r="S59" s="252">
        <v>0</v>
      </c>
      <c r="T59" s="252">
        <v>0</v>
      </c>
      <c r="U59" s="286">
        <f t="shared" si="7"/>
        <v>0</v>
      </c>
    </row>
    <row r="60" spans="1:21">
      <c r="A60" s="277">
        <v>2005</v>
      </c>
      <c r="B60" s="252">
        <f>+'Rate Class Energy Model'!H9</f>
        <v>485961504</v>
      </c>
      <c r="C60" s="252">
        <f>+'Rate Class Energy Model'!I9</f>
        <v>135909028</v>
      </c>
      <c r="D60" s="252">
        <f>+'Rate Class Energy Model'!J9</f>
        <v>361962669</v>
      </c>
      <c r="E60" s="252">
        <f>+'Rate Class Energy Model'!K9</f>
        <v>62904833</v>
      </c>
      <c r="F60" s="252">
        <f>+'Rate Class Energy Model'!L9</f>
        <v>67016961</v>
      </c>
      <c r="G60" s="252">
        <f>+'Rate Class Energy Model'!M9</f>
        <v>9182978</v>
      </c>
      <c r="H60" s="252">
        <f>+'Rate Class Energy Model'!N9</f>
        <v>43197</v>
      </c>
      <c r="I60" s="252">
        <f>+'Rate Class Energy Model'!O9</f>
        <v>2950000</v>
      </c>
      <c r="J60" s="286">
        <f t="shared" si="6"/>
        <v>1125931170</v>
      </c>
      <c r="L60" s="277">
        <v>2005</v>
      </c>
      <c r="M60" s="252">
        <v>0</v>
      </c>
      <c r="N60" s="252">
        <v>0</v>
      </c>
      <c r="O60" s="252">
        <v>0</v>
      </c>
      <c r="P60" s="252">
        <v>0</v>
      </c>
      <c r="Q60" s="252">
        <v>0</v>
      </c>
      <c r="R60" s="252">
        <v>0</v>
      </c>
      <c r="S60" s="252">
        <v>0</v>
      </c>
      <c r="T60" s="252">
        <v>0</v>
      </c>
      <c r="U60" s="286">
        <f t="shared" si="7"/>
        <v>0</v>
      </c>
    </row>
    <row r="61" spans="1:21">
      <c r="A61" s="278">
        <v>2006</v>
      </c>
      <c r="B61" s="252">
        <f>+'Rate Class Energy Model'!H10</f>
        <v>466401366</v>
      </c>
      <c r="C61" s="252">
        <f>+'Rate Class Energy Model'!I10</f>
        <v>134155770</v>
      </c>
      <c r="D61" s="252">
        <f>+'Rate Class Energy Model'!J10</f>
        <v>357086593</v>
      </c>
      <c r="E61" s="252">
        <f>+'Rate Class Energy Model'!K10</f>
        <v>59654446</v>
      </c>
      <c r="F61" s="252">
        <f>+'Rate Class Energy Model'!L10</f>
        <v>80518764</v>
      </c>
      <c r="G61" s="252">
        <f>+'Rate Class Energy Model'!M10</f>
        <v>9398525</v>
      </c>
      <c r="H61" s="252">
        <f>+'Rate Class Energy Model'!N10</f>
        <v>42595</v>
      </c>
      <c r="I61" s="252">
        <f>+'Rate Class Energy Model'!O10</f>
        <v>2205188</v>
      </c>
      <c r="J61" s="286">
        <f t="shared" si="6"/>
        <v>1109463247</v>
      </c>
      <c r="L61" s="278">
        <v>2006</v>
      </c>
      <c r="M61" s="252">
        <v>0</v>
      </c>
      <c r="N61" s="252">
        <v>0</v>
      </c>
      <c r="O61" s="252">
        <v>0</v>
      </c>
      <c r="P61" s="252">
        <v>0</v>
      </c>
      <c r="Q61" s="252">
        <v>0</v>
      </c>
      <c r="R61" s="252">
        <v>0</v>
      </c>
      <c r="S61" s="252">
        <v>0</v>
      </c>
      <c r="T61" s="252">
        <v>0</v>
      </c>
      <c r="U61" s="286">
        <f t="shared" si="7"/>
        <v>0</v>
      </c>
    </row>
    <row r="62" spans="1:21">
      <c r="A62" s="277">
        <v>2007</v>
      </c>
      <c r="B62" s="252">
        <f>+'Rate Class Energy Model'!H11</f>
        <v>473023155</v>
      </c>
      <c r="C62" s="252">
        <f>+'Rate Class Energy Model'!I11</f>
        <v>132346004</v>
      </c>
      <c r="D62" s="252">
        <f>+'Rate Class Energy Model'!J11</f>
        <v>359144720</v>
      </c>
      <c r="E62" s="252">
        <f>+'Rate Class Energy Model'!K11</f>
        <v>61811846</v>
      </c>
      <c r="F62" s="252">
        <f>+'Rate Class Energy Model'!L11</f>
        <v>103869997</v>
      </c>
      <c r="G62" s="252">
        <f>+'Rate Class Energy Model'!M11</f>
        <v>9704521</v>
      </c>
      <c r="H62" s="252">
        <f>+'Rate Class Energy Model'!N11</f>
        <v>41408</v>
      </c>
      <c r="I62" s="252">
        <f>+'Rate Class Energy Model'!O11</f>
        <v>3818865</v>
      </c>
      <c r="J62" s="286">
        <f t="shared" si="6"/>
        <v>1143760516</v>
      </c>
      <c r="L62" s="277">
        <v>2007</v>
      </c>
      <c r="M62" s="252">
        <v>0</v>
      </c>
      <c r="N62" s="252">
        <v>0</v>
      </c>
      <c r="O62" s="252">
        <v>0</v>
      </c>
      <c r="P62" s="252">
        <v>0</v>
      </c>
      <c r="Q62" s="252">
        <v>0</v>
      </c>
      <c r="R62" s="252">
        <v>0</v>
      </c>
      <c r="S62" s="252">
        <v>0</v>
      </c>
      <c r="T62" s="252">
        <v>0</v>
      </c>
      <c r="U62" s="286">
        <f t="shared" si="7"/>
        <v>0</v>
      </c>
    </row>
    <row r="63" spans="1:21">
      <c r="A63" s="278">
        <v>2008</v>
      </c>
      <c r="B63" s="252">
        <f>+'Rate Class Energy Model'!H12</f>
        <v>470718851</v>
      </c>
      <c r="C63" s="252">
        <f>+'Rate Class Energy Model'!I12</f>
        <v>131868017</v>
      </c>
      <c r="D63" s="252">
        <f>+'Rate Class Energy Model'!J12</f>
        <v>352632150</v>
      </c>
      <c r="E63" s="252">
        <f>+'Rate Class Energy Model'!K12</f>
        <v>46461021</v>
      </c>
      <c r="F63" s="252">
        <f>+'Rate Class Energy Model'!L12</f>
        <v>102433272</v>
      </c>
      <c r="G63" s="252">
        <f>+'Rate Class Energy Model'!M12</f>
        <v>9725840</v>
      </c>
      <c r="H63" s="252">
        <f>+'Rate Class Energy Model'!N12</f>
        <v>39233</v>
      </c>
      <c r="I63" s="252">
        <f>+'Rate Class Energy Model'!O12</f>
        <v>3372873</v>
      </c>
      <c r="J63" s="286">
        <f t="shared" si="6"/>
        <v>1117251257</v>
      </c>
      <c r="L63" s="278">
        <v>2008</v>
      </c>
      <c r="M63" s="252">
        <v>0</v>
      </c>
      <c r="N63" s="252">
        <v>0</v>
      </c>
      <c r="O63" s="252">
        <v>0</v>
      </c>
      <c r="P63" s="252">
        <v>0</v>
      </c>
      <c r="Q63" s="252">
        <v>0</v>
      </c>
      <c r="R63" s="252">
        <v>0</v>
      </c>
      <c r="S63" s="252">
        <v>0</v>
      </c>
      <c r="T63" s="252">
        <v>0</v>
      </c>
      <c r="U63" s="286">
        <f t="shared" si="7"/>
        <v>0</v>
      </c>
    </row>
    <row r="64" spans="1:21">
      <c r="A64" s="277">
        <v>2009</v>
      </c>
      <c r="B64" s="252">
        <f>+'Rate Class Energy Model'!H13</f>
        <v>467977819</v>
      </c>
      <c r="C64" s="252">
        <f>+'Rate Class Energy Model'!I13</f>
        <v>128019505</v>
      </c>
      <c r="D64" s="252">
        <f>+'Rate Class Energy Model'!J13</f>
        <v>349784301</v>
      </c>
      <c r="E64" s="252">
        <f>+'Rate Class Energy Model'!K13</f>
        <v>36580289</v>
      </c>
      <c r="F64" s="252">
        <f>+'Rate Class Energy Model'!L13</f>
        <v>87237589</v>
      </c>
      <c r="G64" s="252">
        <f>+'Rate Class Energy Model'!M13</f>
        <v>10202758</v>
      </c>
      <c r="H64" s="252">
        <f>+'Rate Class Energy Model'!N13</f>
        <v>36792</v>
      </c>
      <c r="I64" s="252">
        <f>+'Rate Class Energy Model'!O13</f>
        <v>2825455</v>
      </c>
      <c r="J64" s="286">
        <f t="shared" si="6"/>
        <v>1082664508</v>
      </c>
      <c r="L64" s="277">
        <v>2009</v>
      </c>
      <c r="M64" s="252">
        <v>0</v>
      </c>
      <c r="N64" s="252">
        <v>0</v>
      </c>
      <c r="O64" s="252">
        <v>0</v>
      </c>
      <c r="P64" s="252">
        <v>0</v>
      </c>
      <c r="Q64" s="252">
        <v>0</v>
      </c>
      <c r="R64" s="252">
        <v>0</v>
      </c>
      <c r="S64" s="252">
        <v>0</v>
      </c>
      <c r="T64" s="252">
        <v>0</v>
      </c>
      <c r="U64" s="286">
        <f t="shared" si="7"/>
        <v>0</v>
      </c>
    </row>
    <row r="65" spans="1:21">
      <c r="A65" s="278">
        <v>2010</v>
      </c>
      <c r="B65" s="252">
        <f>+'Rate Class Energy Model'!H14</f>
        <v>476941035</v>
      </c>
      <c r="C65" s="252">
        <f>+'Rate Class Energy Model'!I14</f>
        <v>131282103</v>
      </c>
      <c r="D65" s="252">
        <f>+'Rate Class Energy Model'!J14</f>
        <v>355234224</v>
      </c>
      <c r="E65" s="252">
        <f>+'Rate Class Energy Model'!K14</f>
        <v>33402763</v>
      </c>
      <c r="F65" s="252">
        <f>+'Rate Class Energy Model'!L14</f>
        <v>80783141</v>
      </c>
      <c r="G65" s="252">
        <f>+'Rate Class Energy Model'!M14</f>
        <v>10427904</v>
      </c>
      <c r="H65" s="252">
        <f>+'Rate Class Energy Model'!N14</f>
        <v>35812</v>
      </c>
      <c r="I65" s="252">
        <f>+'Rate Class Energy Model'!O14</f>
        <v>2831501</v>
      </c>
      <c r="J65" s="286">
        <f t="shared" si="6"/>
        <v>1090938483</v>
      </c>
      <c r="L65" s="278">
        <v>2010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R65" s="252">
        <v>0</v>
      </c>
      <c r="S65" s="252">
        <v>0</v>
      </c>
      <c r="T65" s="252">
        <v>0</v>
      </c>
      <c r="U65" s="286">
        <f t="shared" si="7"/>
        <v>0</v>
      </c>
    </row>
    <row r="66" spans="1:21">
      <c r="A66" s="278">
        <v>2011</v>
      </c>
      <c r="B66" s="252">
        <f>+'Rate Class Energy Model'!H15</f>
        <v>484582022</v>
      </c>
      <c r="C66" s="252">
        <f>+'Rate Class Energy Model'!I15</f>
        <v>135695878</v>
      </c>
      <c r="D66" s="252">
        <f>+'Rate Class Energy Model'!J15</f>
        <v>359534375</v>
      </c>
      <c r="E66" s="252">
        <f>+'Rate Class Energy Model'!K15</f>
        <v>37740699</v>
      </c>
      <c r="F66" s="252">
        <f>+'Rate Class Energy Model'!L15</f>
        <v>79908016</v>
      </c>
      <c r="G66" s="252">
        <f>+'Rate Class Energy Model'!M15</f>
        <v>10253017</v>
      </c>
      <c r="H66" s="252">
        <f>+'Rate Class Energy Model'!N15</f>
        <v>35812</v>
      </c>
      <c r="I66" s="252">
        <f>+'Rate Class Energy Model'!O15</f>
        <v>2769028</v>
      </c>
      <c r="J66" s="286">
        <f t="shared" si="6"/>
        <v>1110518847</v>
      </c>
      <c r="L66" s="278">
        <v>2011</v>
      </c>
      <c r="M66" s="252">
        <v>0</v>
      </c>
      <c r="N66" s="252">
        <v>0</v>
      </c>
      <c r="O66" s="252">
        <v>0</v>
      </c>
      <c r="P66" s="252">
        <v>0</v>
      </c>
      <c r="Q66" s="252">
        <v>0</v>
      </c>
      <c r="R66" s="252">
        <v>0</v>
      </c>
      <c r="S66" s="252">
        <v>0</v>
      </c>
      <c r="T66" s="252">
        <v>0</v>
      </c>
      <c r="U66" s="286">
        <f t="shared" si="7"/>
        <v>0</v>
      </c>
    </row>
    <row r="67" spans="1:21">
      <c r="A67" s="278">
        <v>2012</v>
      </c>
      <c r="B67" s="252">
        <f>+'Rate Class Energy Model'!H16</f>
        <v>473288468</v>
      </c>
      <c r="C67" s="252">
        <f>+'Rate Class Energy Model'!I16</f>
        <v>131590801</v>
      </c>
      <c r="D67" s="252">
        <f>+'Rate Class Energy Model'!J16</f>
        <v>338342507</v>
      </c>
      <c r="E67" s="252">
        <f>+'Rate Class Energy Model'!K16</f>
        <v>40812737</v>
      </c>
      <c r="F67" s="252">
        <f>+'Rate Class Energy Model'!L16</f>
        <v>76828137</v>
      </c>
      <c r="G67" s="252">
        <f>+'Rate Class Energy Model'!M16</f>
        <v>10139708</v>
      </c>
      <c r="H67" s="252">
        <f>+'Rate Class Energy Model'!N16</f>
        <v>35812</v>
      </c>
      <c r="I67" s="252">
        <f>+'Rate Class Energy Model'!O16</f>
        <v>2745701</v>
      </c>
      <c r="J67" s="286">
        <f t="shared" si="6"/>
        <v>1073783871</v>
      </c>
      <c r="L67" s="278">
        <v>2012</v>
      </c>
      <c r="M67" s="252">
        <v>0</v>
      </c>
      <c r="N67" s="252">
        <v>0</v>
      </c>
      <c r="O67" s="252">
        <v>0</v>
      </c>
      <c r="P67" s="252">
        <v>0</v>
      </c>
      <c r="Q67" s="252">
        <v>0</v>
      </c>
      <c r="R67" s="252">
        <v>0</v>
      </c>
      <c r="S67" s="252">
        <v>0</v>
      </c>
      <c r="T67" s="252">
        <v>0</v>
      </c>
      <c r="U67" s="286">
        <f t="shared" si="7"/>
        <v>0</v>
      </c>
    </row>
    <row r="68" spans="1:21">
      <c r="A68" s="278">
        <v>2013</v>
      </c>
      <c r="B68" s="252">
        <f>+'Rate Class Energy Model'!H17</f>
        <v>475282449</v>
      </c>
      <c r="C68" s="252">
        <f>+'Rate Class Energy Model'!I17</f>
        <v>132382128</v>
      </c>
      <c r="D68" s="252">
        <f>+'Rate Class Energy Model'!J17</f>
        <v>337123668</v>
      </c>
      <c r="E68" s="252">
        <f>+'Rate Class Energy Model'!K17</f>
        <v>42326219</v>
      </c>
      <c r="F68" s="252">
        <f>+'Rate Class Energy Model'!L17</f>
        <v>79176233</v>
      </c>
      <c r="G68" s="252">
        <f>+'Rate Class Energy Model'!M17</f>
        <v>9082284</v>
      </c>
      <c r="H68" s="252">
        <f>+'Rate Class Energy Model'!N17</f>
        <v>35812</v>
      </c>
      <c r="I68" s="252">
        <f>+'Rate Class Energy Model'!O17</f>
        <v>2752416</v>
      </c>
      <c r="J68" s="286">
        <f t="shared" si="6"/>
        <v>1078161209</v>
      </c>
      <c r="L68" s="278">
        <v>2013</v>
      </c>
      <c r="M68" s="252">
        <v>0</v>
      </c>
      <c r="N68" s="252">
        <v>0</v>
      </c>
      <c r="O68" s="252">
        <v>0</v>
      </c>
      <c r="P68" s="252">
        <v>0</v>
      </c>
      <c r="Q68" s="252">
        <v>0</v>
      </c>
      <c r="R68" s="252">
        <v>0</v>
      </c>
      <c r="S68" s="252">
        <v>0</v>
      </c>
      <c r="T68" s="252">
        <v>0</v>
      </c>
      <c r="U68" s="286">
        <f t="shared" si="7"/>
        <v>0</v>
      </c>
    </row>
    <row r="69" spans="1:21">
      <c r="A69" s="278" t="s">
        <v>228</v>
      </c>
      <c r="B69" s="423">
        <f ca="1">+'Rate Class Energy Model'!H18+M69-'Rate Class Energy Model'!H97</f>
        <v>481054885.42264152</v>
      </c>
      <c r="C69" s="423">
        <f ca="1">+'Rate Class Energy Model'!I18+N69-'Rate Class Energy Model'!I97</f>
        <v>134663866.32037863</v>
      </c>
      <c r="D69" s="423">
        <f ca="1">+'Rate Class Energy Model'!J18+O69-'Rate Class Energy Model'!J97</f>
        <v>349725890.78391075</v>
      </c>
      <c r="E69" s="423">
        <f ca="1">+'Rate Class Energy Model'!K18+P69-'Rate Class Energy Model'!K97</f>
        <v>43637356.33016827</v>
      </c>
      <c r="F69" s="423">
        <f ca="1">+'Rate Class Energy Model'!L18+Q69-'Rate Class Energy Model'!L97</f>
        <v>72223026.947568864</v>
      </c>
      <c r="G69" s="423">
        <f ca="1">+'Rate Class Energy Model'!M18+R69-'Rate Class Energy Model'!M97</f>
        <v>9157883.1611797065</v>
      </c>
      <c r="H69" s="423">
        <f ca="1">+'Rate Class Energy Model'!N18+S69-'Rate Class Energy Model'!N97</f>
        <v>34755.727243069101</v>
      </c>
      <c r="I69" s="423">
        <f ca="1">+'Rate Class Energy Model'!O18+T69-'Rate Class Energy Model'!O97</f>
        <v>2720084.521746417</v>
      </c>
      <c r="J69" s="418">
        <f t="shared" ref="J69:J74" ca="1" si="8">SUM(B69:I69)</f>
        <v>1093217749.2148373</v>
      </c>
      <c r="L69" s="278" t="s">
        <v>228</v>
      </c>
      <c r="M69" s="252">
        <f ca="1">+'City Expansion'!B95</f>
        <v>0</v>
      </c>
      <c r="N69" s="252">
        <f ca="1">+'City Expansion'!C95</f>
        <v>0</v>
      </c>
      <c r="O69" s="252">
        <f ca="1">+'City Expansion'!D95</f>
        <v>0</v>
      </c>
      <c r="P69" s="252">
        <f ca="1">+'City Expansion'!E95</f>
        <v>0</v>
      </c>
      <c r="Q69" s="252">
        <f ca="1">+'City Expansion'!F95</f>
        <v>0</v>
      </c>
      <c r="R69" s="252">
        <f ca="1">+'City Expansion'!G95</f>
        <v>0</v>
      </c>
      <c r="S69" s="252">
        <f ca="1">+'City Expansion'!H95</f>
        <v>0</v>
      </c>
      <c r="T69" s="252">
        <f ca="1">+'City Expansion'!I95</f>
        <v>0</v>
      </c>
      <c r="U69" s="286">
        <f t="shared" ref="U69:U74" ca="1" si="9">SUM(M69:T69)</f>
        <v>0</v>
      </c>
    </row>
    <row r="70" spans="1:21">
      <c r="A70" s="278" t="s">
        <v>229</v>
      </c>
      <c r="B70" s="423">
        <f ca="1">+'Rate Class Energy Model'!H19+M70-'Rate Class Energy Model'!H98</f>
        <v>483663532.29648578</v>
      </c>
      <c r="C70" s="423">
        <f ca="1">+'Rate Class Energy Model'!I19+N70-'Rate Class Energy Model'!I98</f>
        <v>137144452.34571704</v>
      </c>
      <c r="D70" s="423">
        <f ca="1">+'Rate Class Energy Model'!J19+O70-'Rate Class Energy Model'!J98</f>
        <v>365803341.05727828</v>
      </c>
      <c r="E70" s="423">
        <f ca="1">+'Rate Class Energy Model'!K19+P70-'Rate Class Energy Model'!K98</f>
        <v>44988087.018268302</v>
      </c>
      <c r="F70" s="423">
        <f ca="1">+'Rate Class Energy Model'!L19+Q70-'Rate Class Energy Model'!L98</f>
        <v>66360780.741462775</v>
      </c>
      <c r="G70" s="423">
        <f ca="1">+'Rate Class Energy Model'!M19+R70-'Rate Class Energy Model'!M98</f>
        <v>6898975.2993049342</v>
      </c>
      <c r="H70" s="423">
        <f ca="1">+'Rate Class Energy Model'!N19+S70-'Rate Class Energy Model'!N98</f>
        <v>33729.84317964848</v>
      </c>
      <c r="I70" s="423">
        <f ca="1">+'Rate Class Energy Model'!O19+T70-'Rate Class Energy Model'!O98</f>
        <v>2688071.7815343305</v>
      </c>
      <c r="J70" s="418">
        <f t="shared" ca="1" si="8"/>
        <v>1107580970.3832314</v>
      </c>
      <c r="L70" s="278" t="s">
        <v>229</v>
      </c>
      <c r="M70" s="252">
        <f ca="1">+'City Expansion'!B96</f>
        <v>7862699.6229383824</v>
      </c>
      <c r="N70" s="252">
        <f ca="1">+'City Expansion'!C96</f>
        <v>3281463.8372728187</v>
      </c>
      <c r="O70" s="252">
        <f ca="1">+'City Expansion'!D96</f>
        <v>10776947.173731228</v>
      </c>
      <c r="P70" s="252">
        <f ca="1">+'City Expansion'!E96</f>
        <v>0</v>
      </c>
      <c r="Q70" s="252">
        <f ca="1">+'City Expansion'!F96</f>
        <v>1782106.1593687919</v>
      </c>
      <c r="R70" s="252">
        <f ca="1">+'City Expansion'!G96</f>
        <v>85586.058906898848</v>
      </c>
      <c r="S70" s="252">
        <f ca="1">+'City Expansion'!H96</f>
        <v>0</v>
      </c>
      <c r="T70" s="252">
        <f ca="1">+'City Expansion'!I96</f>
        <v>0</v>
      </c>
      <c r="U70" s="286">
        <f t="shared" ca="1" si="9"/>
        <v>23788802.852218118</v>
      </c>
    </row>
    <row r="71" spans="1:21">
      <c r="A71" s="278" t="s">
        <v>230</v>
      </c>
      <c r="B71" s="423">
        <f ca="1">+'Rate Class Energy Model'!H20+M71-'Rate Class Energy Model'!H99</f>
        <v>486758735.37501377</v>
      </c>
      <c r="C71" s="423">
        <f ca="1">+'Rate Class Energy Model'!I20+N71-'Rate Class Energy Model'!I99</f>
        <v>139823684.88361743</v>
      </c>
      <c r="D71" s="423">
        <f ca="1">+'Rate Class Energy Model'!J20+O71-'Rate Class Energy Model'!J99</f>
        <v>383057156.35481733</v>
      </c>
      <c r="E71" s="423">
        <f ca="1">+'Rate Class Energy Model'!K20+P71-'Rate Class Energy Model'!K99</f>
        <v>46339336.301290356</v>
      </c>
      <c r="F71" s="423">
        <f ca="1">+'Rate Class Energy Model'!L20+Q71-'Rate Class Energy Model'!L99</f>
        <v>61520302.229705706</v>
      </c>
      <c r="G71" s="423">
        <f ca="1">+'Rate Class Energy Model'!M20+R71-'Rate Class Energy Model'!M99</f>
        <v>4602545.4750272129</v>
      </c>
      <c r="H71" s="423">
        <f ca="1">+'Rate Class Energy Model'!N20+S71-'Rate Class Energy Model'!N99</f>
        <v>32705.097787475253</v>
      </c>
      <c r="I71" s="423">
        <f ca="1">+'Rate Class Energy Model'!O20+T71-'Rate Class Energy Model'!O99</f>
        <v>2654070.8537207819</v>
      </c>
      <c r="J71" s="418">
        <f t="shared" ca="1" si="8"/>
        <v>1124788536.5709801</v>
      </c>
      <c r="L71" s="278" t="s">
        <v>230</v>
      </c>
      <c r="M71" s="252">
        <f ca="1">+'City Expansion'!B97</f>
        <v>15801472.495586922</v>
      </c>
      <c r="N71" s="252">
        <f ca="1">+'City Expansion'!C97</f>
        <v>6656969.914754753</v>
      </c>
      <c r="O71" s="252">
        <f ca="1">+'City Expansion'!D97</f>
        <v>22414148.508977633</v>
      </c>
      <c r="P71" s="252">
        <f ca="1">+'City Expansion'!E97</f>
        <v>0</v>
      </c>
      <c r="Q71" s="252">
        <f ca="1">+'City Expansion'!F97</f>
        <v>3745887.2258730908</v>
      </c>
      <c r="R71" s="252">
        <f ca="1">+'City Expansion'!G97</f>
        <v>173314.88657997912</v>
      </c>
      <c r="S71" s="252">
        <f ca="1">+'City Expansion'!H97</f>
        <v>0</v>
      </c>
      <c r="T71" s="252">
        <f ca="1">+'City Expansion'!I97</f>
        <v>0</v>
      </c>
      <c r="U71" s="286">
        <f t="shared" ca="1" si="9"/>
        <v>48791793.031772375</v>
      </c>
    </row>
    <row r="72" spans="1:21">
      <c r="A72" s="278" t="s">
        <v>231</v>
      </c>
      <c r="B72" s="423">
        <f ca="1">+'Rate Class Energy Model'!H21+M72-'Rate Class Energy Model'!H100</f>
        <v>485640571.09087658</v>
      </c>
      <c r="C72" s="423">
        <f ca="1">+'Rate Class Energy Model'!I21+N72-'Rate Class Energy Model'!I100</f>
        <v>141342094.33386183</v>
      </c>
      <c r="D72" s="423">
        <f ca="1">+'Rate Class Energy Model'!J21+O72-'Rate Class Energy Model'!J100</f>
        <v>397878345.8407315</v>
      </c>
      <c r="E72" s="423">
        <f ca="1">+'Rate Class Energy Model'!K21+P72-'Rate Class Energy Model'!K100</f>
        <v>47612968.631939657</v>
      </c>
      <c r="F72" s="423">
        <f ca="1">+'Rate Class Energy Model'!L21+Q72-'Rate Class Energy Model'!L100</f>
        <v>56063418.766717009</v>
      </c>
      <c r="G72" s="423">
        <f ca="1">+'Rate Class Energy Model'!M21+R72-'Rate Class Energy Model'!M100</f>
        <v>4729452.1624690769</v>
      </c>
      <c r="H72" s="423">
        <f ca="1">+'Rate Class Energy Model'!N21+S72-'Rate Class Energy Model'!N100</f>
        <v>31632.95402592525</v>
      </c>
      <c r="I72" s="423">
        <f ca="1">+'Rate Class Energy Model'!O21+T72-'Rate Class Energy Model'!O100</f>
        <v>2614010.5244777231</v>
      </c>
      <c r="J72" s="418">
        <f t="shared" ca="1" si="8"/>
        <v>1135912494.3050995</v>
      </c>
      <c r="L72" s="278" t="s">
        <v>231</v>
      </c>
      <c r="M72" s="252">
        <f ca="1">+'City Expansion'!B98</f>
        <v>23667829.76915906</v>
      </c>
      <c r="N72" s="252">
        <f ca="1">+'City Expansion'!C98</f>
        <v>10058817.721773813</v>
      </c>
      <c r="O72" s="252">
        <f ca="1">+'City Expansion'!D98</f>
        <v>34674789.625128798</v>
      </c>
      <c r="P72" s="252">
        <f ca="1">+'City Expansion'!E98</f>
        <v>0</v>
      </c>
      <c r="Q72" s="252">
        <f ca="1">+'City Expansion'!F98</f>
        <v>4794699.5034730071</v>
      </c>
      <c r="R72" s="252">
        <f ca="1">+'City Expansion'!G98</f>
        <v>263353.52220160654</v>
      </c>
      <c r="S72" s="252">
        <f ca="1">+'City Expansion'!H98</f>
        <v>0</v>
      </c>
      <c r="T72" s="252">
        <f ca="1">+'City Expansion'!I98</f>
        <v>0</v>
      </c>
      <c r="U72" s="286">
        <f t="shared" ca="1" si="9"/>
        <v>73459490.141736299</v>
      </c>
    </row>
    <row r="73" spans="1:21">
      <c r="A73" s="278" t="s">
        <v>232</v>
      </c>
      <c r="B73" s="423">
        <f ca="1">+'Rate Class Energy Model'!H22+M73-'Rate Class Energy Model'!H101</f>
        <v>485086336.06007928</v>
      </c>
      <c r="C73" s="423">
        <f ca="1">+'Rate Class Energy Model'!I22+N73-'Rate Class Energy Model'!I101</f>
        <v>143067914.90363961</v>
      </c>
      <c r="D73" s="423">
        <f ca="1">+'Rate Class Energy Model'!J22+O73-'Rate Class Energy Model'!J101</f>
        <v>413841565.44544375</v>
      </c>
      <c r="E73" s="423">
        <f ca="1">+'Rate Class Energy Model'!K22+P73-'Rate Class Energy Model'!K101</f>
        <v>48880609.419864491</v>
      </c>
      <c r="F73" s="423">
        <f ca="1">+'Rate Class Energy Model'!L22+Q73-'Rate Class Energy Model'!L101</f>
        <v>51546101.142281838</v>
      </c>
      <c r="G73" s="423">
        <f ca="1">+'Rate Class Energy Model'!M22+R73-'Rate Class Energy Model'!M101</f>
        <v>4858993.4106965186</v>
      </c>
      <c r="H73" s="423">
        <f ca="1">+'Rate Class Energy Model'!N22+S73-'Rate Class Energy Model'!N101</f>
        <v>30570.317476652544</v>
      </c>
      <c r="I73" s="423">
        <f ca="1">+'Rate Class Energy Model'!O22+T73-'Rate Class Energy Model'!O101</f>
        <v>2572397.3381351824</v>
      </c>
      <c r="J73" s="418">
        <f t="shared" ca="1" si="8"/>
        <v>1149884488.0376174</v>
      </c>
      <c r="L73" s="278" t="s">
        <v>232</v>
      </c>
      <c r="M73" s="252">
        <f ca="1">+'City Expansion'!B99</f>
        <v>31571733.01052431</v>
      </c>
      <c r="N73" s="252">
        <f ca="1">+'City Expansion'!C99</f>
        <v>13540051.608663786</v>
      </c>
      <c r="O73" s="252">
        <f ca="1">+'City Expansion'!D99</f>
        <v>47805972.309781693</v>
      </c>
      <c r="P73" s="252">
        <f ca="1">+'City Expansion'!E99</f>
        <v>0</v>
      </c>
      <c r="Q73" s="252">
        <f ca="1">+'City Expansion'!F99</f>
        <v>6024088.7929759687</v>
      </c>
      <c r="R73" s="252">
        <f ca="1">+'City Expansion'!G99</f>
        <v>355719.83613388147</v>
      </c>
      <c r="S73" s="252">
        <f ca="1">+'City Expansion'!H99</f>
        <v>0</v>
      </c>
      <c r="T73" s="252">
        <f ca="1">+'City Expansion'!I99</f>
        <v>0</v>
      </c>
      <c r="U73" s="286">
        <f t="shared" ca="1" si="9"/>
        <v>99297565.558079645</v>
      </c>
    </row>
    <row r="74" spans="1:21" ht="13.8" thickBot="1">
      <c r="A74" s="279" t="s">
        <v>233</v>
      </c>
      <c r="B74" s="424">
        <f ca="1">+'Rate Class Energy Model'!H23+M74-'Rate Class Energy Model'!H102</f>
        <v>483951298.77224517</v>
      </c>
      <c r="C74" s="424">
        <f ca="1">+'Rate Class Energy Model'!I23+N74-'Rate Class Energy Model'!I102</f>
        <v>144664011.00824618</v>
      </c>
      <c r="D74" s="424">
        <f ca="1">+'Rate Class Energy Model'!J23+O74-'Rate Class Energy Model'!J102</f>
        <v>430008488.2230823</v>
      </c>
      <c r="E74" s="424">
        <f ca="1">+'Rate Class Energy Model'!K23+P74-'Rate Class Energy Model'!K102</f>
        <v>50156998.567244969</v>
      </c>
      <c r="F74" s="424">
        <f ca="1">+'Rate Class Energy Model'!L23+Q74-'Rate Class Energy Model'!L102</f>
        <v>47307974.406240016</v>
      </c>
      <c r="G74" s="424">
        <f ca="1">+'Rate Class Energy Model'!M23+R74-'Rate Class Energy Model'!M102</f>
        <v>4991186.1968679242</v>
      </c>
      <c r="H74" s="424">
        <f ca="1">+'Rate Class Energy Model'!N23+S74-'Rate Class Energy Model'!N102</f>
        <v>29528.658987768886</v>
      </c>
      <c r="I74" s="424">
        <f ca="1">+'Rate Class Energy Model'!O23+T74-'Rate Class Energy Model'!O102</f>
        <v>2530185.414528877</v>
      </c>
      <c r="J74" s="419">
        <f t="shared" ca="1" si="8"/>
        <v>1163639671.2474432</v>
      </c>
      <c r="L74" s="279" t="s">
        <v>233</v>
      </c>
      <c r="M74" s="265">
        <f ca="1">+'City Expansion'!B100</f>
        <v>39452665.815989241</v>
      </c>
      <c r="N74" s="265">
        <f ca="1">+'City Expansion'!C100</f>
        <v>17072663.455503039</v>
      </c>
      <c r="O74" s="265">
        <f ca="1">+'City Expansion'!D100</f>
        <v>61680303.438387707</v>
      </c>
      <c r="P74" s="265">
        <f ca="1">+'City Expansion'!E100</f>
        <v>0</v>
      </c>
      <c r="Q74" s="265">
        <f ca="1">+'City Expansion'!F100</f>
        <v>6946269.4907447286</v>
      </c>
      <c r="R74" s="265">
        <f ca="1">+'City Expansion'!G100</f>
        <v>450428.25110530038</v>
      </c>
      <c r="S74" s="265">
        <f ca="1">+'City Expansion'!H100</f>
        <v>0</v>
      </c>
      <c r="T74" s="265">
        <f ca="1">+'City Expansion'!I100</f>
        <v>0</v>
      </c>
      <c r="U74" s="287">
        <f t="shared" ca="1" si="9"/>
        <v>125602330.45173001</v>
      </c>
    </row>
    <row r="75" spans="1:21">
      <c r="B75" s="172"/>
      <c r="C75" s="172"/>
      <c r="D75" s="172"/>
      <c r="E75" s="172"/>
      <c r="F75" s="172"/>
      <c r="G75" s="172"/>
      <c r="H75" s="172"/>
      <c r="I75" s="172"/>
      <c r="J75" s="172"/>
    </row>
    <row r="76" spans="1:21">
      <c r="A76" s="66" t="s">
        <v>250</v>
      </c>
    </row>
    <row r="77" spans="1:21" ht="13.8" thickBot="1"/>
    <row r="78" spans="1:21" ht="23.4" thickBot="1">
      <c r="A78" s="257" t="s">
        <v>112</v>
      </c>
      <c r="B78" s="250" t="s">
        <v>71</v>
      </c>
      <c r="C78" s="250" t="s">
        <v>236</v>
      </c>
      <c r="D78" s="250" t="s">
        <v>235</v>
      </c>
      <c r="E78" s="250" t="s">
        <v>74</v>
      </c>
      <c r="F78" s="250" t="s">
        <v>237</v>
      </c>
      <c r="G78" s="250" t="s">
        <v>238</v>
      </c>
      <c r="H78" s="250" t="s">
        <v>239</v>
      </c>
      <c r="I78" s="250" t="s">
        <v>76</v>
      </c>
      <c r="J78" s="251" t="s">
        <v>9</v>
      </c>
    </row>
    <row r="79" spans="1:21">
      <c r="A79" s="280" t="s">
        <v>262</v>
      </c>
      <c r="B79" s="281"/>
      <c r="C79" s="281"/>
      <c r="D79" s="281"/>
      <c r="E79" s="281"/>
      <c r="F79" s="281"/>
      <c r="G79" s="281"/>
      <c r="H79" s="281"/>
      <c r="I79" s="281"/>
      <c r="J79" s="282"/>
    </row>
    <row r="80" spans="1:21">
      <c r="A80" s="283" t="s">
        <v>114</v>
      </c>
      <c r="B80" s="255">
        <f>+B55/B30</f>
        <v>10312.478017907415</v>
      </c>
      <c r="C80" s="255">
        <f t="shared" ref="C80:J80" si="10">+C55/C30</f>
        <v>36436.199739921976</v>
      </c>
      <c r="D80" s="255">
        <f t="shared" si="10"/>
        <v>687468.15134099615</v>
      </c>
      <c r="E80" s="255">
        <f t="shared" si="10"/>
        <v>30069991</v>
      </c>
      <c r="F80" s="255">
        <f t="shared" si="10"/>
        <v>8995177.8888888881</v>
      </c>
      <c r="G80" s="255">
        <f t="shared" si="10"/>
        <v>864.62257510729614</v>
      </c>
      <c r="H80" s="255">
        <f t="shared" si="10"/>
        <v>530.03896103896102</v>
      </c>
      <c r="I80" s="255">
        <f t="shared" si="10"/>
        <v>12596.537704918033</v>
      </c>
      <c r="J80" s="262">
        <f t="shared" si="10"/>
        <v>17928.45828162066</v>
      </c>
    </row>
    <row r="81" spans="1:10">
      <c r="A81" s="283" t="s">
        <v>227</v>
      </c>
      <c r="B81" s="255">
        <f t="shared" ref="B81:J81" si="11">+B56/B31</f>
        <v>9944.9139784448562</v>
      </c>
      <c r="C81" s="255">
        <f t="shared" si="11"/>
        <v>33405.607674829589</v>
      </c>
      <c r="D81" s="255">
        <f t="shared" si="11"/>
        <v>693751.11969111965</v>
      </c>
      <c r="E81" s="255">
        <f t="shared" si="11"/>
        <v>33402763</v>
      </c>
      <c r="F81" s="255">
        <f t="shared" si="11"/>
        <v>7817530.5999999996</v>
      </c>
      <c r="G81" s="255">
        <f t="shared" si="11"/>
        <v>865.45077050694306</v>
      </c>
      <c r="H81" s="255">
        <f t="shared" si="11"/>
        <v>1728.868207968671</v>
      </c>
      <c r="I81" s="255">
        <f t="shared" si="11"/>
        <v>10248.202720726738</v>
      </c>
      <c r="J81" s="262">
        <f t="shared" si="11"/>
        <v>16501.989395957142</v>
      </c>
    </row>
    <row r="82" spans="1:10">
      <c r="A82" s="277"/>
      <c r="B82" s="254"/>
      <c r="C82" s="284"/>
      <c r="D82" s="284"/>
      <c r="E82" s="284"/>
      <c r="F82" s="284"/>
      <c r="G82" s="284"/>
      <c r="H82" s="284"/>
      <c r="I82" s="284"/>
      <c r="J82" s="285"/>
    </row>
    <row r="83" spans="1:10">
      <c r="A83" s="277">
        <v>2003</v>
      </c>
      <c r="B83" s="252">
        <f>+B58/B33</f>
        <v>10563.762370295133</v>
      </c>
      <c r="C83" s="252">
        <f t="shared" ref="C83:J83" si="12">+C58/C33</f>
        <v>32861.114936297097</v>
      </c>
      <c r="D83" s="252">
        <f t="shared" si="12"/>
        <v>503120.08139534883</v>
      </c>
      <c r="E83" s="252">
        <f t="shared" si="12"/>
        <v>67702885</v>
      </c>
      <c r="F83" s="252">
        <f t="shared" si="12"/>
        <v>19234418.199999999</v>
      </c>
      <c r="G83" s="252">
        <f t="shared" si="12"/>
        <v>831.07470921562776</v>
      </c>
      <c r="H83" s="252">
        <f t="shared" si="12"/>
        <v>1320.0289855072465</v>
      </c>
      <c r="I83" s="252">
        <f t="shared" si="12"/>
        <v>10000</v>
      </c>
      <c r="J83" s="286">
        <f t="shared" si="12"/>
        <v>19614.052803202179</v>
      </c>
    </row>
    <row r="84" spans="1:10">
      <c r="A84" s="278">
        <v>2004</v>
      </c>
      <c r="B84" s="252">
        <f t="shared" ref="B84:J84" si="13">+B59/B34</f>
        <v>10189.721552086768</v>
      </c>
      <c r="C84" s="252">
        <f t="shared" si="13"/>
        <v>35846.819247208055</v>
      </c>
      <c r="D84" s="252">
        <f t="shared" si="13"/>
        <v>680437.69811320759</v>
      </c>
      <c r="E84" s="252">
        <f t="shared" si="13"/>
        <v>44857678.399999999</v>
      </c>
      <c r="F84" s="252">
        <f t="shared" si="13"/>
        <v>10946011.333333334</v>
      </c>
      <c r="G84" s="252">
        <f t="shared" si="13"/>
        <v>851.98782532385439</v>
      </c>
      <c r="H84" s="252">
        <f t="shared" si="13"/>
        <v>927.36666666666667</v>
      </c>
      <c r="I84" s="252">
        <f t="shared" si="13"/>
        <v>10000</v>
      </c>
      <c r="J84" s="286">
        <f t="shared" si="13"/>
        <v>19211.491696196583</v>
      </c>
    </row>
    <row r="85" spans="1:10">
      <c r="A85" s="277">
        <v>2005</v>
      </c>
      <c r="B85" s="252">
        <f t="shared" ref="B85:J85" si="14">+B60/B35</f>
        <v>10896.364317185555</v>
      </c>
      <c r="C85" s="252">
        <f t="shared" si="14"/>
        <v>37113.333697433096</v>
      </c>
      <c r="D85" s="252">
        <f t="shared" si="14"/>
        <v>694079.90220517735</v>
      </c>
      <c r="E85" s="252">
        <f t="shared" si="14"/>
        <v>31452416.5</v>
      </c>
      <c r="F85" s="252">
        <f t="shared" si="14"/>
        <v>8935594.8000000007</v>
      </c>
      <c r="G85" s="252">
        <f t="shared" si="14"/>
        <v>874.69428966042767</v>
      </c>
      <c r="H85" s="252">
        <f t="shared" si="14"/>
        <v>1464.3050847457628</v>
      </c>
      <c r="I85" s="252">
        <f t="shared" si="14"/>
        <v>10000</v>
      </c>
      <c r="J85" s="286">
        <f t="shared" si="14"/>
        <v>18886.867624487331</v>
      </c>
    </row>
    <row r="86" spans="1:10">
      <c r="A86" s="278">
        <v>2006</v>
      </c>
      <c r="B86" s="252">
        <f t="shared" ref="B86:J86" si="15">+B61/B36</f>
        <v>10264.340456436101</v>
      </c>
      <c r="C86" s="252">
        <f t="shared" si="15"/>
        <v>35865.731854030208</v>
      </c>
      <c r="D86" s="252">
        <f t="shared" si="15"/>
        <v>680164.939047619</v>
      </c>
      <c r="E86" s="252">
        <f t="shared" si="15"/>
        <v>29827223</v>
      </c>
      <c r="F86" s="252">
        <f t="shared" si="15"/>
        <v>9472795.7647058815</v>
      </c>
      <c r="G86" s="252">
        <f t="shared" si="15"/>
        <v>867.7430523497369</v>
      </c>
      <c r="H86" s="252">
        <f t="shared" si="15"/>
        <v>1494.5614035087719</v>
      </c>
      <c r="I86" s="252">
        <f t="shared" si="15"/>
        <v>7399.959731543624</v>
      </c>
      <c r="J86" s="286">
        <f t="shared" si="15"/>
        <v>18226.017446301696</v>
      </c>
    </row>
    <row r="87" spans="1:10">
      <c r="A87" s="277">
        <v>2007</v>
      </c>
      <c r="B87" s="252">
        <f t="shared" ref="B87:J87" si="16">+B62/B37</f>
        <v>10212.071567357512</v>
      </c>
      <c r="C87" s="252">
        <f t="shared" si="16"/>
        <v>35301.681515070683</v>
      </c>
      <c r="D87" s="252">
        <f t="shared" si="16"/>
        <v>686701.18546845124</v>
      </c>
      <c r="E87" s="252">
        <f t="shared" si="16"/>
        <v>30905923</v>
      </c>
      <c r="F87" s="252">
        <f t="shared" si="16"/>
        <v>11541110.777777778</v>
      </c>
      <c r="G87" s="252">
        <f t="shared" si="16"/>
        <v>860.29174238730548</v>
      </c>
      <c r="H87" s="252">
        <f t="shared" si="16"/>
        <v>1562.566037735849</v>
      </c>
      <c r="I87" s="252">
        <f t="shared" si="16"/>
        <v>12687.259136212624</v>
      </c>
      <c r="J87" s="286">
        <f t="shared" si="16"/>
        <v>18385.181334490684</v>
      </c>
    </row>
    <row r="88" spans="1:10">
      <c r="A88" s="278">
        <v>2008</v>
      </c>
      <c r="B88" s="252">
        <f t="shared" ref="B88:J88" si="17">+B63/B38</f>
        <v>10003.056919725866</v>
      </c>
      <c r="C88" s="252">
        <f t="shared" si="17"/>
        <v>34761.570317648606</v>
      </c>
      <c r="D88" s="252">
        <f t="shared" si="17"/>
        <v>660978.72539831302</v>
      </c>
      <c r="E88" s="252">
        <f t="shared" si="17"/>
        <v>18584408.399999999</v>
      </c>
      <c r="F88" s="252">
        <f t="shared" si="17"/>
        <v>11381474.666666666</v>
      </c>
      <c r="G88" s="252">
        <f t="shared" si="17"/>
        <v>836.88336273286586</v>
      </c>
      <c r="H88" s="252">
        <f t="shared" si="17"/>
        <v>1508.9615384615386</v>
      </c>
      <c r="I88" s="252">
        <f t="shared" si="17"/>
        <v>11205.558139534884</v>
      </c>
      <c r="J88" s="286">
        <f t="shared" si="17"/>
        <v>17637.699516137945</v>
      </c>
    </row>
    <row r="89" spans="1:10">
      <c r="A89" s="277">
        <v>2009</v>
      </c>
      <c r="B89" s="252">
        <f t="shared" ref="B89:J89" si="18">+B64/B39</f>
        <v>9830.9504542828636</v>
      </c>
      <c r="C89" s="252">
        <f t="shared" si="18"/>
        <v>33169.97149889882</v>
      </c>
      <c r="D89" s="252">
        <f t="shared" si="18"/>
        <v>666255.81142857147</v>
      </c>
      <c r="E89" s="252">
        <f t="shared" si="18"/>
        <v>18290144.5</v>
      </c>
      <c r="F89" s="252">
        <f t="shared" si="18"/>
        <v>9182904.1052631587</v>
      </c>
      <c r="G89" s="252">
        <f t="shared" si="18"/>
        <v>864.56724006440129</v>
      </c>
      <c r="H89" s="252">
        <f t="shared" si="18"/>
        <v>1415.0769230769231</v>
      </c>
      <c r="I89" s="252">
        <f t="shared" si="18"/>
        <v>9340.3471074380159</v>
      </c>
      <c r="J89" s="286">
        <f t="shared" si="18"/>
        <v>16882.867203093814</v>
      </c>
    </row>
    <row r="90" spans="1:10">
      <c r="A90" s="278">
        <v>2010</v>
      </c>
      <c r="B90" s="252">
        <f t="shared" ref="B90:J90" si="19">+B65/B40</f>
        <v>9912.6258196593535</v>
      </c>
      <c r="C90" s="252">
        <f t="shared" si="19"/>
        <v>33413.617459913461</v>
      </c>
      <c r="D90" s="252">
        <f t="shared" si="19"/>
        <v>693139.94926829264</v>
      </c>
      <c r="E90" s="252">
        <f t="shared" si="19"/>
        <v>33402763</v>
      </c>
      <c r="F90" s="252">
        <f t="shared" si="19"/>
        <v>8078314.0999999996</v>
      </c>
      <c r="G90" s="252">
        <f t="shared" si="19"/>
        <v>869.31799424784299</v>
      </c>
      <c r="H90" s="252">
        <f t="shared" si="19"/>
        <v>1432.48</v>
      </c>
      <c r="I90" s="252">
        <f t="shared" si="19"/>
        <v>9238.1761827079936</v>
      </c>
      <c r="J90" s="286">
        <f t="shared" si="19"/>
        <v>16811.083967701175</v>
      </c>
    </row>
    <row r="91" spans="1:10">
      <c r="A91" s="278">
        <v>2011</v>
      </c>
      <c r="B91" s="252">
        <f t="shared" ref="B91:J91" si="20">+B66/B41</f>
        <v>9960.4736230871222</v>
      </c>
      <c r="C91" s="252">
        <f t="shared" si="20"/>
        <v>34896.715442972869</v>
      </c>
      <c r="D91" s="252">
        <f t="shared" si="20"/>
        <v>690748.07877041306</v>
      </c>
      <c r="E91" s="252">
        <f t="shared" si="20"/>
        <v>37740699</v>
      </c>
      <c r="F91" s="252">
        <f t="shared" si="20"/>
        <v>7990801.5999999996</v>
      </c>
      <c r="G91" s="252">
        <f t="shared" si="20"/>
        <v>845.43533292104723</v>
      </c>
      <c r="H91" s="252">
        <f t="shared" si="20"/>
        <v>1492.1666666666667</v>
      </c>
      <c r="I91" s="252">
        <f t="shared" si="20"/>
        <v>9153.8115702479336</v>
      </c>
      <c r="J91" s="286">
        <f t="shared" si="20"/>
        <v>16948.146830574824</v>
      </c>
    </row>
    <row r="92" spans="1:10">
      <c r="A92" s="278">
        <v>2012</v>
      </c>
      <c r="B92" s="252">
        <f t="shared" ref="B92:J92" si="21">+B67/B42</f>
        <v>9654.8105505803633</v>
      </c>
      <c r="C92" s="252">
        <f t="shared" si="21"/>
        <v>34174.990520711595</v>
      </c>
      <c r="D92" s="252">
        <f t="shared" si="21"/>
        <v>661471.17693059624</v>
      </c>
      <c r="E92" s="252">
        <f t="shared" si="21"/>
        <v>40812737</v>
      </c>
      <c r="F92" s="252">
        <f t="shared" si="21"/>
        <v>7316965.4285714282</v>
      </c>
      <c r="G92" s="252">
        <f t="shared" si="21"/>
        <v>830.23892573487262</v>
      </c>
      <c r="H92" s="252">
        <f t="shared" si="21"/>
        <v>1492.1666666666667</v>
      </c>
      <c r="I92" s="252">
        <f t="shared" si="21"/>
        <v>9291.7123519458546</v>
      </c>
      <c r="J92" s="286">
        <f t="shared" si="21"/>
        <v>16287.46751710225</v>
      </c>
    </row>
    <row r="93" spans="1:10">
      <c r="A93" s="278">
        <v>2013</v>
      </c>
      <c r="B93" s="252">
        <f t="shared" ref="B93:J93" si="22">+B68/B43</f>
        <v>9599.5324069398721</v>
      </c>
      <c r="C93" s="252">
        <f t="shared" si="22"/>
        <v>33926.737057919017</v>
      </c>
      <c r="D93" s="252">
        <f t="shared" si="22"/>
        <v>674247.33600000001</v>
      </c>
      <c r="E93" s="252">
        <f t="shared" si="22"/>
        <v>42326219</v>
      </c>
      <c r="F93" s="252">
        <f t="shared" si="22"/>
        <v>7197839.3636363633</v>
      </c>
      <c r="G93" s="252">
        <f t="shared" si="22"/>
        <v>736.74986818089633</v>
      </c>
      <c r="H93" s="252">
        <f t="shared" si="22"/>
        <v>1492.1666666666667</v>
      </c>
      <c r="I93" s="252">
        <f t="shared" si="22"/>
        <v>9330.2237288135602</v>
      </c>
      <c r="J93" s="286">
        <f t="shared" si="22"/>
        <v>16195.537264444994</v>
      </c>
    </row>
    <row r="94" spans="1:10">
      <c r="A94" s="278" t="s">
        <v>228</v>
      </c>
      <c r="B94" s="423">
        <f ca="1">'Rate Class Energy Model'!H73/'Rate Class Customer Model'!B14</f>
        <v>9643.1710277521433</v>
      </c>
      <c r="C94" s="423">
        <f ca="1">'Rate Class Energy Model'!I73/'Rate Class Customer Model'!C14</f>
        <v>34518.722724320367</v>
      </c>
      <c r="D94" s="423">
        <f ca="1">'Rate Class Energy Model'!J73/'Rate Class Customer Model'!D14</f>
        <v>703539.87570937187</v>
      </c>
      <c r="E94" s="423">
        <f ca="1">'Rate Class Energy Model'!K73/'Rate Class Customer Model'!E14</f>
        <v>43895826.316082679</v>
      </c>
      <c r="F94" s="423">
        <f ca="1">'Rate Class Energy Model'!L73/'Rate Class Customer Model'!F14</f>
        <v>6604144.7678431859</v>
      </c>
      <c r="G94" s="423">
        <f ca="1">'Rate Class Energy Model'!M73/'Rate Class Customer Model'!G14</f>
        <v>727.92739975156644</v>
      </c>
      <c r="H94" s="423">
        <f ca="1">'Rate Class Energy Model'!N73/'Rate Class Customer Model'!H14</f>
        <v>1510.5695319005461</v>
      </c>
      <c r="I94" s="423">
        <f ca="1">'Rate Class Energy Model'!O73/'Rate Class Customer Model'!I14</f>
        <v>9265.764620592272</v>
      </c>
      <c r="J94" s="423">
        <f ca="1">'Rate Class Energy Model'!P73/'Rate Class Customer Model'!J14</f>
        <v>16286.794690044848</v>
      </c>
    </row>
    <row r="95" spans="1:10">
      <c r="A95" s="278" t="s">
        <v>229</v>
      </c>
      <c r="B95" s="423">
        <f ca="1">'Rate Class Energy Model'!H74/'Rate Class Customer Model'!B15</f>
        <v>9467.4288054646386</v>
      </c>
      <c r="C95" s="423">
        <f ca="1">'Rate Class Energy Model'!I74/'Rate Class Customer Model'!C15</f>
        <v>34324.935536326557</v>
      </c>
      <c r="D95" s="423">
        <f ca="1">'Rate Class Energy Model'!J74/'Rate Class Customer Model'!D15</f>
        <v>718463.14491541521</v>
      </c>
      <c r="E95" s="423">
        <f ca="1">'Rate Class Energy Model'!K74/'Rate Class Customer Model'!E15</f>
        <v>45523640.275350288</v>
      </c>
      <c r="F95" s="423">
        <f ca="1">'Rate Class Energy Model'!L74/'Rate Class Customer Model'!F15</f>
        <v>5940353.86456264</v>
      </c>
      <c r="G95" s="423">
        <f ca="1">'Rate Class Energy Model'!M74/'Rate Class Customer Model'!G15</f>
        <v>719.21057904957013</v>
      </c>
      <c r="H95" s="423">
        <f ca="1">'Rate Class Energy Model'!N74/'Rate Class Customer Model'!H15</f>
        <v>1529.1993593474156</v>
      </c>
      <c r="I95" s="423">
        <f ca="1">'Rate Class Energy Model'!O74/'Rate Class Customer Model'!I15</f>
        <v>9201.7508368083654</v>
      </c>
      <c r="J95" s="423">
        <f ca="1">'Rate Class Energy Model'!P74/'Rate Class Customer Model'!J15</f>
        <v>16051.117467935126</v>
      </c>
    </row>
    <row r="96" spans="1:10">
      <c r="A96" s="278" t="s">
        <v>230</v>
      </c>
      <c r="B96" s="423">
        <f ca="1">'Rate Class Energy Model'!H75/'Rate Class Customer Model'!B16</f>
        <v>9310.867064749822</v>
      </c>
      <c r="C96" s="423">
        <f ca="1">'Rate Class Energy Model'!I75/'Rate Class Customer Model'!C16</f>
        <v>34190.908653080398</v>
      </c>
      <c r="D96" s="423">
        <f ca="1">'Rate Class Energy Model'!J75/'Rate Class Customer Model'!D16</f>
        <v>734890.11504844704</v>
      </c>
      <c r="E96" s="423">
        <f ca="1">'Rate Class Energy Model'!K75/'Rate Class Customer Model'!E16</f>
        <v>47211819.387944914</v>
      </c>
      <c r="F96" s="423">
        <f ca="1">'Rate Class Energy Model'!L75/'Rate Class Customer Model'!F16</f>
        <v>5351267.4655329874</v>
      </c>
      <c r="G96" s="423">
        <f ca="1">'Rate Class Energy Model'!M75/'Rate Class Customer Model'!G16</f>
        <v>710.59814095932404</v>
      </c>
      <c r="H96" s="423">
        <f ca="1">'Rate Class Energy Model'!N75/'Rate Class Customer Model'!H16</f>
        <v>1548.0589481282527</v>
      </c>
      <c r="I96" s="423">
        <f ca="1">'Rate Class Energy Model'!O75/'Rate Class Customer Model'!I16</f>
        <v>9138.1793008779423</v>
      </c>
      <c r="J96" s="423">
        <f ca="1">'Rate Class Energy Model'!P75/'Rate Class Customer Model'!J16</f>
        <v>15857.540423416298</v>
      </c>
    </row>
    <row r="97" spans="1:10">
      <c r="A97" s="278" t="s">
        <v>231</v>
      </c>
      <c r="B97" s="423">
        <f ca="1">'Rate Class Energy Model'!H76/'Rate Class Customer Model'!B17</f>
        <v>9099.8614976196932</v>
      </c>
      <c r="C97" s="423">
        <f ca="1">'Rate Class Energy Model'!I76/'Rate Class Customer Model'!C17</f>
        <v>33845.281701796142</v>
      </c>
      <c r="D97" s="423">
        <f ca="1">'Rate Class Energy Model'!J76/'Rate Class Customer Model'!D17</f>
        <v>747301.50054156897</v>
      </c>
      <c r="E97" s="423">
        <f ca="1">'Rate Class Energy Model'!K76/'Rate Class Customer Model'!E17</f>
        <v>48962602.209271155</v>
      </c>
      <c r="F97" s="423">
        <f ca="1">'Rate Class Energy Model'!L76/'Rate Class Customer Model'!F17</f>
        <v>4794699.5034730071</v>
      </c>
      <c r="G97" s="423">
        <f ca="1">'Rate Class Energy Model'!M76/'Rate Class Customer Model'!G17</f>
        <v>702.08883551481347</v>
      </c>
      <c r="H97" s="423">
        <f ca="1">'Rate Class Energy Model'!N76/'Rate Class Customer Model'!H17</f>
        <v>1567.1511318855441</v>
      </c>
      <c r="I97" s="423">
        <f ca="1">'Rate Class Energy Model'!O76/'Rate Class Customer Model'!I17</f>
        <v>9075.0469574720973</v>
      </c>
      <c r="J97" s="423">
        <f ca="1">'Rate Class Energy Model'!P76/'Rate Class Customer Model'!J17</f>
        <v>15589.235432134275</v>
      </c>
    </row>
    <row r="98" spans="1:10">
      <c r="A98" s="278" t="s">
        <v>232</v>
      </c>
      <c r="B98" s="423">
        <f ca="1">'Rate Class Energy Model'!H77/'Rate Class Customer Model'!B18</f>
        <v>8910.0110093481708</v>
      </c>
      <c r="C98" s="423">
        <f ca="1">'Rate Class Energy Model'!I77/'Rate Class Customer Model'!C18</f>
        <v>33564.827983797193</v>
      </c>
      <c r="D98" s="423">
        <f ca="1">'Rate Class Energy Model'!J77/'Rate Class Customer Model'!D18</f>
        <v>761241.59728951741</v>
      </c>
      <c r="E98" s="423">
        <f ca="1">'Rate Class Energy Model'!K77/'Rate Class Customer Model'!E18</f>
        <v>50778310.308360226</v>
      </c>
      <c r="F98" s="423">
        <f ca="1">'Rate Class Energy Model'!L77/'Rate Class Customer Model'!F18</f>
        <v>4302920.5664114067</v>
      </c>
      <c r="G98" s="423">
        <f ca="1">'Rate Class Energy Model'!M77/'Rate Class Customer Model'!G18</f>
        <v>693.6814277181777</v>
      </c>
      <c r="H98" s="423">
        <f ca="1">'Rate Class Energy Model'!N77/'Rate Class Customer Model'!H18</f>
        <v>1586.478779209041</v>
      </c>
      <c r="I98" s="423">
        <f ca="1">'Rate Class Energy Model'!O77/'Rate Class Customer Model'!I18</f>
        <v>9012.3507723700768</v>
      </c>
      <c r="J98" s="423">
        <f ca="1">'Rate Class Energy Model'!P77/'Rate Class Customer Model'!J18</f>
        <v>15362.954962401291</v>
      </c>
    </row>
    <row r="99" spans="1:10" ht="13.8" thickBot="1">
      <c r="A99" s="279" t="s">
        <v>233</v>
      </c>
      <c r="B99" s="423">
        <f ca="1">'Rate Class Energy Model'!H78/'Rate Class Customer Model'!B19</f>
        <v>8717.2799982299784</v>
      </c>
      <c r="C99" s="423">
        <f ca="1">'Rate Class Energy Model'!I78/'Rate Class Customer Model'!C19</f>
        <v>33260.595081829415</v>
      </c>
      <c r="D99" s="423">
        <f ca="1">'Rate Class Energy Model'!J78/'Rate Class Customer Model'!D19</f>
        <v>774878.18389934313</v>
      </c>
      <c r="E99" s="423">
        <f ca="1">'Rate Class Energy Model'!K78/'Rate Class Customer Model'!E19</f>
        <v>52661351.346311636</v>
      </c>
      <c r="F99" s="423">
        <f ca="1">'Rate Class Energy Model'!L78/'Rate Class Customer Model'!F19</f>
        <v>3859038.6059692935</v>
      </c>
      <c r="G99" s="423">
        <f ca="1">'Rate Class Energy Model'!M78/'Rate Class Customer Model'!G19</f>
        <v>685.37469736046921</v>
      </c>
      <c r="H99" s="423">
        <f ca="1">'Rate Class Energy Model'!N78/'Rate Class Customer Model'!H19</f>
        <v>1606.0447940667605</v>
      </c>
      <c r="I99" s="423">
        <f ca="1">'Rate Class Energy Model'!O78/'Rate Class Customer Model'!I19</f>
        <v>8950.08773231345</v>
      </c>
      <c r="J99" s="423">
        <f ca="1">'Rate Class Energy Model'!P78/'Rate Class Customer Model'!J19</f>
        <v>15139.731645066589</v>
      </c>
    </row>
    <row r="101" spans="1:10">
      <c r="A101" t="s">
        <v>251</v>
      </c>
    </row>
    <row r="102" spans="1:10" ht="13.8" thickBot="1"/>
    <row r="103" spans="1:10" ht="23.4" thickBot="1">
      <c r="A103" s="257" t="s">
        <v>112</v>
      </c>
      <c r="B103" s="250" t="s">
        <v>71</v>
      </c>
      <c r="C103" s="250" t="s">
        <v>236</v>
      </c>
      <c r="D103" s="250" t="s">
        <v>235</v>
      </c>
      <c r="E103" s="250" t="s">
        <v>74</v>
      </c>
      <c r="F103" s="250" t="s">
        <v>237</v>
      </c>
      <c r="G103" s="250" t="s">
        <v>238</v>
      </c>
      <c r="H103" s="250" t="s">
        <v>239</v>
      </c>
      <c r="I103" s="250" t="s">
        <v>76</v>
      </c>
      <c r="J103" s="251" t="s">
        <v>9</v>
      </c>
    </row>
    <row r="104" spans="1:10">
      <c r="A104" s="280" t="s">
        <v>241</v>
      </c>
      <c r="B104" s="281"/>
      <c r="C104" s="281"/>
      <c r="D104" s="281"/>
      <c r="E104" s="281"/>
      <c r="F104" s="281"/>
      <c r="G104" s="281"/>
      <c r="H104" s="281"/>
      <c r="I104" s="281"/>
      <c r="J104" s="282"/>
    </row>
    <row r="105" spans="1:10">
      <c r="A105" s="278"/>
      <c r="B105" s="253"/>
      <c r="C105" s="253"/>
      <c r="D105" s="253"/>
      <c r="E105" s="253"/>
      <c r="F105" s="253"/>
      <c r="G105" s="253"/>
      <c r="H105" s="253"/>
      <c r="I105" s="253"/>
      <c r="J105" s="264"/>
    </row>
    <row r="106" spans="1:10">
      <c r="A106" s="278">
        <v>2004</v>
      </c>
      <c r="B106" s="253">
        <f t="shared" ref="B106:B115" si="23">(+B84/B83)</f>
        <v>0.96459208328463042</v>
      </c>
      <c r="C106" s="253">
        <f t="shared" ref="C106:H107" si="24">(+C84/C83)</f>
        <v>1.0908582778368565</v>
      </c>
      <c r="D106" s="253">
        <f t="shared" si="24"/>
        <v>1.3524359755748323</v>
      </c>
      <c r="E106" s="253">
        <f t="shared" si="24"/>
        <v>0.66256671927643851</v>
      </c>
      <c r="F106" s="253">
        <f t="shared" si="24"/>
        <v>0.56908460757775015</v>
      </c>
      <c r="G106" s="253">
        <f t="shared" si="24"/>
        <v>1.0251639423944985</v>
      </c>
      <c r="H106" s="253">
        <f t="shared" si="24"/>
        <v>0.70253507828110928</v>
      </c>
      <c r="I106" s="253">
        <f>(+I84/I83)</f>
        <v>1</v>
      </c>
      <c r="J106" s="264">
        <f t="shared" ref="J106:J107" si="25">(+J84/J83)</f>
        <v>0.97947588338602443</v>
      </c>
    </row>
    <row r="107" spans="1:10">
      <c r="A107" s="277">
        <v>2005</v>
      </c>
      <c r="B107" s="253">
        <f t="shared" si="23"/>
        <v>1.0693485844030812</v>
      </c>
      <c r="C107" s="253">
        <f t="shared" si="24"/>
        <v>1.0353312923384042</v>
      </c>
      <c r="D107" s="253">
        <f t="shared" si="24"/>
        <v>1.0200491597243926</v>
      </c>
      <c r="E107" s="253">
        <f t="shared" si="24"/>
        <v>0.70116014965232798</v>
      </c>
      <c r="F107" s="253">
        <f t="shared" si="24"/>
        <v>0.81633341387002645</v>
      </c>
      <c r="G107" s="253">
        <f t="shared" si="24"/>
        <v>1.0266511605702138</v>
      </c>
      <c r="H107" s="253">
        <f t="shared" si="24"/>
        <v>1.5789925790723871</v>
      </c>
      <c r="I107" s="253">
        <f>(+I85/I84)</f>
        <v>1</v>
      </c>
      <c r="J107" s="264">
        <f t="shared" si="25"/>
        <v>0.98310260978987285</v>
      </c>
    </row>
    <row r="108" spans="1:10">
      <c r="A108" s="278">
        <v>2006</v>
      </c>
      <c r="B108" s="253">
        <f t="shared" si="23"/>
        <v>0.94199681266597912</v>
      </c>
      <c r="C108" s="253">
        <f t="shared" ref="C108:H108" si="26">(+C86/C85)</f>
        <v>0.96638399951958032</v>
      </c>
      <c r="D108" s="253">
        <f t="shared" si="26"/>
        <v>0.97995192900219585</v>
      </c>
      <c r="E108" s="253">
        <f t="shared" si="26"/>
        <v>0.94832850124568335</v>
      </c>
      <c r="F108" s="253">
        <f t="shared" si="26"/>
        <v>1.060119217212701</v>
      </c>
      <c r="G108" s="253">
        <f t="shared" si="26"/>
        <v>0.9920529522224395</v>
      </c>
      <c r="H108" s="253">
        <f t="shared" si="26"/>
        <v>1.0206625785010248</v>
      </c>
      <c r="I108" s="253">
        <f>(+I86/I85)</f>
        <v>0.73999597315436239</v>
      </c>
      <c r="J108" s="264">
        <f>(+J86/J85)</f>
        <v>0.96501006988957627</v>
      </c>
    </row>
    <row r="109" spans="1:10">
      <c r="A109" s="277">
        <v>2007</v>
      </c>
      <c r="B109" s="253">
        <f t="shared" si="23"/>
        <v>0.9949077206372462</v>
      </c>
      <c r="C109" s="253">
        <f t="shared" ref="C109:H109" si="27">(+C87/C86)</f>
        <v>0.98427327954005928</v>
      </c>
      <c r="D109" s="253">
        <f t="shared" si="27"/>
        <v>1.0096097961620669</v>
      </c>
      <c r="E109" s="253">
        <f t="shared" si="27"/>
        <v>1.0361649490467149</v>
      </c>
      <c r="F109" s="253">
        <f t="shared" si="27"/>
        <v>1.2183426165249025</v>
      </c>
      <c r="G109" s="253">
        <f t="shared" si="27"/>
        <v>0.99141299957141205</v>
      </c>
      <c r="H109" s="253">
        <f t="shared" si="27"/>
        <v>1.0455013986494117</v>
      </c>
      <c r="I109" s="253">
        <f>(+I87/I86)</f>
        <v>1.7145038076532986</v>
      </c>
      <c r="J109" s="264">
        <f>SUM(B87:H87)/SUM(B86:H86)</f>
        <v>1.0787684181022261</v>
      </c>
    </row>
    <row r="110" spans="1:10">
      <c r="A110" s="278">
        <v>2008</v>
      </c>
      <c r="B110" s="253">
        <f t="shared" si="23"/>
        <v>0.97953259079188659</v>
      </c>
      <c r="C110" s="253">
        <f t="shared" ref="C110:I110" si="28">(+C88/C87)</f>
        <v>0.98470012831565834</v>
      </c>
      <c r="D110" s="253">
        <f t="shared" si="28"/>
        <v>0.96254198971188476</v>
      </c>
      <c r="E110" s="253">
        <f t="shared" si="28"/>
        <v>0.60132190195387458</v>
      </c>
      <c r="F110" s="253">
        <f t="shared" si="28"/>
        <v>0.98616804619720932</v>
      </c>
      <c r="G110" s="253">
        <f t="shared" si="28"/>
        <v>0.97279018442106457</v>
      </c>
      <c r="H110" s="253">
        <f t="shared" si="28"/>
        <v>0.96569457035429807</v>
      </c>
      <c r="I110" s="253">
        <f t="shared" si="28"/>
        <v>0.88321346787592647</v>
      </c>
      <c r="J110" s="264">
        <f t="shared" ref="J110" si="29">(+J88/J87)</f>
        <v>0.95934324471684929</v>
      </c>
    </row>
    <row r="111" spans="1:10">
      <c r="A111" s="277">
        <v>2009</v>
      </c>
      <c r="B111" s="253">
        <f t="shared" si="23"/>
        <v>0.98279461300438953</v>
      </c>
      <c r="C111" s="253">
        <f t="shared" ref="C111:J111" si="30">(+C89/C88)</f>
        <v>0.95421384004790699</v>
      </c>
      <c r="D111" s="253">
        <f t="shared" si="30"/>
        <v>1.0079837456600111</v>
      </c>
      <c r="E111" s="253">
        <f t="shared" si="30"/>
        <v>0.98416608731004862</v>
      </c>
      <c r="F111" s="253">
        <f t="shared" si="30"/>
        <v>0.80682902472712614</v>
      </c>
      <c r="G111" s="253">
        <f t="shared" si="30"/>
        <v>1.0330797319726048</v>
      </c>
      <c r="H111" s="253">
        <f t="shared" si="30"/>
        <v>0.93778196926057145</v>
      </c>
      <c r="I111" s="253">
        <f t="shared" si="30"/>
        <v>0.83354590562373465</v>
      </c>
      <c r="J111" s="264">
        <f t="shared" si="30"/>
        <v>0.95720347132836214</v>
      </c>
    </row>
    <row r="112" spans="1:10">
      <c r="A112" s="278">
        <v>2010</v>
      </c>
      <c r="B112" s="253">
        <f t="shared" si="23"/>
        <v>1.0083079826061891</v>
      </c>
      <c r="C112" s="253">
        <f t="shared" ref="C112:J112" si="31">(+C90/C89)</f>
        <v>1.0073453774605363</v>
      </c>
      <c r="D112" s="253">
        <f t="shared" si="31"/>
        <v>1.0403510744350233</v>
      </c>
      <c r="E112" s="253">
        <f t="shared" si="31"/>
        <v>1.8262711374423533</v>
      </c>
      <c r="F112" s="253">
        <f t="shared" si="31"/>
        <v>0.87971234452616509</v>
      </c>
      <c r="G112" s="253">
        <f t="shared" si="31"/>
        <v>1.0054949504946402</v>
      </c>
      <c r="H112" s="253">
        <f t="shared" si="31"/>
        <v>1.0122983257229832</v>
      </c>
      <c r="I112" s="253">
        <f t="shared" si="31"/>
        <v>0.98906133534923335</v>
      </c>
      <c r="J112" s="264">
        <f t="shared" si="31"/>
        <v>0.99574816087047791</v>
      </c>
    </row>
    <row r="113" spans="1:10">
      <c r="A113" s="278">
        <v>2011</v>
      </c>
      <c r="B113" s="253">
        <f t="shared" si="23"/>
        <v>1.0048269554705549</v>
      </c>
      <c r="C113" s="253">
        <f t="shared" ref="C113:J113" si="32">(+C91/C90)</f>
        <v>1.0443860346710048</v>
      </c>
      <c r="D113" s="253">
        <f t="shared" si="32"/>
        <v>0.99654922429387527</v>
      </c>
      <c r="E113" s="253">
        <f t="shared" si="32"/>
        <v>1.129867580116052</v>
      </c>
      <c r="F113" s="253">
        <f t="shared" si="32"/>
        <v>0.98916698473014308</v>
      </c>
      <c r="G113" s="253">
        <f t="shared" si="32"/>
        <v>0.97252712875515746</v>
      </c>
      <c r="H113" s="253">
        <f t="shared" si="32"/>
        <v>1.0416666666666667</v>
      </c>
      <c r="I113" s="253">
        <f t="shared" si="32"/>
        <v>0.99086782815227392</v>
      </c>
      <c r="J113" s="264">
        <f t="shared" si="32"/>
        <v>1.0081531246371136</v>
      </c>
    </row>
    <row r="114" spans="1:10">
      <c r="A114" s="278">
        <v>2012</v>
      </c>
      <c r="B114" s="253">
        <f t="shared" si="23"/>
        <v>0.96931239576818207</v>
      </c>
      <c r="C114" s="253">
        <f t="shared" ref="C114:J114" si="33">(+C92/C91)</f>
        <v>0.97931825637170078</v>
      </c>
      <c r="D114" s="253">
        <f t="shared" si="33"/>
        <v>0.95761565939939775</v>
      </c>
      <c r="E114" s="253">
        <f t="shared" si="33"/>
        <v>1.0813985453740536</v>
      </c>
      <c r="F114" s="253">
        <f t="shared" si="33"/>
        <v>0.91567351998470703</v>
      </c>
      <c r="G114" s="253">
        <f t="shared" si="33"/>
        <v>0.98202534647603412</v>
      </c>
      <c r="H114" s="253">
        <f t="shared" si="33"/>
        <v>1</v>
      </c>
      <c r="I114" s="253">
        <f t="shared" si="33"/>
        <v>1.0150648481935254</v>
      </c>
      <c r="J114" s="264">
        <f t="shared" si="33"/>
        <v>0.96101760740704145</v>
      </c>
    </row>
    <row r="115" spans="1:10">
      <c r="A115" s="278">
        <v>2013</v>
      </c>
      <c r="B115" s="253">
        <f t="shared" si="23"/>
        <v>0.99427454911197943</v>
      </c>
      <c r="C115" s="253">
        <f t="shared" ref="C115:J115" si="34">(+C93/C92)</f>
        <v>0.99273581472854766</v>
      </c>
      <c r="D115" s="253">
        <f t="shared" si="34"/>
        <v>1.019314763084143</v>
      </c>
      <c r="E115" s="253">
        <f t="shared" si="34"/>
        <v>1.0370835702589611</v>
      </c>
      <c r="F115" s="253">
        <f t="shared" si="34"/>
        <v>0.98371919806127561</v>
      </c>
      <c r="G115" s="253">
        <f t="shared" si="34"/>
        <v>0.88739499599922278</v>
      </c>
      <c r="H115" s="253">
        <f t="shared" si="34"/>
        <v>1</v>
      </c>
      <c r="I115" s="253">
        <f t="shared" si="34"/>
        <v>1.0041447017954275</v>
      </c>
      <c r="J115" s="264">
        <f t="shared" si="34"/>
        <v>0.99435576755190902</v>
      </c>
    </row>
    <row r="116" spans="1:10">
      <c r="A116" s="288" t="s">
        <v>245</v>
      </c>
      <c r="B116" s="256">
        <f>GEOMEAN(B106:B115)</f>
        <v>0.99047415009230044</v>
      </c>
      <c r="C116" s="256">
        <f t="shared" ref="C116:J116" si="35">GEOMEAN(C106:C115)</f>
        <v>1.0031964342728203</v>
      </c>
      <c r="D116" s="256">
        <f t="shared" si="35"/>
        <v>1.029709592949541</v>
      </c>
      <c r="E116" s="256">
        <f t="shared" si="35"/>
        <v>0.95411391539303769</v>
      </c>
      <c r="F116" s="256">
        <f t="shared" si="35"/>
        <v>0.90638416501171393</v>
      </c>
      <c r="G116" s="256">
        <f t="shared" si="35"/>
        <v>0.98802515099037158</v>
      </c>
      <c r="H116" s="256">
        <f t="shared" si="35"/>
        <v>1.0123329823973279</v>
      </c>
      <c r="I116" s="256">
        <f t="shared" si="35"/>
        <v>0.99309136521322361</v>
      </c>
      <c r="J116" s="289">
        <f t="shared" si="35"/>
        <v>0.98763849888502986</v>
      </c>
    </row>
    <row r="117" spans="1:10">
      <c r="A117" s="278" t="s">
        <v>228</v>
      </c>
      <c r="B117" s="253">
        <f t="shared" ref="B117:B122" ca="1" si="36">(+B94/B93)</f>
        <v>1.0045459110884112</v>
      </c>
      <c r="C117" s="253">
        <f t="shared" ref="C117:H117" ca="1" si="37">(+C94/C93)</f>
        <v>1.017448941977259</v>
      </c>
      <c r="D117" s="253">
        <f t="shared" ca="1" si="37"/>
        <v>1.0434447985855622</v>
      </c>
      <c r="E117" s="253">
        <f t="shared" ca="1" si="37"/>
        <v>1.0370835702589611</v>
      </c>
      <c r="F117" s="253">
        <f t="shared" ca="1" si="37"/>
        <v>0.91751766526042033</v>
      </c>
      <c r="G117" s="253">
        <f t="shared" ca="1" si="37"/>
        <v>0.98802515099037158</v>
      </c>
      <c r="H117" s="253">
        <f t="shared" ca="1" si="37"/>
        <v>1.0123329823973277</v>
      </c>
      <c r="I117" s="253">
        <f t="shared" ref="I117:J117" ca="1" si="38">(+I94/I93)</f>
        <v>0.99309136521322361</v>
      </c>
      <c r="J117" s="264">
        <f t="shared" ca="1" si="38"/>
        <v>1.0056347266601766</v>
      </c>
    </row>
    <row r="118" spans="1:10">
      <c r="A118" s="278" t="s">
        <v>229</v>
      </c>
      <c r="B118" s="253">
        <f t="shared" ca="1" si="36"/>
        <v>0.98177547387869246</v>
      </c>
      <c r="C118" s="253">
        <f t="shared" ref="C118:J118" ca="1" si="39">(+C95/C94)</f>
        <v>0.99438602669219633</v>
      </c>
      <c r="D118" s="253">
        <f t="shared" ca="1" si="39"/>
        <v>1.0212116892322505</v>
      </c>
      <c r="E118" s="253">
        <f t="shared" ca="1" si="39"/>
        <v>1.0370835702589611</v>
      </c>
      <c r="F118" s="253">
        <f t="shared" ca="1" si="39"/>
        <v>0.89948874129581957</v>
      </c>
      <c r="G118" s="253">
        <f t="shared" ca="1" si="39"/>
        <v>0.9880251509903718</v>
      </c>
      <c r="H118" s="253">
        <f t="shared" ca="1" si="39"/>
        <v>1.0123329823973282</v>
      </c>
      <c r="I118" s="253">
        <f t="shared" ca="1" si="39"/>
        <v>0.9930913652132235</v>
      </c>
      <c r="J118" s="264">
        <f t="shared" ca="1" si="39"/>
        <v>0.98552955160331346</v>
      </c>
    </row>
    <row r="119" spans="1:10">
      <c r="A119" s="278" t="s">
        <v>230</v>
      </c>
      <c r="B119" s="253">
        <f t="shared" ca="1" si="36"/>
        <v>0.98346311929755958</v>
      </c>
      <c r="C119" s="253">
        <f t="shared" ref="C119:J119" ca="1" si="40">(+C96/C95)</f>
        <v>0.99609534930941634</v>
      </c>
      <c r="D119" s="253">
        <f t="shared" ca="1" si="40"/>
        <v>1.0228640400684239</v>
      </c>
      <c r="E119" s="253">
        <f t="shared" ca="1" si="40"/>
        <v>1.0370835702589611</v>
      </c>
      <c r="F119" s="253">
        <f t="shared" ca="1" si="40"/>
        <v>0.90083311323524595</v>
      </c>
      <c r="G119" s="253">
        <f t="shared" ca="1" si="40"/>
        <v>0.98802515099037147</v>
      </c>
      <c r="H119" s="253">
        <f t="shared" ca="1" si="40"/>
        <v>1.0123329823973282</v>
      </c>
      <c r="I119" s="253">
        <f t="shared" ca="1" si="40"/>
        <v>0.99309136521322361</v>
      </c>
      <c r="J119" s="264">
        <f t="shared" ca="1" si="40"/>
        <v>0.98793996462205624</v>
      </c>
    </row>
    <row r="120" spans="1:10">
      <c r="A120" s="278" t="s">
        <v>231</v>
      </c>
      <c r="B120" s="253">
        <f t="shared" ca="1" si="36"/>
        <v>0.97733771026234728</v>
      </c>
      <c r="C120" s="253">
        <f t="shared" ref="C120:J120" ca="1" si="41">(+C97/C96)</f>
        <v>0.98989126159848007</v>
      </c>
      <c r="D120" s="253">
        <f t="shared" ca="1" si="41"/>
        <v>1.0168887636926558</v>
      </c>
      <c r="E120" s="253">
        <f t="shared" ca="1" si="41"/>
        <v>1.0370835702589611</v>
      </c>
      <c r="F120" s="253">
        <f t="shared" ca="1" si="41"/>
        <v>0.89599324540498448</v>
      </c>
      <c r="G120" s="253">
        <f t="shared" ca="1" si="41"/>
        <v>0.98802515099037158</v>
      </c>
      <c r="H120" s="253">
        <f t="shared" ca="1" si="41"/>
        <v>1.0123329823973277</v>
      </c>
      <c r="I120" s="253">
        <f t="shared" ca="1" si="41"/>
        <v>0.99309136521322361</v>
      </c>
      <c r="J120" s="264">
        <f t="shared" ca="1" si="41"/>
        <v>0.98308028962134475</v>
      </c>
    </row>
    <row r="121" spans="1:10">
      <c r="A121" s="278" t="s">
        <v>232</v>
      </c>
      <c r="B121" s="253">
        <f t="shared" ca="1" si="36"/>
        <v>0.97913699144528932</v>
      </c>
      <c r="C121" s="253">
        <f t="shared" ref="C121:J121" ca="1" si="42">(+C98/C97)</f>
        <v>0.99171365390100841</v>
      </c>
      <c r="D121" s="253">
        <f t="shared" ca="1" si="42"/>
        <v>1.018653912427375</v>
      </c>
      <c r="E121" s="253">
        <f t="shared" ca="1" si="42"/>
        <v>1.0370835702589611</v>
      </c>
      <c r="F121" s="253">
        <f t="shared" ca="1" si="42"/>
        <v>0.89743279287776356</v>
      </c>
      <c r="G121" s="253">
        <f t="shared" ca="1" si="42"/>
        <v>0.98802515099037158</v>
      </c>
      <c r="H121" s="253">
        <f t="shared" ca="1" si="42"/>
        <v>1.0123329823973279</v>
      </c>
      <c r="I121" s="253">
        <f t="shared" ca="1" si="42"/>
        <v>0.99309136521322361</v>
      </c>
      <c r="J121" s="264">
        <f t="shared" ca="1" si="42"/>
        <v>0.98548482568512952</v>
      </c>
    </row>
    <row r="122" spans="1:10" ht="13.8" thickBot="1">
      <c r="A122" s="279" t="s">
        <v>233</v>
      </c>
      <c r="B122" s="266">
        <f t="shared" ca="1" si="36"/>
        <v>0.97836916128206985</v>
      </c>
      <c r="C122" s="266">
        <f t="shared" ref="C122:J122" ca="1" si="43">(+C99/C98)</f>
        <v>0.99093596123553374</v>
      </c>
      <c r="D122" s="266">
        <f t="shared" ca="1" si="43"/>
        <v>1.0179136119970063</v>
      </c>
      <c r="E122" s="266">
        <f t="shared" ca="1" si="43"/>
        <v>1.0370835702589611</v>
      </c>
      <c r="F122" s="266">
        <f t="shared" ca="1" si="43"/>
        <v>0.8968417023760431</v>
      </c>
      <c r="G122" s="266">
        <f t="shared" ca="1" si="43"/>
        <v>0.9880251509903718</v>
      </c>
      <c r="H122" s="266">
        <f t="shared" ca="1" si="43"/>
        <v>1.0123329823973279</v>
      </c>
      <c r="I122" s="266">
        <f t="shared" ca="1" si="43"/>
        <v>0.99309136521322361</v>
      </c>
      <c r="J122" s="267">
        <f t="shared" ca="1" si="43"/>
        <v>0.98547002722581634</v>
      </c>
    </row>
    <row r="125" spans="1:10" ht="13.8" thickBot="1"/>
    <row r="126" spans="1:10" ht="23.4" thickBot="1">
      <c r="A126" s="257" t="s">
        <v>112</v>
      </c>
      <c r="B126" s="250" t="s">
        <v>71</v>
      </c>
      <c r="C126" s="250" t="s">
        <v>236</v>
      </c>
      <c r="D126" s="250" t="s">
        <v>235</v>
      </c>
      <c r="E126" s="250" t="s">
        <v>74</v>
      </c>
      <c r="F126" s="250" t="s">
        <v>237</v>
      </c>
      <c r="G126" s="250" t="s">
        <v>238</v>
      </c>
      <c r="H126" s="250" t="s">
        <v>239</v>
      </c>
      <c r="I126" s="250" t="s">
        <v>76</v>
      </c>
      <c r="J126" s="251" t="s">
        <v>9</v>
      </c>
    </row>
    <row r="127" spans="1:10">
      <c r="A127" s="280" t="s">
        <v>246</v>
      </c>
      <c r="B127" s="281"/>
      <c r="C127" s="281"/>
      <c r="D127" s="281"/>
      <c r="E127" s="281"/>
      <c r="F127" s="281"/>
      <c r="G127" s="281"/>
      <c r="H127" s="281"/>
      <c r="I127" s="281"/>
      <c r="J127" s="282"/>
    </row>
    <row r="128" spans="1:10">
      <c r="A128" s="283" t="s">
        <v>114</v>
      </c>
      <c r="B128" s="255">
        <f>+B30</f>
        <v>47243</v>
      </c>
      <c r="C128" s="255">
        <f t="shared" ref="C128:I128" si="44">+C30</f>
        <v>3845</v>
      </c>
      <c r="D128" s="255">
        <f t="shared" si="44"/>
        <v>522</v>
      </c>
      <c r="E128" s="255">
        <f t="shared" si="44"/>
        <v>2</v>
      </c>
      <c r="F128" s="255">
        <f t="shared" si="44"/>
        <v>9</v>
      </c>
      <c r="G128" s="255">
        <f t="shared" si="44"/>
        <v>11650</v>
      </c>
      <c r="H128" s="255">
        <f t="shared" si="44"/>
        <v>77</v>
      </c>
      <c r="I128" s="255">
        <f t="shared" si="44"/>
        <v>305</v>
      </c>
      <c r="J128" s="262">
        <f>SUM(B128:I128)</f>
        <v>63653</v>
      </c>
    </row>
    <row r="129" spans="1:10">
      <c r="A129" s="283" t="s">
        <v>227</v>
      </c>
      <c r="B129" s="255">
        <f t="shared" ref="B129:I129" si="45">+B31</f>
        <v>49919.725406979574</v>
      </c>
      <c r="C129" s="255">
        <f t="shared" si="45"/>
        <v>3961</v>
      </c>
      <c r="D129" s="255">
        <f t="shared" si="45"/>
        <v>518</v>
      </c>
      <c r="E129" s="255">
        <f t="shared" si="45"/>
        <v>1</v>
      </c>
      <c r="F129" s="255">
        <f t="shared" si="45"/>
        <v>10</v>
      </c>
      <c r="G129" s="255">
        <f t="shared" si="45"/>
        <v>12761.899782618997</v>
      </c>
      <c r="H129" s="255">
        <f t="shared" si="45"/>
        <v>22.307657589073369</v>
      </c>
      <c r="I129" s="255">
        <f t="shared" si="45"/>
        <v>313.0793844964528</v>
      </c>
      <c r="J129" s="262">
        <f>SUM(B129:I129)</f>
        <v>67507.012231684101</v>
      </c>
    </row>
    <row r="130" spans="1:10">
      <c r="A130" s="277"/>
      <c r="B130" s="254"/>
      <c r="C130" s="284"/>
      <c r="D130" s="284"/>
      <c r="E130" s="284"/>
      <c r="F130" s="284"/>
      <c r="G130" s="284"/>
      <c r="H130" s="284"/>
      <c r="I130" s="284"/>
      <c r="J130" s="285"/>
    </row>
    <row r="131" spans="1:10">
      <c r="A131" s="277">
        <v>2003</v>
      </c>
      <c r="B131" s="252">
        <f t="shared" ref="B131:I141" si="46">+B33</f>
        <v>43319.5</v>
      </c>
      <c r="C131" s="252">
        <f t="shared" si="46"/>
        <v>3689</v>
      </c>
      <c r="D131" s="252">
        <f t="shared" si="46"/>
        <v>559</v>
      </c>
      <c r="E131" s="252">
        <f t="shared" si="46"/>
        <v>2.5</v>
      </c>
      <c r="F131" s="252">
        <f t="shared" si="46"/>
        <v>5</v>
      </c>
      <c r="G131" s="252">
        <f t="shared" si="46"/>
        <v>10059</v>
      </c>
      <c r="H131" s="252">
        <f t="shared" si="46"/>
        <v>34.5</v>
      </c>
      <c r="I131" s="252">
        <f t="shared" si="46"/>
        <v>292</v>
      </c>
      <c r="J131" s="286">
        <f>SUM(B131:I131)</f>
        <v>57960.5</v>
      </c>
    </row>
    <row r="132" spans="1:10">
      <c r="A132" s="277">
        <v>2004</v>
      </c>
      <c r="B132" s="252">
        <f t="shared" si="46"/>
        <v>43979.5</v>
      </c>
      <c r="C132" s="252">
        <f t="shared" si="46"/>
        <v>3626.5</v>
      </c>
      <c r="D132" s="252">
        <f t="shared" si="46"/>
        <v>530</v>
      </c>
      <c r="E132" s="252">
        <f t="shared" si="46"/>
        <v>2.5</v>
      </c>
      <c r="F132" s="252">
        <f t="shared" si="46"/>
        <v>6</v>
      </c>
      <c r="G132" s="252">
        <f t="shared" si="46"/>
        <v>10262</v>
      </c>
      <c r="H132" s="252">
        <f t="shared" si="46"/>
        <v>30</v>
      </c>
      <c r="I132" s="252">
        <f t="shared" si="46"/>
        <v>294</v>
      </c>
      <c r="J132" s="286">
        <f t="shared" ref="J132:J141" si="47">SUM(B132:I132)</f>
        <v>58730.5</v>
      </c>
    </row>
    <row r="133" spans="1:10">
      <c r="A133" s="277">
        <v>2005</v>
      </c>
      <c r="B133" s="252">
        <f t="shared" si="46"/>
        <v>44598.5</v>
      </c>
      <c r="C133" s="252">
        <f t="shared" si="46"/>
        <v>3662</v>
      </c>
      <c r="D133" s="252">
        <f t="shared" si="46"/>
        <v>521.5</v>
      </c>
      <c r="E133" s="252">
        <f t="shared" si="46"/>
        <v>2</v>
      </c>
      <c r="F133" s="252">
        <f t="shared" si="46"/>
        <v>7.5</v>
      </c>
      <c r="G133" s="252">
        <f t="shared" si="46"/>
        <v>10498.5</v>
      </c>
      <c r="H133" s="252">
        <f t="shared" si="46"/>
        <v>29.5</v>
      </c>
      <c r="I133" s="252">
        <f t="shared" si="46"/>
        <v>295</v>
      </c>
      <c r="J133" s="286">
        <f t="shared" si="47"/>
        <v>59614.5</v>
      </c>
    </row>
    <row r="134" spans="1:10">
      <c r="A134" s="278">
        <v>2006</v>
      </c>
      <c r="B134" s="252">
        <f t="shared" si="46"/>
        <v>45439</v>
      </c>
      <c r="C134" s="252">
        <f t="shared" si="46"/>
        <v>3740.5</v>
      </c>
      <c r="D134" s="252">
        <f t="shared" si="46"/>
        <v>525</v>
      </c>
      <c r="E134" s="252">
        <f t="shared" si="46"/>
        <v>2</v>
      </c>
      <c r="F134" s="252">
        <f t="shared" si="46"/>
        <v>8.5</v>
      </c>
      <c r="G134" s="252">
        <f t="shared" si="46"/>
        <v>10831</v>
      </c>
      <c r="H134" s="252">
        <f t="shared" si="46"/>
        <v>28.5</v>
      </c>
      <c r="I134" s="252">
        <f t="shared" si="46"/>
        <v>298</v>
      </c>
      <c r="J134" s="286">
        <f t="shared" si="47"/>
        <v>60872.5</v>
      </c>
    </row>
    <row r="135" spans="1:10">
      <c r="A135" s="277">
        <v>2007</v>
      </c>
      <c r="B135" s="252">
        <f t="shared" si="46"/>
        <v>46320</v>
      </c>
      <c r="C135" s="252">
        <f t="shared" si="46"/>
        <v>3749</v>
      </c>
      <c r="D135" s="252">
        <f t="shared" si="46"/>
        <v>523</v>
      </c>
      <c r="E135" s="252">
        <f t="shared" si="46"/>
        <v>2</v>
      </c>
      <c r="F135" s="252">
        <f t="shared" si="46"/>
        <v>9</v>
      </c>
      <c r="G135" s="252">
        <f t="shared" si="46"/>
        <v>11280.5</v>
      </c>
      <c r="H135" s="252">
        <f t="shared" si="46"/>
        <v>26.5</v>
      </c>
      <c r="I135" s="252">
        <f t="shared" si="46"/>
        <v>301</v>
      </c>
      <c r="J135" s="286">
        <f t="shared" si="47"/>
        <v>62211</v>
      </c>
    </row>
    <row r="136" spans="1:10">
      <c r="A136" s="278">
        <v>2008</v>
      </c>
      <c r="B136" s="252">
        <f t="shared" si="46"/>
        <v>47057.5</v>
      </c>
      <c r="C136" s="252">
        <f t="shared" si="46"/>
        <v>3793.5</v>
      </c>
      <c r="D136" s="252">
        <f t="shared" si="46"/>
        <v>533.5</v>
      </c>
      <c r="E136" s="252">
        <f t="shared" si="46"/>
        <v>2.5</v>
      </c>
      <c r="F136" s="252">
        <f t="shared" si="46"/>
        <v>9</v>
      </c>
      <c r="G136" s="252">
        <f t="shared" si="46"/>
        <v>11621.5</v>
      </c>
      <c r="H136" s="252">
        <f t="shared" si="46"/>
        <v>26</v>
      </c>
      <c r="I136" s="252">
        <f t="shared" si="46"/>
        <v>301</v>
      </c>
      <c r="J136" s="286">
        <f t="shared" si="47"/>
        <v>63344.5</v>
      </c>
    </row>
    <row r="137" spans="1:10">
      <c r="A137" s="277">
        <v>2009</v>
      </c>
      <c r="B137" s="252">
        <f t="shared" si="46"/>
        <v>47602.5</v>
      </c>
      <c r="C137" s="252">
        <f t="shared" si="46"/>
        <v>3859.5</v>
      </c>
      <c r="D137" s="252">
        <f t="shared" si="46"/>
        <v>525</v>
      </c>
      <c r="E137" s="252">
        <f t="shared" si="46"/>
        <v>2</v>
      </c>
      <c r="F137" s="252">
        <f t="shared" si="46"/>
        <v>9.5</v>
      </c>
      <c r="G137" s="252">
        <f t="shared" si="46"/>
        <v>11801</v>
      </c>
      <c r="H137" s="252">
        <f t="shared" si="46"/>
        <v>26</v>
      </c>
      <c r="I137" s="252">
        <f t="shared" si="46"/>
        <v>302.5</v>
      </c>
      <c r="J137" s="286">
        <f t="shared" si="47"/>
        <v>64128</v>
      </c>
    </row>
    <row r="138" spans="1:10">
      <c r="A138" s="278">
        <v>2010</v>
      </c>
      <c r="B138" s="252">
        <f t="shared" si="46"/>
        <v>48114.5</v>
      </c>
      <c r="C138" s="252">
        <f t="shared" si="46"/>
        <v>3929</v>
      </c>
      <c r="D138" s="252">
        <f t="shared" si="46"/>
        <v>512.5</v>
      </c>
      <c r="E138" s="252">
        <f t="shared" si="46"/>
        <v>1</v>
      </c>
      <c r="F138" s="252">
        <f t="shared" si="46"/>
        <v>10</v>
      </c>
      <c r="G138" s="252">
        <f t="shared" si="46"/>
        <v>11995.5</v>
      </c>
      <c r="H138" s="252">
        <f t="shared" si="46"/>
        <v>25</v>
      </c>
      <c r="I138" s="252">
        <f t="shared" si="46"/>
        <v>306.5</v>
      </c>
      <c r="J138" s="286">
        <f t="shared" si="47"/>
        <v>64894</v>
      </c>
    </row>
    <row r="139" spans="1:10">
      <c r="A139" s="278">
        <v>2011</v>
      </c>
      <c r="B139" s="252">
        <f t="shared" si="46"/>
        <v>48650.5</v>
      </c>
      <c r="C139" s="252">
        <f t="shared" si="46"/>
        <v>3888.5</v>
      </c>
      <c r="D139" s="252">
        <f t="shared" si="46"/>
        <v>520.5</v>
      </c>
      <c r="E139" s="252">
        <f t="shared" si="46"/>
        <v>1</v>
      </c>
      <c r="F139" s="252">
        <f t="shared" si="46"/>
        <v>10</v>
      </c>
      <c r="G139" s="252">
        <f t="shared" si="46"/>
        <v>12127.5</v>
      </c>
      <c r="H139" s="252">
        <f t="shared" si="46"/>
        <v>24</v>
      </c>
      <c r="I139" s="252">
        <f t="shared" si="46"/>
        <v>302.5</v>
      </c>
      <c r="J139" s="286">
        <f t="shared" si="47"/>
        <v>65524.5</v>
      </c>
    </row>
    <row r="140" spans="1:10">
      <c r="A140" s="278">
        <v>2012</v>
      </c>
      <c r="B140" s="252">
        <f t="shared" si="46"/>
        <v>49021</v>
      </c>
      <c r="C140" s="252">
        <f t="shared" si="46"/>
        <v>3850.5</v>
      </c>
      <c r="D140" s="252">
        <f t="shared" si="46"/>
        <v>511.5</v>
      </c>
      <c r="E140" s="252">
        <f t="shared" si="46"/>
        <v>1</v>
      </c>
      <c r="F140" s="252">
        <f t="shared" si="46"/>
        <v>10.5</v>
      </c>
      <c r="G140" s="252">
        <f t="shared" si="46"/>
        <v>12213</v>
      </c>
      <c r="H140" s="252">
        <f t="shared" si="46"/>
        <v>24</v>
      </c>
      <c r="I140" s="252">
        <f t="shared" si="46"/>
        <v>295.5</v>
      </c>
      <c r="J140" s="286">
        <f t="shared" si="47"/>
        <v>65927</v>
      </c>
    </row>
    <row r="141" spans="1:10" ht="13.8" thickBot="1">
      <c r="A141" s="279">
        <v>2013</v>
      </c>
      <c r="B141" s="265">
        <f t="shared" si="46"/>
        <v>49511</v>
      </c>
      <c r="C141" s="265">
        <f t="shared" si="46"/>
        <v>3902</v>
      </c>
      <c r="D141" s="265">
        <f t="shared" si="46"/>
        <v>500</v>
      </c>
      <c r="E141" s="265">
        <f t="shared" si="46"/>
        <v>1</v>
      </c>
      <c r="F141" s="265">
        <f t="shared" si="46"/>
        <v>11</v>
      </c>
      <c r="G141" s="265">
        <f t="shared" si="46"/>
        <v>12327.5</v>
      </c>
      <c r="H141" s="265">
        <f t="shared" si="46"/>
        <v>24</v>
      </c>
      <c r="I141" s="265">
        <f t="shared" si="46"/>
        <v>295</v>
      </c>
      <c r="J141" s="287">
        <f t="shared" si="47"/>
        <v>66571.5</v>
      </c>
    </row>
    <row r="144" spans="1:10" ht="13.8" thickBot="1"/>
    <row r="145" spans="1:10" ht="23.4" thickBot="1">
      <c r="A145" s="257" t="s">
        <v>112</v>
      </c>
      <c r="B145" s="250" t="s">
        <v>71</v>
      </c>
      <c r="C145" s="250" t="s">
        <v>236</v>
      </c>
      <c r="D145" s="250" t="s">
        <v>235</v>
      </c>
      <c r="E145" s="250" t="s">
        <v>74</v>
      </c>
      <c r="F145" s="250" t="s">
        <v>237</v>
      </c>
      <c r="G145" s="250" t="s">
        <v>238</v>
      </c>
      <c r="H145" s="250" t="s">
        <v>239</v>
      </c>
      <c r="I145" s="250" t="s">
        <v>76</v>
      </c>
      <c r="J145" s="251" t="s">
        <v>9</v>
      </c>
    </row>
    <row r="146" spans="1:10">
      <c r="A146" s="280" t="s">
        <v>241</v>
      </c>
      <c r="B146" s="281"/>
      <c r="C146" s="281"/>
      <c r="D146" s="281"/>
      <c r="E146" s="281"/>
      <c r="F146" s="281"/>
      <c r="G146" s="281"/>
      <c r="H146" s="281"/>
      <c r="I146" s="281"/>
      <c r="J146" s="282"/>
    </row>
    <row r="147" spans="1:10">
      <c r="A147" s="277"/>
      <c r="B147" s="253"/>
      <c r="C147" s="253"/>
      <c r="D147" s="253"/>
      <c r="E147" s="253"/>
      <c r="F147" s="253"/>
      <c r="G147" s="253"/>
      <c r="H147" s="253"/>
      <c r="I147" s="253"/>
      <c r="J147" s="264"/>
    </row>
    <row r="148" spans="1:10">
      <c r="A148" s="277">
        <v>2004</v>
      </c>
      <c r="B148" s="253">
        <f t="shared" ref="B148:B157" si="48">+B132/B131</f>
        <v>1.0152356329135839</v>
      </c>
      <c r="C148" s="253">
        <f t="shared" ref="C148:J157" si="49">+C132/C131</f>
        <v>0.98305773922472217</v>
      </c>
      <c r="D148" s="253">
        <f t="shared" si="49"/>
        <v>0.94812164579606439</v>
      </c>
      <c r="E148" s="253">
        <f t="shared" si="49"/>
        <v>1</v>
      </c>
      <c r="F148" s="253">
        <f t="shared" si="49"/>
        <v>1.2</v>
      </c>
      <c r="G148" s="253">
        <f t="shared" si="49"/>
        <v>1.0201809324982603</v>
      </c>
      <c r="H148" s="253">
        <f t="shared" si="49"/>
        <v>0.86956521739130432</v>
      </c>
      <c r="I148" s="253">
        <f t="shared" si="49"/>
        <v>1.0068493150684932</v>
      </c>
      <c r="J148" s="264">
        <f t="shared" si="49"/>
        <v>1.0132849095504697</v>
      </c>
    </row>
    <row r="149" spans="1:10">
      <c r="A149" s="278">
        <v>2005</v>
      </c>
      <c r="B149" s="253">
        <f t="shared" si="48"/>
        <v>1.0140747393672052</v>
      </c>
      <c r="C149" s="253">
        <f t="shared" si="49"/>
        <v>1.0097890528057356</v>
      </c>
      <c r="D149" s="253">
        <f t="shared" si="49"/>
        <v>0.98396226415094334</v>
      </c>
      <c r="E149" s="253">
        <f t="shared" si="49"/>
        <v>0.8</v>
      </c>
      <c r="F149" s="253">
        <f t="shared" si="49"/>
        <v>1.25</v>
      </c>
      <c r="G149" s="253">
        <f t="shared" si="49"/>
        <v>1.0230461898265446</v>
      </c>
      <c r="H149" s="253">
        <f t="shared" si="49"/>
        <v>0.98333333333333328</v>
      </c>
      <c r="I149" s="253">
        <f t="shared" si="49"/>
        <v>1.0034013605442176</v>
      </c>
      <c r="J149" s="264">
        <f t="shared" si="49"/>
        <v>1.015051804428704</v>
      </c>
    </row>
    <row r="150" spans="1:10">
      <c r="A150" s="278">
        <v>2006</v>
      </c>
      <c r="B150" s="253">
        <f t="shared" si="48"/>
        <v>1.0188459253113893</v>
      </c>
      <c r="C150" s="253">
        <f t="shared" si="49"/>
        <v>1.0214363735663572</v>
      </c>
      <c r="D150" s="253">
        <f t="shared" si="49"/>
        <v>1.0067114093959733</v>
      </c>
      <c r="E150" s="253">
        <f t="shared" si="49"/>
        <v>1</v>
      </c>
      <c r="F150" s="253">
        <f t="shared" si="49"/>
        <v>1.1333333333333333</v>
      </c>
      <c r="G150" s="253">
        <f t="shared" si="49"/>
        <v>1.0316711911225414</v>
      </c>
      <c r="H150" s="253">
        <f t="shared" si="49"/>
        <v>0.96610169491525422</v>
      </c>
      <c r="I150" s="253">
        <f t="shared" si="49"/>
        <v>1.0101694915254238</v>
      </c>
      <c r="J150" s="264">
        <f t="shared" si="49"/>
        <v>1.0211022486140118</v>
      </c>
    </row>
    <row r="151" spans="1:10">
      <c r="A151" s="277">
        <v>2007</v>
      </c>
      <c r="B151" s="253">
        <f t="shared" si="48"/>
        <v>1.0193886309117719</v>
      </c>
      <c r="C151" s="253">
        <f t="shared" si="49"/>
        <v>1.0022724234727978</v>
      </c>
      <c r="D151" s="253">
        <f t="shared" si="49"/>
        <v>0.99619047619047618</v>
      </c>
      <c r="E151" s="253">
        <f t="shared" si="49"/>
        <v>1</v>
      </c>
      <c r="F151" s="253">
        <f t="shared" si="49"/>
        <v>1.0588235294117647</v>
      </c>
      <c r="G151" s="253">
        <f t="shared" si="49"/>
        <v>1.0415012464223063</v>
      </c>
      <c r="H151" s="253">
        <f t="shared" si="49"/>
        <v>0.92982456140350878</v>
      </c>
      <c r="I151" s="253">
        <f t="shared" si="49"/>
        <v>1.0100671140939597</v>
      </c>
      <c r="J151" s="264">
        <f t="shared" si="49"/>
        <v>1.0219885826933344</v>
      </c>
    </row>
    <row r="152" spans="1:10">
      <c r="A152" s="278">
        <v>2008</v>
      </c>
      <c r="B152" s="253">
        <f t="shared" si="48"/>
        <v>1.015921848013817</v>
      </c>
      <c r="C152" s="253">
        <f t="shared" si="49"/>
        <v>1.011869831955188</v>
      </c>
      <c r="D152" s="253">
        <f t="shared" si="49"/>
        <v>1.0200764818355641</v>
      </c>
      <c r="E152" s="253">
        <f t="shared" si="49"/>
        <v>1.25</v>
      </c>
      <c r="F152" s="253">
        <f t="shared" si="49"/>
        <v>1</v>
      </c>
      <c r="G152" s="253">
        <f t="shared" si="49"/>
        <v>1.03022915650902</v>
      </c>
      <c r="H152" s="253">
        <f t="shared" si="49"/>
        <v>0.98113207547169812</v>
      </c>
      <c r="I152" s="253">
        <f t="shared" si="49"/>
        <v>1</v>
      </c>
      <c r="J152" s="264">
        <f t="shared" si="49"/>
        <v>1.0182202504380253</v>
      </c>
    </row>
    <row r="153" spans="1:10">
      <c r="A153" s="277">
        <v>2009</v>
      </c>
      <c r="B153" s="253">
        <f t="shared" si="48"/>
        <v>1.0115815757318174</v>
      </c>
      <c r="C153" s="253">
        <f t="shared" si="49"/>
        <v>1.0173981810992487</v>
      </c>
      <c r="D153" s="253">
        <f t="shared" si="49"/>
        <v>0.98406747891283974</v>
      </c>
      <c r="E153" s="253">
        <f t="shared" si="49"/>
        <v>0.8</v>
      </c>
      <c r="F153" s="253">
        <f t="shared" si="49"/>
        <v>1.0555555555555556</v>
      </c>
      <c r="G153" s="253">
        <f t="shared" si="49"/>
        <v>1.0154455104762725</v>
      </c>
      <c r="H153" s="253">
        <f t="shared" si="49"/>
        <v>1</v>
      </c>
      <c r="I153" s="253">
        <f t="shared" si="49"/>
        <v>1.0049833887043189</v>
      </c>
      <c r="J153" s="264">
        <f t="shared" si="49"/>
        <v>1.0123688718041819</v>
      </c>
    </row>
    <row r="154" spans="1:10">
      <c r="A154" s="278">
        <v>2010</v>
      </c>
      <c r="B154" s="253">
        <f t="shared" si="48"/>
        <v>1.0107557376188225</v>
      </c>
      <c r="C154" s="253">
        <f t="shared" si="49"/>
        <v>1.0180075139266744</v>
      </c>
      <c r="D154" s="253">
        <f t="shared" si="49"/>
        <v>0.97619047619047616</v>
      </c>
      <c r="E154" s="253">
        <f t="shared" si="49"/>
        <v>0.5</v>
      </c>
      <c r="F154" s="253">
        <f t="shared" si="49"/>
        <v>1.0526315789473684</v>
      </c>
      <c r="G154" s="253">
        <f t="shared" si="49"/>
        <v>1.0164816540971104</v>
      </c>
      <c r="H154" s="253">
        <f t="shared" si="49"/>
        <v>0.96153846153846156</v>
      </c>
      <c r="I154" s="253">
        <f t="shared" si="49"/>
        <v>1.0132231404958678</v>
      </c>
      <c r="J154" s="264">
        <f t="shared" si="49"/>
        <v>1.0119448602794412</v>
      </c>
    </row>
    <row r="155" spans="1:10">
      <c r="A155" s="278">
        <v>2011</v>
      </c>
      <c r="B155" s="253">
        <f t="shared" si="48"/>
        <v>1.0111400929033867</v>
      </c>
      <c r="C155" s="253">
        <f t="shared" si="49"/>
        <v>0.98969203359633495</v>
      </c>
      <c r="D155" s="253">
        <f t="shared" si="49"/>
        <v>1.015609756097561</v>
      </c>
      <c r="E155" s="253">
        <f t="shared" si="49"/>
        <v>1</v>
      </c>
      <c r="F155" s="253">
        <f t="shared" si="49"/>
        <v>1</v>
      </c>
      <c r="G155" s="253">
        <f t="shared" si="49"/>
        <v>1.0110041265474552</v>
      </c>
      <c r="H155" s="253">
        <f t="shared" si="49"/>
        <v>0.96</v>
      </c>
      <c r="I155" s="253">
        <f t="shared" si="49"/>
        <v>0.98694942903752036</v>
      </c>
      <c r="J155" s="264">
        <f t="shared" si="49"/>
        <v>1.0097158442999352</v>
      </c>
    </row>
    <row r="156" spans="1:10">
      <c r="A156" s="278">
        <v>2012</v>
      </c>
      <c r="B156" s="253">
        <f t="shared" si="48"/>
        <v>1.0076155435195939</v>
      </c>
      <c r="C156" s="253">
        <f t="shared" si="49"/>
        <v>0.99022759418799022</v>
      </c>
      <c r="D156" s="253">
        <f t="shared" si="49"/>
        <v>0.98270893371757928</v>
      </c>
      <c r="E156" s="253">
        <f t="shared" si="49"/>
        <v>1</v>
      </c>
      <c r="F156" s="253">
        <f t="shared" si="49"/>
        <v>1.05</v>
      </c>
      <c r="G156" s="253">
        <f t="shared" si="49"/>
        <v>1.0070500927643784</v>
      </c>
      <c r="H156" s="253">
        <f t="shared" si="49"/>
        <v>1</v>
      </c>
      <c r="I156" s="253">
        <f t="shared" si="49"/>
        <v>0.97685950413223144</v>
      </c>
      <c r="J156" s="264">
        <f t="shared" si="49"/>
        <v>1.0061427405016443</v>
      </c>
    </row>
    <row r="157" spans="1:10">
      <c r="A157" s="278">
        <v>2013</v>
      </c>
      <c r="B157" s="253">
        <f t="shared" si="48"/>
        <v>1.0099957161216622</v>
      </c>
      <c r="C157" s="253">
        <f t="shared" si="49"/>
        <v>1.0133748863783925</v>
      </c>
      <c r="D157" s="253">
        <f t="shared" si="49"/>
        <v>0.97751710654936463</v>
      </c>
      <c r="E157" s="253">
        <f t="shared" si="49"/>
        <v>1</v>
      </c>
      <c r="F157" s="253">
        <f t="shared" si="49"/>
        <v>1.0476190476190477</v>
      </c>
      <c r="G157" s="253">
        <f t="shared" si="49"/>
        <v>1.0093752558748874</v>
      </c>
      <c r="H157" s="253">
        <f t="shared" si="49"/>
        <v>1</v>
      </c>
      <c r="I157" s="253">
        <f t="shared" si="49"/>
        <v>0.99830795262267347</v>
      </c>
      <c r="J157" s="264">
        <f t="shared" si="49"/>
        <v>1.0097759643241768</v>
      </c>
    </row>
    <row r="158" spans="1:10">
      <c r="A158" s="288" t="s">
        <v>244</v>
      </c>
      <c r="B158" s="256">
        <f>+'Rate Class Customer Model'!B40</f>
        <v>1.013448831496629</v>
      </c>
      <c r="C158" s="256">
        <f>+'Rate Class Customer Model'!C40</f>
        <v>1.0056291669104775</v>
      </c>
      <c r="D158" s="256">
        <f>+'Rate Class Customer Model'!D40</f>
        <v>1</v>
      </c>
      <c r="E158" s="256">
        <f>+'Rate Class Customer Model'!E40</f>
        <v>1</v>
      </c>
      <c r="F158" s="256">
        <f>+'Rate Class Customer Model'!F40</f>
        <v>1</v>
      </c>
      <c r="G158" s="256">
        <f>+'Rate Class Customer Model'!G40</f>
        <v>1.0205446733945012</v>
      </c>
      <c r="H158" s="256">
        <f>+'Rate Class Customer Model'!H40</f>
        <v>0.96436005856761076</v>
      </c>
      <c r="I158" s="256">
        <f>+'Rate Class Customer Model'!I40</f>
        <v>1.0010226779860292</v>
      </c>
      <c r="J158" s="289">
        <f>+J168/J141</f>
        <v>1.0141282815949242</v>
      </c>
    </row>
    <row r="159" spans="1:10" ht="13.8" thickBot="1">
      <c r="A159" s="290" t="s">
        <v>242</v>
      </c>
      <c r="B159" s="275">
        <f>GEOMEAN(B148:B157)</f>
        <v>1.013448831496629</v>
      </c>
      <c r="C159" s="275">
        <f t="shared" ref="C159:J159" si="50">GEOMEAN(C148:C157)</f>
        <v>1.0056291669104775</v>
      </c>
      <c r="D159" s="275">
        <f t="shared" si="50"/>
        <v>0.98890783927168779</v>
      </c>
      <c r="E159" s="275">
        <f t="shared" si="50"/>
        <v>0.91244353655548083</v>
      </c>
      <c r="F159" s="275">
        <f t="shared" si="50"/>
        <v>1.0820373898183429</v>
      </c>
      <c r="G159" s="275">
        <f t="shared" si="50"/>
        <v>1.0205446733945012</v>
      </c>
      <c r="H159" s="275">
        <f t="shared" si="50"/>
        <v>0.96436005856761076</v>
      </c>
      <c r="I159" s="275">
        <f t="shared" si="50"/>
        <v>1.0010226779860292</v>
      </c>
      <c r="J159" s="291">
        <f t="shared" si="50"/>
        <v>1.0139478576365799</v>
      </c>
    </row>
    <row r="162" spans="1:10" ht="13.8" thickBot="1"/>
    <row r="163" spans="1:10" ht="23.4" thickBot="1">
      <c r="A163" s="257" t="s">
        <v>112</v>
      </c>
      <c r="B163" s="250" t="s">
        <v>71</v>
      </c>
      <c r="C163" s="250" t="s">
        <v>236</v>
      </c>
      <c r="D163" s="250" t="s">
        <v>235</v>
      </c>
      <c r="E163" s="250" t="s">
        <v>74</v>
      </c>
      <c r="F163" s="250" t="s">
        <v>237</v>
      </c>
      <c r="G163" s="250" t="s">
        <v>238</v>
      </c>
      <c r="H163" s="250" t="s">
        <v>239</v>
      </c>
      <c r="I163" s="250" t="s">
        <v>76</v>
      </c>
      <c r="J163" s="251" t="s">
        <v>9</v>
      </c>
    </row>
    <row r="164" spans="1:10">
      <c r="A164" s="280" t="s">
        <v>246</v>
      </c>
      <c r="B164" s="281"/>
      <c r="C164" s="281"/>
      <c r="D164" s="281"/>
      <c r="E164" s="281"/>
      <c r="F164" s="281"/>
      <c r="G164" s="281"/>
      <c r="H164" s="281"/>
      <c r="I164" s="281"/>
      <c r="J164" s="282"/>
    </row>
    <row r="165" spans="1:10">
      <c r="A165" s="283" t="s">
        <v>114</v>
      </c>
      <c r="B165" s="255">
        <f t="shared" ref="B165:I165" si="51">+B128</f>
        <v>47243</v>
      </c>
      <c r="C165" s="255">
        <f t="shared" si="51"/>
        <v>3845</v>
      </c>
      <c r="D165" s="255">
        <f t="shared" si="51"/>
        <v>522</v>
      </c>
      <c r="E165" s="255">
        <f t="shared" si="51"/>
        <v>2</v>
      </c>
      <c r="F165" s="255">
        <f t="shared" si="51"/>
        <v>9</v>
      </c>
      <c r="G165" s="255">
        <f t="shared" si="51"/>
        <v>11650</v>
      </c>
      <c r="H165" s="255">
        <f t="shared" si="51"/>
        <v>77</v>
      </c>
      <c r="I165" s="255">
        <f t="shared" si="51"/>
        <v>305</v>
      </c>
      <c r="J165" s="262">
        <f>SUM(B165:I165)</f>
        <v>63653</v>
      </c>
    </row>
    <row r="166" spans="1:10">
      <c r="A166" s="283" t="s">
        <v>227</v>
      </c>
      <c r="B166" s="255">
        <f t="shared" ref="B166:I166" si="52">+B129</f>
        <v>49919.725406979574</v>
      </c>
      <c r="C166" s="255">
        <f t="shared" si="52"/>
        <v>3961</v>
      </c>
      <c r="D166" s="255">
        <f t="shared" si="52"/>
        <v>518</v>
      </c>
      <c r="E166" s="255">
        <f t="shared" si="52"/>
        <v>1</v>
      </c>
      <c r="F166" s="255">
        <f t="shared" si="52"/>
        <v>10</v>
      </c>
      <c r="G166" s="255">
        <f t="shared" si="52"/>
        <v>12761.899782618997</v>
      </c>
      <c r="H166" s="255">
        <f t="shared" si="52"/>
        <v>22.307657589073369</v>
      </c>
      <c r="I166" s="255">
        <f t="shared" si="52"/>
        <v>313.0793844964528</v>
      </c>
      <c r="J166" s="262">
        <f>SUM(B166:I166)</f>
        <v>67507.012231684101</v>
      </c>
    </row>
    <row r="167" spans="1:10">
      <c r="A167" s="277"/>
      <c r="B167" s="254"/>
      <c r="C167" s="284"/>
      <c r="D167" s="284"/>
      <c r="E167" s="284"/>
      <c r="F167" s="284"/>
      <c r="G167" s="284"/>
      <c r="H167" s="284"/>
      <c r="I167" s="284"/>
      <c r="J167" s="285"/>
    </row>
    <row r="168" spans="1:10">
      <c r="A168" s="278" t="str">
        <f>+A94</f>
        <v>2014 Bridge Year (Regression)</v>
      </c>
      <c r="B168" s="252">
        <f>+B44</f>
        <v>50176.865096229601</v>
      </c>
      <c r="C168" s="252">
        <f t="shared" ref="C168:I168" si="53">+C44</f>
        <v>3923.9650092846832</v>
      </c>
      <c r="D168" s="252">
        <f t="shared" si="53"/>
        <v>500</v>
      </c>
      <c r="E168" s="252">
        <f t="shared" si="53"/>
        <v>1</v>
      </c>
      <c r="F168" s="252">
        <f t="shared" si="53"/>
        <v>11</v>
      </c>
      <c r="G168" s="252">
        <f t="shared" si="53"/>
        <v>12580.764461270714</v>
      </c>
      <c r="H168" s="252">
        <f t="shared" si="53"/>
        <v>23.144641405622657</v>
      </c>
      <c r="I168" s="252">
        <f t="shared" si="53"/>
        <v>295.30169000587858</v>
      </c>
      <c r="J168" s="286">
        <f>SUM(B168:I168)</f>
        <v>67512.040898196501</v>
      </c>
    </row>
    <row r="169" spans="1:10">
      <c r="A169" s="278" t="str">
        <f t="shared" ref="A169:A173" si="54">+A95</f>
        <v>2015 Test Year (Regression)</v>
      </c>
      <c r="B169" s="252">
        <f t="shared" ref="B169:I169" si="55">+B45</f>
        <v>51682.185299937883</v>
      </c>
      <c r="C169" s="252">
        <f t="shared" si="55"/>
        <v>4041.6536632728203</v>
      </c>
      <c r="D169" s="252">
        <f t="shared" si="55"/>
        <v>515</v>
      </c>
      <c r="E169" s="252">
        <f t="shared" si="55"/>
        <v>1</v>
      </c>
      <c r="F169" s="252">
        <f t="shared" si="55"/>
        <v>11.3</v>
      </c>
      <c r="G169" s="252">
        <f t="shared" si="55"/>
        <v>12958.232158180668</v>
      </c>
      <c r="H169" s="252">
        <f t="shared" si="55"/>
        <v>22.319767741452615</v>
      </c>
      <c r="I169" s="252">
        <f t="shared" si="55"/>
        <v>295.60368854348479</v>
      </c>
      <c r="J169" s="286">
        <f t="shared" ref="J169:J173" si="56">SUM(B169:I169)</f>
        <v>69527.294577676308</v>
      </c>
    </row>
    <row r="170" spans="1:10">
      <c r="A170" s="278" t="str">
        <f t="shared" si="54"/>
        <v>2016 Test Year (Regression)</v>
      </c>
      <c r="B170" s="252">
        <f t="shared" ref="B170:I170" si="57">+B46</f>
        <v>53232.681046856349</v>
      </c>
      <c r="C170" s="252">
        <f t="shared" si="57"/>
        <v>4162.9666579810846</v>
      </c>
      <c r="D170" s="252">
        <f t="shared" si="57"/>
        <v>530.5</v>
      </c>
      <c r="E170" s="252">
        <f t="shared" si="57"/>
        <v>1</v>
      </c>
      <c r="F170" s="252">
        <f t="shared" si="57"/>
        <v>11.7</v>
      </c>
      <c r="G170" s="252">
        <f t="shared" si="57"/>
        <v>13346.909989506667</v>
      </c>
      <c r="H170" s="252">
        <f t="shared" si="57"/>
        <v>21.524292526362714</v>
      </c>
      <c r="I170" s="252">
        <f t="shared" si="57"/>
        <v>295.90599592834724</v>
      </c>
      <c r="J170" s="286">
        <f t="shared" si="56"/>
        <v>71603.187982798801</v>
      </c>
    </row>
    <row r="171" spans="1:10">
      <c r="A171" s="278" t="str">
        <f t="shared" si="54"/>
        <v>2017 Test Year (Regression)</v>
      </c>
      <c r="B171" s="252">
        <f t="shared" ref="B171:I171" si="58">+B47</f>
        <v>54829.574392436392</v>
      </c>
      <c r="C171" s="252">
        <f t="shared" si="58"/>
        <v>4287.8046933441428</v>
      </c>
      <c r="D171" s="252">
        <f t="shared" si="58"/>
        <v>546.4</v>
      </c>
      <c r="E171" s="252">
        <f t="shared" si="58"/>
        <v>1</v>
      </c>
      <c r="F171" s="252">
        <f t="shared" si="58"/>
        <v>12</v>
      </c>
      <c r="G171" s="252">
        <f t="shared" si="58"/>
        <v>13747.307050225967</v>
      </c>
      <c r="H171" s="252">
        <f t="shared" si="58"/>
        <v>20.757168001349534</v>
      </c>
      <c r="I171" s="252">
        <f t="shared" si="58"/>
        <v>296.20861247631717</v>
      </c>
      <c r="J171" s="286">
        <f t="shared" si="56"/>
        <v>73741.051916484168</v>
      </c>
    </row>
    <row r="172" spans="1:10">
      <c r="A172" s="278" t="str">
        <f t="shared" si="54"/>
        <v>2018 Test Year (Regression)</v>
      </c>
      <c r="B172" s="252">
        <f t="shared" ref="B172:I172" si="59">+B48</f>
        <v>56474.48903363257</v>
      </c>
      <c r="C172" s="252">
        <f t="shared" si="59"/>
        <v>4416.4684732367114</v>
      </c>
      <c r="D172" s="252">
        <f t="shared" si="59"/>
        <v>562.79999999999995</v>
      </c>
      <c r="E172" s="252">
        <f t="shared" si="59"/>
        <v>1</v>
      </c>
      <c r="F172" s="252">
        <f t="shared" si="59"/>
        <v>12.4</v>
      </c>
      <c r="G172" s="252">
        <f t="shared" si="59"/>
        <v>14159.734676636504</v>
      </c>
      <c r="H172" s="252">
        <f t="shared" si="59"/>
        <v>20.017383749479173</v>
      </c>
      <c r="I172" s="252">
        <f t="shared" si="59"/>
        <v>296.51153850356894</v>
      </c>
      <c r="J172" s="286">
        <f t="shared" si="56"/>
        <v>75943.42110575884</v>
      </c>
    </row>
    <row r="173" spans="1:10" ht="13.8" thickBot="1">
      <c r="A173" s="279" t="str">
        <f t="shared" si="54"/>
        <v>2019 Test Year (Regression)</v>
      </c>
      <c r="B173" s="265">
        <f t="shared" ref="B173:I173" si="60">+B49</f>
        <v>58168.750330978961</v>
      </c>
      <c r="C173" s="265">
        <f t="shared" si="60"/>
        <v>4548.9587054957365</v>
      </c>
      <c r="D173" s="265">
        <f t="shared" si="60"/>
        <v>579.6</v>
      </c>
      <c r="E173" s="265">
        <f t="shared" si="60"/>
        <v>1</v>
      </c>
      <c r="F173" s="265">
        <f t="shared" si="60"/>
        <v>12.8</v>
      </c>
      <c r="G173" s="265">
        <f t="shared" si="60"/>
        <v>14584.506492404096</v>
      </c>
      <c r="H173" s="265">
        <f t="shared" si="60"/>
        <v>19.303965365018076</v>
      </c>
      <c r="I173" s="265">
        <f t="shared" si="60"/>
        <v>296.81477432660017</v>
      </c>
      <c r="J173" s="287">
        <f t="shared" si="56"/>
        <v>78211.734268570421</v>
      </c>
    </row>
    <row r="176" spans="1:10" ht="13.8" thickBot="1"/>
    <row r="177" spans="1:10" ht="23.4" thickBot="1">
      <c r="A177" s="257" t="s">
        <v>112</v>
      </c>
      <c r="B177" s="250" t="s">
        <v>71</v>
      </c>
      <c r="C177" s="250" t="s">
        <v>236</v>
      </c>
      <c r="D177" s="250" t="s">
        <v>235</v>
      </c>
      <c r="E177" s="250" t="s">
        <v>74</v>
      </c>
      <c r="F177" s="250" t="s">
        <v>237</v>
      </c>
      <c r="G177" s="250" t="s">
        <v>238</v>
      </c>
      <c r="H177" s="250" t="s">
        <v>239</v>
      </c>
      <c r="I177" s="250" t="s">
        <v>76</v>
      </c>
      <c r="J177" s="251" t="s">
        <v>9</v>
      </c>
    </row>
    <row r="178" spans="1:10">
      <c r="A178" s="280" t="s">
        <v>249</v>
      </c>
      <c r="B178" s="281"/>
      <c r="C178" s="281"/>
      <c r="D178" s="281"/>
      <c r="E178" s="281"/>
      <c r="F178" s="281"/>
      <c r="G178" s="281"/>
      <c r="H178" s="281"/>
      <c r="I178" s="281"/>
      <c r="J178" s="282"/>
    </row>
    <row r="179" spans="1:10">
      <c r="A179" s="283" t="s">
        <v>114</v>
      </c>
      <c r="B179" s="255">
        <f t="shared" ref="B179:J179" si="61">+B80</f>
        <v>10312.478017907415</v>
      </c>
      <c r="C179" s="255">
        <f t="shared" si="61"/>
        <v>36436.199739921976</v>
      </c>
      <c r="D179" s="255">
        <f t="shared" si="61"/>
        <v>687468.15134099615</v>
      </c>
      <c r="E179" s="255">
        <f t="shared" si="61"/>
        <v>30069991</v>
      </c>
      <c r="F179" s="255">
        <f t="shared" si="61"/>
        <v>8995177.8888888881</v>
      </c>
      <c r="G179" s="255">
        <f t="shared" si="61"/>
        <v>864.62257510729614</v>
      </c>
      <c r="H179" s="255">
        <f t="shared" si="61"/>
        <v>530.03896103896102</v>
      </c>
      <c r="I179" s="255">
        <f t="shared" si="61"/>
        <v>12596.537704918033</v>
      </c>
      <c r="J179" s="262">
        <f t="shared" si="61"/>
        <v>17928.45828162066</v>
      </c>
    </row>
    <row r="180" spans="1:10">
      <c r="A180" s="283" t="s">
        <v>227</v>
      </c>
      <c r="B180" s="255">
        <f t="shared" ref="B180:J180" si="62">+B81</f>
        <v>9944.9139784448562</v>
      </c>
      <c r="C180" s="255">
        <f t="shared" si="62"/>
        <v>33405.607674829589</v>
      </c>
      <c r="D180" s="255">
        <f t="shared" si="62"/>
        <v>693751.11969111965</v>
      </c>
      <c r="E180" s="255">
        <f t="shared" si="62"/>
        <v>33402763</v>
      </c>
      <c r="F180" s="255">
        <f t="shared" si="62"/>
        <v>7817530.5999999996</v>
      </c>
      <c r="G180" s="255">
        <f t="shared" si="62"/>
        <v>865.45077050694306</v>
      </c>
      <c r="H180" s="255">
        <f t="shared" si="62"/>
        <v>1728.868207968671</v>
      </c>
      <c r="I180" s="255">
        <f t="shared" si="62"/>
        <v>10248.202720726738</v>
      </c>
      <c r="J180" s="262">
        <f t="shared" si="62"/>
        <v>16501.989395957142</v>
      </c>
    </row>
    <row r="181" spans="1:10">
      <c r="A181" s="277"/>
      <c r="B181" s="254"/>
      <c r="C181" s="284"/>
      <c r="D181" s="284"/>
      <c r="E181" s="284"/>
      <c r="F181" s="284"/>
      <c r="G181" s="284"/>
      <c r="H181" s="284"/>
      <c r="I181" s="284"/>
      <c r="J181" s="285"/>
    </row>
    <row r="182" spans="1:10">
      <c r="A182" s="277">
        <v>2003</v>
      </c>
      <c r="B182" s="252">
        <f t="shared" ref="B182:I192" si="63">+B83</f>
        <v>10563.762370295133</v>
      </c>
      <c r="C182" s="252">
        <f t="shared" si="63"/>
        <v>32861.114936297097</v>
      </c>
      <c r="D182" s="252">
        <f t="shared" si="63"/>
        <v>503120.08139534883</v>
      </c>
      <c r="E182" s="252">
        <f t="shared" si="63"/>
        <v>67702885</v>
      </c>
      <c r="F182" s="252">
        <f t="shared" si="63"/>
        <v>19234418.199999999</v>
      </c>
      <c r="G182" s="252">
        <f t="shared" si="63"/>
        <v>831.07470921562776</v>
      </c>
      <c r="H182" s="252">
        <f t="shared" si="63"/>
        <v>1320.0289855072465</v>
      </c>
      <c r="I182" s="252">
        <f t="shared" si="63"/>
        <v>10000</v>
      </c>
      <c r="J182" s="286">
        <f t="shared" ref="J182:J192" si="64">+J58/J131</f>
        <v>19614.052803202179</v>
      </c>
    </row>
    <row r="183" spans="1:10">
      <c r="A183" s="277">
        <v>2004</v>
      </c>
      <c r="B183" s="252">
        <f t="shared" si="63"/>
        <v>10189.721552086768</v>
      </c>
      <c r="C183" s="252">
        <f t="shared" si="63"/>
        <v>35846.819247208055</v>
      </c>
      <c r="D183" s="252">
        <f t="shared" si="63"/>
        <v>680437.69811320759</v>
      </c>
      <c r="E183" s="252">
        <f t="shared" si="63"/>
        <v>44857678.399999999</v>
      </c>
      <c r="F183" s="252">
        <f t="shared" si="63"/>
        <v>10946011.333333334</v>
      </c>
      <c r="G183" s="252">
        <f t="shared" si="63"/>
        <v>851.98782532385439</v>
      </c>
      <c r="H183" s="252">
        <f t="shared" si="63"/>
        <v>927.36666666666667</v>
      </c>
      <c r="I183" s="252">
        <f t="shared" si="63"/>
        <v>10000</v>
      </c>
      <c r="J183" s="286">
        <f t="shared" si="64"/>
        <v>19211.491696196583</v>
      </c>
    </row>
    <row r="184" spans="1:10">
      <c r="A184" s="277">
        <v>2005</v>
      </c>
      <c r="B184" s="252">
        <f t="shared" si="63"/>
        <v>10896.364317185555</v>
      </c>
      <c r="C184" s="252">
        <f t="shared" si="63"/>
        <v>37113.333697433096</v>
      </c>
      <c r="D184" s="252">
        <f t="shared" si="63"/>
        <v>694079.90220517735</v>
      </c>
      <c r="E184" s="252">
        <f t="shared" si="63"/>
        <v>31452416.5</v>
      </c>
      <c r="F184" s="252">
        <f t="shared" si="63"/>
        <v>8935594.8000000007</v>
      </c>
      <c r="G184" s="252">
        <f t="shared" si="63"/>
        <v>874.69428966042767</v>
      </c>
      <c r="H184" s="252">
        <f t="shared" si="63"/>
        <v>1464.3050847457628</v>
      </c>
      <c r="I184" s="252">
        <f t="shared" si="63"/>
        <v>10000</v>
      </c>
      <c r="J184" s="286">
        <f t="shared" si="64"/>
        <v>18886.867624487331</v>
      </c>
    </row>
    <row r="185" spans="1:10">
      <c r="A185" s="278">
        <v>2006</v>
      </c>
      <c r="B185" s="252">
        <f t="shared" si="63"/>
        <v>10264.340456436101</v>
      </c>
      <c r="C185" s="252">
        <f t="shared" si="63"/>
        <v>35865.731854030208</v>
      </c>
      <c r="D185" s="252">
        <f t="shared" si="63"/>
        <v>680164.939047619</v>
      </c>
      <c r="E185" s="252">
        <f t="shared" si="63"/>
        <v>29827223</v>
      </c>
      <c r="F185" s="252">
        <f t="shared" si="63"/>
        <v>9472795.7647058815</v>
      </c>
      <c r="G185" s="252">
        <f t="shared" si="63"/>
        <v>867.7430523497369</v>
      </c>
      <c r="H185" s="252">
        <f t="shared" si="63"/>
        <v>1494.5614035087719</v>
      </c>
      <c r="I185" s="252">
        <f t="shared" si="63"/>
        <v>7399.959731543624</v>
      </c>
      <c r="J185" s="286">
        <f t="shared" si="64"/>
        <v>18226.017446301696</v>
      </c>
    </row>
    <row r="186" spans="1:10">
      <c r="A186" s="277">
        <v>2007</v>
      </c>
      <c r="B186" s="252">
        <f t="shared" si="63"/>
        <v>10212.071567357512</v>
      </c>
      <c r="C186" s="252">
        <f t="shared" si="63"/>
        <v>35301.681515070683</v>
      </c>
      <c r="D186" s="252">
        <f t="shared" si="63"/>
        <v>686701.18546845124</v>
      </c>
      <c r="E186" s="252">
        <f t="shared" si="63"/>
        <v>30905923</v>
      </c>
      <c r="F186" s="252">
        <f t="shared" si="63"/>
        <v>11541110.777777778</v>
      </c>
      <c r="G186" s="252">
        <f t="shared" si="63"/>
        <v>860.29174238730548</v>
      </c>
      <c r="H186" s="252">
        <f t="shared" si="63"/>
        <v>1562.566037735849</v>
      </c>
      <c r="I186" s="252">
        <f t="shared" si="63"/>
        <v>12687.259136212624</v>
      </c>
      <c r="J186" s="286">
        <f t="shared" si="64"/>
        <v>18385.181334490684</v>
      </c>
    </row>
    <row r="187" spans="1:10">
      <c r="A187" s="278">
        <v>2008</v>
      </c>
      <c r="B187" s="252">
        <f t="shared" si="63"/>
        <v>10003.056919725866</v>
      </c>
      <c r="C187" s="252">
        <f t="shared" si="63"/>
        <v>34761.570317648606</v>
      </c>
      <c r="D187" s="252">
        <f t="shared" si="63"/>
        <v>660978.72539831302</v>
      </c>
      <c r="E187" s="252">
        <f t="shared" si="63"/>
        <v>18584408.399999999</v>
      </c>
      <c r="F187" s="252">
        <f t="shared" si="63"/>
        <v>11381474.666666666</v>
      </c>
      <c r="G187" s="252">
        <f t="shared" si="63"/>
        <v>836.88336273286586</v>
      </c>
      <c r="H187" s="252">
        <f t="shared" si="63"/>
        <v>1508.9615384615386</v>
      </c>
      <c r="I187" s="252">
        <f t="shared" si="63"/>
        <v>11205.558139534884</v>
      </c>
      <c r="J187" s="286">
        <f t="shared" si="64"/>
        <v>17637.699516137945</v>
      </c>
    </row>
    <row r="188" spans="1:10">
      <c r="A188" s="277">
        <v>2009</v>
      </c>
      <c r="B188" s="252">
        <f t="shared" si="63"/>
        <v>9830.9504542828636</v>
      </c>
      <c r="C188" s="252">
        <f t="shared" si="63"/>
        <v>33169.97149889882</v>
      </c>
      <c r="D188" s="252">
        <f t="shared" si="63"/>
        <v>666255.81142857147</v>
      </c>
      <c r="E188" s="252">
        <f t="shared" si="63"/>
        <v>18290144.5</v>
      </c>
      <c r="F188" s="252">
        <f t="shared" si="63"/>
        <v>9182904.1052631587</v>
      </c>
      <c r="G188" s="252">
        <f t="shared" si="63"/>
        <v>864.56724006440129</v>
      </c>
      <c r="H188" s="252">
        <f t="shared" si="63"/>
        <v>1415.0769230769231</v>
      </c>
      <c r="I188" s="252">
        <f t="shared" si="63"/>
        <v>9340.3471074380159</v>
      </c>
      <c r="J188" s="286">
        <f t="shared" si="64"/>
        <v>16882.867203093814</v>
      </c>
    </row>
    <row r="189" spans="1:10">
      <c r="A189" s="278">
        <v>2010</v>
      </c>
      <c r="B189" s="252">
        <f t="shared" si="63"/>
        <v>9912.6258196593535</v>
      </c>
      <c r="C189" s="252">
        <f t="shared" si="63"/>
        <v>33413.617459913461</v>
      </c>
      <c r="D189" s="252">
        <f t="shared" si="63"/>
        <v>693139.94926829264</v>
      </c>
      <c r="E189" s="252">
        <f t="shared" si="63"/>
        <v>33402763</v>
      </c>
      <c r="F189" s="252">
        <f t="shared" si="63"/>
        <v>8078314.0999999996</v>
      </c>
      <c r="G189" s="252">
        <f t="shared" si="63"/>
        <v>869.31799424784299</v>
      </c>
      <c r="H189" s="252">
        <f t="shared" si="63"/>
        <v>1432.48</v>
      </c>
      <c r="I189" s="252">
        <f t="shared" si="63"/>
        <v>9238.1761827079936</v>
      </c>
      <c r="J189" s="286">
        <f t="shared" si="64"/>
        <v>16811.083967701175</v>
      </c>
    </row>
    <row r="190" spans="1:10">
      <c r="A190" s="278">
        <v>2011</v>
      </c>
      <c r="B190" s="252">
        <f t="shared" si="63"/>
        <v>9960.4736230871222</v>
      </c>
      <c r="C190" s="252">
        <f t="shared" si="63"/>
        <v>34896.715442972869</v>
      </c>
      <c r="D190" s="252">
        <f t="shared" si="63"/>
        <v>690748.07877041306</v>
      </c>
      <c r="E190" s="252">
        <f t="shared" si="63"/>
        <v>37740699</v>
      </c>
      <c r="F190" s="252">
        <f t="shared" si="63"/>
        <v>7990801.5999999996</v>
      </c>
      <c r="G190" s="252">
        <f t="shared" si="63"/>
        <v>845.43533292104723</v>
      </c>
      <c r="H190" s="252">
        <f t="shared" si="63"/>
        <v>1492.1666666666667</v>
      </c>
      <c r="I190" s="252">
        <f t="shared" si="63"/>
        <v>9153.8115702479336</v>
      </c>
      <c r="J190" s="286">
        <f t="shared" si="64"/>
        <v>16948.146830574824</v>
      </c>
    </row>
    <row r="191" spans="1:10">
      <c r="A191" s="278">
        <v>2012</v>
      </c>
      <c r="B191" s="252">
        <f t="shared" si="63"/>
        <v>9654.8105505803633</v>
      </c>
      <c r="C191" s="252">
        <f t="shared" si="63"/>
        <v>34174.990520711595</v>
      </c>
      <c r="D191" s="252">
        <f t="shared" si="63"/>
        <v>661471.17693059624</v>
      </c>
      <c r="E191" s="252">
        <f t="shared" si="63"/>
        <v>40812737</v>
      </c>
      <c r="F191" s="252">
        <f t="shared" si="63"/>
        <v>7316965.4285714282</v>
      </c>
      <c r="G191" s="252">
        <f t="shared" si="63"/>
        <v>830.23892573487262</v>
      </c>
      <c r="H191" s="252">
        <f t="shared" si="63"/>
        <v>1492.1666666666667</v>
      </c>
      <c r="I191" s="252">
        <f t="shared" si="63"/>
        <v>9291.7123519458546</v>
      </c>
      <c r="J191" s="286">
        <f t="shared" si="64"/>
        <v>16287.46751710225</v>
      </c>
    </row>
    <row r="192" spans="1:10" ht="13.8" thickBot="1">
      <c r="A192" s="279">
        <v>2013</v>
      </c>
      <c r="B192" s="265">
        <f t="shared" si="63"/>
        <v>9599.5324069398721</v>
      </c>
      <c r="C192" s="265">
        <f t="shared" si="63"/>
        <v>33926.737057919017</v>
      </c>
      <c r="D192" s="265">
        <f t="shared" si="63"/>
        <v>674247.33600000001</v>
      </c>
      <c r="E192" s="265">
        <f t="shared" si="63"/>
        <v>42326219</v>
      </c>
      <c r="F192" s="265">
        <f t="shared" si="63"/>
        <v>7197839.3636363633</v>
      </c>
      <c r="G192" s="265">
        <f t="shared" si="63"/>
        <v>736.74986818089633</v>
      </c>
      <c r="H192" s="265">
        <f t="shared" si="63"/>
        <v>1492.1666666666667</v>
      </c>
      <c r="I192" s="265">
        <f t="shared" si="63"/>
        <v>9330.2237288135602</v>
      </c>
      <c r="J192" s="287">
        <f t="shared" si="64"/>
        <v>16195.537264444994</v>
      </c>
    </row>
    <row r="195" spans="1:10" ht="13.8" thickBot="1"/>
    <row r="196" spans="1:10" ht="23.4" thickBot="1">
      <c r="A196" s="257" t="s">
        <v>112</v>
      </c>
      <c r="B196" s="250" t="s">
        <v>71</v>
      </c>
      <c r="C196" s="250" t="s">
        <v>236</v>
      </c>
      <c r="D196" s="250" t="s">
        <v>235</v>
      </c>
      <c r="E196" s="250" t="s">
        <v>74</v>
      </c>
      <c r="F196" s="250" t="s">
        <v>237</v>
      </c>
      <c r="G196" s="250" t="s">
        <v>238</v>
      </c>
      <c r="H196" s="250" t="s">
        <v>239</v>
      </c>
      <c r="I196" s="250" t="s">
        <v>76</v>
      </c>
      <c r="J196" s="251" t="s">
        <v>9</v>
      </c>
    </row>
    <row r="197" spans="1:10">
      <c r="A197" s="280" t="s">
        <v>241</v>
      </c>
      <c r="B197" s="281"/>
      <c r="C197" s="281"/>
      <c r="D197" s="281"/>
      <c r="E197" s="281"/>
      <c r="F197" s="281"/>
      <c r="G197" s="281"/>
      <c r="H197" s="281"/>
      <c r="I197" s="281"/>
      <c r="J197" s="282"/>
    </row>
    <row r="198" spans="1:10">
      <c r="A198" s="277">
        <v>2004</v>
      </c>
      <c r="B198" s="253">
        <f t="shared" ref="B198:B207" si="65">+B183/B182</f>
        <v>0.96459208328463042</v>
      </c>
      <c r="C198" s="253">
        <f t="shared" ref="C198:H199" si="66">+C183/C182</f>
        <v>1.0908582778368565</v>
      </c>
      <c r="D198" s="253">
        <f t="shared" si="66"/>
        <v>1.3524359755748323</v>
      </c>
      <c r="E198" s="253">
        <f t="shared" si="66"/>
        <v>0.66256671927643851</v>
      </c>
      <c r="F198" s="253">
        <f t="shared" si="66"/>
        <v>0.56908460757775015</v>
      </c>
      <c r="G198" s="253">
        <f t="shared" si="66"/>
        <v>1.0251639423944985</v>
      </c>
      <c r="H198" s="253">
        <f t="shared" si="66"/>
        <v>0.70253507828110928</v>
      </c>
      <c r="I198" s="253">
        <f t="shared" ref="I198:I199" si="67">+I183/I182</f>
        <v>1</v>
      </c>
      <c r="J198" s="264">
        <f t="shared" ref="J198:J199" si="68">+J183/J182</f>
        <v>0.97947588338602443</v>
      </c>
    </row>
    <row r="199" spans="1:10">
      <c r="A199" s="277">
        <v>2005</v>
      </c>
      <c r="B199" s="253">
        <f t="shared" si="65"/>
        <v>1.0693485844030812</v>
      </c>
      <c r="C199" s="253">
        <f t="shared" si="66"/>
        <v>1.0353312923384042</v>
      </c>
      <c r="D199" s="253">
        <f t="shared" si="66"/>
        <v>1.0200491597243926</v>
      </c>
      <c r="E199" s="253">
        <f t="shared" si="66"/>
        <v>0.70116014965232798</v>
      </c>
      <c r="F199" s="253">
        <f t="shared" si="66"/>
        <v>0.81633341387002645</v>
      </c>
      <c r="G199" s="253">
        <f t="shared" si="66"/>
        <v>1.0266511605702138</v>
      </c>
      <c r="H199" s="253">
        <f t="shared" si="66"/>
        <v>1.5789925790723871</v>
      </c>
      <c r="I199" s="253">
        <f t="shared" si="67"/>
        <v>1</v>
      </c>
      <c r="J199" s="264">
        <f t="shared" si="68"/>
        <v>0.98310260978987285</v>
      </c>
    </row>
    <row r="200" spans="1:10">
      <c r="A200" s="278">
        <v>2006</v>
      </c>
      <c r="B200" s="253">
        <f t="shared" si="65"/>
        <v>0.94199681266597912</v>
      </c>
      <c r="C200" s="253">
        <f t="shared" ref="C200:I200" si="69">+C185/C184</f>
        <v>0.96638399951958032</v>
      </c>
      <c r="D200" s="253">
        <f t="shared" si="69"/>
        <v>0.97995192900219585</v>
      </c>
      <c r="E200" s="253">
        <f t="shared" si="69"/>
        <v>0.94832850124568335</v>
      </c>
      <c r="F200" s="253">
        <f t="shared" si="69"/>
        <v>1.060119217212701</v>
      </c>
      <c r="G200" s="253">
        <f t="shared" si="69"/>
        <v>0.9920529522224395</v>
      </c>
      <c r="H200" s="253">
        <f t="shared" si="69"/>
        <v>1.0206625785010248</v>
      </c>
      <c r="I200" s="253">
        <f t="shared" si="69"/>
        <v>0.73999597315436239</v>
      </c>
      <c r="J200" s="264">
        <f t="shared" ref="J200" si="70">+J185/J184</f>
        <v>0.96501006988957627</v>
      </c>
    </row>
    <row r="201" spans="1:10">
      <c r="A201" s="277">
        <v>2007</v>
      </c>
      <c r="B201" s="253">
        <f t="shared" si="65"/>
        <v>0.9949077206372462</v>
      </c>
      <c r="C201" s="253">
        <f t="shared" ref="C201:J201" si="71">+C186/C185</f>
        <v>0.98427327954005928</v>
      </c>
      <c r="D201" s="253">
        <f t="shared" si="71"/>
        <v>1.0096097961620669</v>
      </c>
      <c r="E201" s="253">
        <f t="shared" si="71"/>
        <v>1.0361649490467149</v>
      </c>
      <c r="F201" s="253">
        <f t="shared" si="71"/>
        <v>1.2183426165249025</v>
      </c>
      <c r="G201" s="253">
        <f t="shared" si="71"/>
        <v>0.99141299957141205</v>
      </c>
      <c r="H201" s="253">
        <f t="shared" si="71"/>
        <v>1.0455013986494117</v>
      </c>
      <c r="I201" s="253">
        <f t="shared" si="71"/>
        <v>1.7145038076532986</v>
      </c>
      <c r="J201" s="264">
        <f t="shared" si="71"/>
        <v>1.0087327848038072</v>
      </c>
    </row>
    <row r="202" spans="1:10">
      <c r="A202" s="278">
        <v>2008</v>
      </c>
      <c r="B202" s="253">
        <f t="shared" si="65"/>
        <v>0.97953259079188659</v>
      </c>
      <c r="C202" s="253">
        <f t="shared" ref="C202:J202" si="72">+C187/C186</f>
        <v>0.98470012831565834</v>
      </c>
      <c r="D202" s="253">
        <f t="shared" si="72"/>
        <v>0.96254198971188476</v>
      </c>
      <c r="E202" s="253">
        <f t="shared" si="72"/>
        <v>0.60132190195387458</v>
      </c>
      <c r="F202" s="253">
        <f t="shared" si="72"/>
        <v>0.98616804619720932</v>
      </c>
      <c r="G202" s="253">
        <f t="shared" si="72"/>
        <v>0.97279018442106457</v>
      </c>
      <c r="H202" s="253">
        <f t="shared" si="72"/>
        <v>0.96569457035429807</v>
      </c>
      <c r="I202" s="253">
        <f t="shared" si="72"/>
        <v>0.88321346787592647</v>
      </c>
      <c r="J202" s="264">
        <f t="shared" si="72"/>
        <v>0.95934324471684929</v>
      </c>
    </row>
    <row r="203" spans="1:10">
      <c r="A203" s="277">
        <v>2009</v>
      </c>
      <c r="B203" s="253">
        <f t="shared" si="65"/>
        <v>0.98279461300438953</v>
      </c>
      <c r="C203" s="253">
        <f t="shared" ref="C203:J203" si="73">+C188/C187</f>
        <v>0.95421384004790699</v>
      </c>
      <c r="D203" s="253">
        <f t="shared" si="73"/>
        <v>1.0079837456600111</v>
      </c>
      <c r="E203" s="253">
        <f t="shared" si="73"/>
        <v>0.98416608731004862</v>
      </c>
      <c r="F203" s="253">
        <f t="shared" si="73"/>
        <v>0.80682902472712614</v>
      </c>
      <c r="G203" s="253">
        <f t="shared" si="73"/>
        <v>1.0330797319726048</v>
      </c>
      <c r="H203" s="253">
        <f t="shared" si="73"/>
        <v>0.93778196926057145</v>
      </c>
      <c r="I203" s="253">
        <f t="shared" si="73"/>
        <v>0.83354590562373465</v>
      </c>
      <c r="J203" s="264">
        <f t="shared" si="73"/>
        <v>0.95720347132836214</v>
      </c>
    </row>
    <row r="204" spans="1:10">
      <c r="A204" s="278">
        <v>2010</v>
      </c>
      <c r="B204" s="253">
        <f t="shared" si="65"/>
        <v>1.0083079826061891</v>
      </c>
      <c r="C204" s="253">
        <f t="shared" ref="C204:J204" si="74">+C189/C188</f>
        <v>1.0073453774605363</v>
      </c>
      <c r="D204" s="253">
        <f t="shared" si="74"/>
        <v>1.0403510744350233</v>
      </c>
      <c r="E204" s="253">
        <f t="shared" si="74"/>
        <v>1.8262711374423533</v>
      </c>
      <c r="F204" s="253">
        <f t="shared" si="74"/>
        <v>0.87971234452616509</v>
      </c>
      <c r="G204" s="253">
        <f t="shared" si="74"/>
        <v>1.0054949504946402</v>
      </c>
      <c r="H204" s="253">
        <f t="shared" si="74"/>
        <v>1.0122983257229832</v>
      </c>
      <c r="I204" s="253">
        <f>+I189/I188</f>
        <v>0.98906133534923335</v>
      </c>
      <c r="J204" s="264">
        <f t="shared" si="74"/>
        <v>0.99574816087047791</v>
      </c>
    </row>
    <row r="205" spans="1:10">
      <c r="A205" s="278">
        <v>2011</v>
      </c>
      <c r="B205" s="253">
        <f t="shared" si="65"/>
        <v>1.0048269554705549</v>
      </c>
      <c r="C205" s="253">
        <f t="shared" ref="C205:J205" si="75">+C190/C189</f>
        <v>1.0443860346710048</v>
      </c>
      <c r="D205" s="253">
        <f t="shared" si="75"/>
        <v>0.99654922429387527</v>
      </c>
      <c r="E205" s="253">
        <f t="shared" si="75"/>
        <v>1.129867580116052</v>
      </c>
      <c r="F205" s="253">
        <f t="shared" si="75"/>
        <v>0.98916698473014308</v>
      </c>
      <c r="G205" s="253">
        <f t="shared" si="75"/>
        <v>0.97252712875515746</v>
      </c>
      <c r="H205" s="253">
        <f t="shared" si="75"/>
        <v>1.0416666666666667</v>
      </c>
      <c r="I205" s="253">
        <f>+I190/I189</f>
        <v>0.99086782815227392</v>
      </c>
      <c r="J205" s="264">
        <f t="shared" si="75"/>
        <v>1.0081531246371136</v>
      </c>
    </row>
    <row r="206" spans="1:10">
      <c r="A206" s="278">
        <v>2012</v>
      </c>
      <c r="B206" s="253">
        <f t="shared" si="65"/>
        <v>0.96931239576818207</v>
      </c>
      <c r="C206" s="253">
        <f t="shared" ref="C206:J206" si="76">+C191/C190</f>
        <v>0.97931825637170078</v>
      </c>
      <c r="D206" s="253">
        <f t="shared" si="76"/>
        <v>0.95761565939939775</v>
      </c>
      <c r="E206" s="253">
        <f t="shared" si="76"/>
        <v>1.0813985453740536</v>
      </c>
      <c r="F206" s="253">
        <f t="shared" si="76"/>
        <v>0.91567351998470703</v>
      </c>
      <c r="G206" s="253">
        <f t="shared" si="76"/>
        <v>0.98202534647603412</v>
      </c>
      <c r="H206" s="253">
        <f t="shared" si="76"/>
        <v>1</v>
      </c>
      <c r="I206" s="253">
        <f>+I191/I190</f>
        <v>1.0150648481935254</v>
      </c>
      <c r="J206" s="264">
        <f t="shared" si="76"/>
        <v>0.96101760740704145</v>
      </c>
    </row>
    <row r="207" spans="1:10">
      <c r="A207" s="278">
        <v>2013</v>
      </c>
      <c r="B207" s="253">
        <f t="shared" si="65"/>
        <v>0.99427454911197943</v>
      </c>
      <c r="C207" s="253">
        <f t="shared" ref="C207:J207" si="77">+C192/C191</f>
        <v>0.99273581472854766</v>
      </c>
      <c r="D207" s="253">
        <f t="shared" si="77"/>
        <v>1.019314763084143</v>
      </c>
      <c r="E207" s="253">
        <f t="shared" si="77"/>
        <v>1.0370835702589611</v>
      </c>
      <c r="F207" s="253">
        <f t="shared" si="77"/>
        <v>0.98371919806127561</v>
      </c>
      <c r="G207" s="253">
        <f t="shared" si="77"/>
        <v>0.88739499599922278</v>
      </c>
      <c r="H207" s="253">
        <f t="shared" si="77"/>
        <v>1</v>
      </c>
      <c r="I207" s="253">
        <f>+I192/I191</f>
        <v>1.0041447017954275</v>
      </c>
      <c r="J207" s="264">
        <f t="shared" si="77"/>
        <v>0.99435576755190902</v>
      </c>
    </row>
    <row r="208" spans="1:10">
      <c r="A208" s="288" t="s">
        <v>244</v>
      </c>
      <c r="B208" s="256">
        <f>+'Rate Class Energy Model'!H60</f>
        <v>0.99047415009230044</v>
      </c>
      <c r="C208" s="256">
        <f>+'Rate Class Energy Model'!I60</f>
        <v>1.0031964342728203</v>
      </c>
      <c r="D208" s="256">
        <f>+'Rate Class Energy Model'!J60</f>
        <v>1.029709592949541</v>
      </c>
      <c r="E208" s="256">
        <f>+'Rate Class Energy Model'!K60</f>
        <v>1.0370835702589611</v>
      </c>
      <c r="F208" s="256">
        <f>+'Rate Class Energy Model'!L60</f>
        <v>0.90638416501171393</v>
      </c>
      <c r="G208" s="256">
        <f>+'Rate Class Energy Model'!M60</f>
        <v>0.98802515099037158</v>
      </c>
      <c r="H208" s="256">
        <f>+'Rate Class Energy Model'!N60</f>
        <v>1.0123329823973279</v>
      </c>
      <c r="I208" s="256">
        <f>+'Rate Class Energy Model'!O60</f>
        <v>0.99309136521322361</v>
      </c>
      <c r="J208" s="289" t="e">
        <f ca="1">+J219/J218</f>
        <v>#DIV/0!</v>
      </c>
    </row>
    <row r="209" spans="1:10" ht="13.8" thickBot="1">
      <c r="A209" s="290" t="s">
        <v>242</v>
      </c>
      <c r="B209" s="275">
        <f>GEOMEAN(B198:B207)</f>
        <v>0.99047415009230044</v>
      </c>
      <c r="C209" s="275">
        <f t="shared" ref="C209:J209" si="78">GEOMEAN(C198:C207)</f>
        <v>1.0031964342728203</v>
      </c>
      <c r="D209" s="275">
        <f t="shared" si="78"/>
        <v>1.029709592949541</v>
      </c>
      <c r="E209" s="275">
        <f t="shared" si="78"/>
        <v>0.95411391539303769</v>
      </c>
      <c r="F209" s="275">
        <f t="shared" si="78"/>
        <v>0.90638416501171393</v>
      </c>
      <c r="G209" s="275">
        <f t="shared" si="78"/>
        <v>0.98802515099037158</v>
      </c>
      <c r="H209" s="275">
        <f t="shared" si="78"/>
        <v>1.0123329823973279</v>
      </c>
      <c r="I209" s="275">
        <f t="shared" si="78"/>
        <v>0.99309136521322361</v>
      </c>
      <c r="J209" s="291">
        <f t="shared" si="78"/>
        <v>0.9810311601810523</v>
      </c>
    </row>
    <row r="212" spans="1:10" ht="13.8" thickBot="1"/>
    <row r="213" spans="1:10" ht="23.4" thickBot="1">
      <c r="A213" s="257" t="s">
        <v>112</v>
      </c>
      <c r="B213" s="250" t="s">
        <v>71</v>
      </c>
      <c r="C213" s="250" t="s">
        <v>236</v>
      </c>
      <c r="D213" s="250" t="s">
        <v>235</v>
      </c>
      <c r="E213" s="250" t="s">
        <v>74</v>
      </c>
      <c r="F213" s="250" t="s">
        <v>237</v>
      </c>
      <c r="G213" s="250" t="s">
        <v>238</v>
      </c>
      <c r="H213" s="250" t="s">
        <v>239</v>
      </c>
      <c r="I213" s="250" t="s">
        <v>76</v>
      </c>
      <c r="J213" s="251" t="s">
        <v>9</v>
      </c>
    </row>
    <row r="214" spans="1:10">
      <c r="A214" s="280" t="s">
        <v>264</v>
      </c>
      <c r="B214" s="281"/>
      <c r="C214" s="281"/>
      <c r="D214" s="281"/>
      <c r="E214" s="281"/>
      <c r="F214" s="281"/>
      <c r="G214" s="281"/>
      <c r="H214" s="281"/>
      <c r="I214" s="281"/>
      <c r="J214" s="282"/>
    </row>
    <row r="215" spans="1:10">
      <c r="A215" s="283" t="s">
        <v>114</v>
      </c>
      <c r="B215" s="255">
        <f>+B179</f>
        <v>10312.478017907415</v>
      </c>
      <c r="C215" s="255">
        <f t="shared" ref="C215:J215" si="79">+C179</f>
        <v>36436.199739921976</v>
      </c>
      <c r="D215" s="255">
        <f t="shared" si="79"/>
        <v>687468.15134099615</v>
      </c>
      <c r="E215" s="255">
        <f t="shared" si="79"/>
        <v>30069991</v>
      </c>
      <c r="F215" s="255">
        <f t="shared" si="79"/>
        <v>8995177.8888888881</v>
      </c>
      <c r="G215" s="255">
        <f t="shared" si="79"/>
        <v>864.62257510729614</v>
      </c>
      <c r="H215" s="255">
        <f t="shared" si="79"/>
        <v>530.03896103896102</v>
      </c>
      <c r="I215" s="255">
        <f t="shared" si="79"/>
        <v>12596.537704918033</v>
      </c>
      <c r="J215" s="262">
        <f t="shared" si="79"/>
        <v>17928.45828162066</v>
      </c>
    </row>
    <row r="216" spans="1:10">
      <c r="A216" s="283" t="s">
        <v>227</v>
      </c>
      <c r="B216" s="255">
        <f>+B180</f>
        <v>9944.9139784448562</v>
      </c>
      <c r="C216" s="255">
        <f t="shared" ref="C216:J216" si="80">+C180</f>
        <v>33405.607674829589</v>
      </c>
      <c r="D216" s="255">
        <f t="shared" si="80"/>
        <v>693751.11969111965</v>
      </c>
      <c r="E216" s="255">
        <f t="shared" si="80"/>
        <v>33402763</v>
      </c>
      <c r="F216" s="255">
        <f t="shared" si="80"/>
        <v>7817530.5999999996</v>
      </c>
      <c r="G216" s="255">
        <f t="shared" si="80"/>
        <v>865.45077050694306</v>
      </c>
      <c r="H216" s="255">
        <f t="shared" si="80"/>
        <v>1728.868207968671</v>
      </c>
      <c r="I216" s="255">
        <f t="shared" si="80"/>
        <v>10248.202720726738</v>
      </c>
      <c r="J216" s="262">
        <f t="shared" si="80"/>
        <v>16501.989395957142</v>
      </c>
    </row>
    <row r="217" spans="1:10">
      <c r="A217" s="277"/>
      <c r="B217" s="254"/>
      <c r="C217" s="284"/>
      <c r="D217" s="284"/>
      <c r="E217" s="284"/>
      <c r="F217" s="284"/>
      <c r="G217" s="284"/>
      <c r="H217" s="284"/>
      <c r="I217" s="284"/>
      <c r="J217" s="285"/>
    </row>
    <row r="218" spans="1:10">
      <c r="A218" s="278" t="str">
        <f t="shared" ref="A218:A223" si="81">+A168</f>
        <v>2014 Bridge Year (Regression)</v>
      </c>
      <c r="B218" s="252">
        <f>+B192*B$208</f>
        <v>9508.0887020472655</v>
      </c>
      <c r="C218" s="252">
        <f t="shared" ref="C218:I218" si="82">+C192*C$208</f>
        <v>34035.181643015916</v>
      </c>
      <c r="D218" s="252">
        <f t="shared" si="82"/>
        <v>694278.94989987242</v>
      </c>
      <c r="E218" s="252">
        <f t="shared" si="82"/>
        <v>43895826.316082679</v>
      </c>
      <c r="F218" s="252">
        <f t="shared" si="82"/>
        <v>6524007.6214979915</v>
      </c>
      <c r="G218" s="252">
        <f ca="1">+'Chart II'!G218</f>
        <v>0</v>
      </c>
      <c r="H218" s="252">
        <f t="shared" si="82"/>
        <v>1510.5695319005463</v>
      </c>
      <c r="I218" s="252">
        <f t="shared" si="82"/>
        <v>9265.764620592272</v>
      </c>
      <c r="J218" s="286">
        <f ca="1">+'Chart II'!J218</f>
        <v>0</v>
      </c>
    </row>
    <row r="219" spans="1:10">
      <c r="A219" s="278" t="str">
        <f t="shared" si="81"/>
        <v>2015 Test Year (Regression)</v>
      </c>
      <c r="B219" s="252">
        <f>+B218*B$208</f>
        <v>9417.5160761624702</v>
      </c>
      <c r="C219" s="252">
        <f t="shared" ref="C219:I219" si="83">+C218*C$208</f>
        <v>34143.972864101321</v>
      </c>
      <c r="D219" s="252">
        <f t="shared" si="83"/>
        <v>714905.69489483244</v>
      </c>
      <c r="E219" s="252">
        <f t="shared" si="83"/>
        <v>45523640.275350288</v>
      </c>
      <c r="F219" s="252">
        <f t="shared" si="83"/>
        <v>5913257.2005415149</v>
      </c>
      <c r="G219" s="252">
        <f ca="1">+'Chart II'!G219</f>
        <v>0</v>
      </c>
      <c r="H219" s="252">
        <f t="shared" si="83"/>
        <v>1529.1993593474156</v>
      </c>
      <c r="I219" s="252">
        <f t="shared" si="83"/>
        <v>9201.7508368083654</v>
      </c>
      <c r="J219" s="286">
        <f ca="1">+'Chart II'!J219</f>
        <v>0</v>
      </c>
    </row>
    <row r="220" spans="1:10">
      <c r="A220" s="278" t="str">
        <f t="shared" si="81"/>
        <v>2016 Test Year (Regression)</v>
      </c>
      <c r="B220" s="252">
        <f t="shared" ref="B220:I223" si="84">+B219*B$208</f>
        <v>9327.8062315175994</v>
      </c>
      <c r="C220" s="252">
        <f t="shared" si="84"/>
        <v>34253.111829174384</v>
      </c>
      <c r="D220" s="252">
        <f t="shared" si="84"/>
        <v>736145.25208746665</v>
      </c>
      <c r="E220" s="252">
        <f t="shared" si="84"/>
        <v>47211819.387944914</v>
      </c>
      <c r="F220" s="252">
        <f t="shared" si="84"/>
        <v>5359682.6902123261</v>
      </c>
      <c r="G220" s="252">
        <f ca="1">+'Chart II'!G220</f>
        <v>0</v>
      </c>
      <c r="H220" s="252">
        <f t="shared" si="84"/>
        <v>1548.0589481282525</v>
      </c>
      <c r="I220" s="252">
        <f t="shared" si="84"/>
        <v>9138.1793008779423</v>
      </c>
      <c r="J220" s="286">
        <f ca="1">+'Chart II'!J220</f>
        <v>0</v>
      </c>
    </row>
    <row r="221" spans="1:10">
      <c r="A221" s="278" t="str">
        <f t="shared" si="81"/>
        <v>2017 Test Year (Regression)</v>
      </c>
      <c r="B221" s="252">
        <f t="shared" si="84"/>
        <v>9238.9509493880578</v>
      </c>
      <c r="C221" s="252">
        <f t="shared" si="84"/>
        <v>34362.599649775904</v>
      </c>
      <c r="D221" s="252">
        <f t="shared" si="84"/>
        <v>758015.82787872257</v>
      </c>
      <c r="E221" s="252">
        <f t="shared" si="84"/>
        <v>48962602.209271155</v>
      </c>
      <c r="F221" s="252">
        <f t="shared" si="84"/>
        <v>4857931.5198958358</v>
      </c>
      <c r="G221" s="252">
        <f ca="1">+'Chart II'!G221</f>
        <v>0</v>
      </c>
      <c r="H221" s="252">
        <f t="shared" si="84"/>
        <v>1567.1511318855441</v>
      </c>
      <c r="I221" s="252">
        <f t="shared" si="84"/>
        <v>9075.0469574720973</v>
      </c>
      <c r="J221" s="286">
        <f ca="1">+'Chart II'!J221</f>
        <v>0</v>
      </c>
    </row>
    <row r="222" spans="1:10">
      <c r="A222" s="278" t="str">
        <f t="shared" si="81"/>
        <v>2018 Test Year (Regression)</v>
      </c>
      <c r="B222" s="252">
        <f t="shared" si="84"/>
        <v>9150.9420893395891</v>
      </c>
      <c r="C222" s="252">
        <f t="shared" si="84"/>
        <v>34472.437440999653</v>
      </c>
      <c r="D222" s="252">
        <f t="shared" si="84"/>
        <v>780536.16957430879</v>
      </c>
      <c r="E222" s="252">
        <f t="shared" si="84"/>
        <v>50778310.308360226</v>
      </c>
      <c r="F222" s="252">
        <f t="shared" si="84"/>
        <v>4403152.2043448733</v>
      </c>
      <c r="G222" s="252">
        <f ca="1">+'Chart II'!G222</f>
        <v>0</v>
      </c>
      <c r="H222" s="252">
        <f t="shared" si="84"/>
        <v>1586.478779209041</v>
      </c>
      <c r="I222" s="252">
        <f t="shared" si="84"/>
        <v>9012.3507723700768</v>
      </c>
      <c r="J222" s="286">
        <f ca="1">+'Chart II'!J222</f>
        <v>0</v>
      </c>
    </row>
    <row r="223" spans="1:10" ht="13.8" thickBot="1">
      <c r="A223" s="279" t="str">
        <f t="shared" si="81"/>
        <v>2019 Test Year (Regression)</v>
      </c>
      <c r="B223" s="265">
        <f t="shared" si="84"/>
        <v>9063.7715884824902</v>
      </c>
      <c r="C223" s="265">
        <f t="shared" si="84"/>
        <v>34582.626321503718</v>
      </c>
      <c r="D223" s="265">
        <f t="shared" si="84"/>
        <v>803725.58145475539</v>
      </c>
      <c r="E223" s="265">
        <f t="shared" si="84"/>
        <v>52661351.346311636</v>
      </c>
      <c r="F223" s="265">
        <f t="shared" si="84"/>
        <v>3990947.4341546157</v>
      </c>
      <c r="G223" s="265">
        <f ca="1">+'Chart II'!G223</f>
        <v>0</v>
      </c>
      <c r="H223" s="265">
        <f t="shared" si="84"/>
        <v>1606.0447940667605</v>
      </c>
      <c r="I223" s="265">
        <f t="shared" si="84"/>
        <v>8950.08773231345</v>
      </c>
      <c r="J223" s="287">
        <f ca="1">+'Chart II'!J223</f>
        <v>0</v>
      </c>
    </row>
    <row r="225" spans="1:10" ht="13.8" thickBot="1"/>
    <row r="226" spans="1:10" ht="23.4" thickBot="1">
      <c r="A226" s="257" t="s">
        <v>112</v>
      </c>
      <c r="B226" s="250" t="s">
        <v>71</v>
      </c>
      <c r="C226" s="250" t="s">
        <v>236</v>
      </c>
      <c r="D226" s="250" t="s">
        <v>235</v>
      </c>
      <c r="E226" s="250" t="s">
        <v>74</v>
      </c>
      <c r="F226" s="250" t="s">
        <v>237</v>
      </c>
      <c r="G226" s="250" t="s">
        <v>238</v>
      </c>
      <c r="H226" s="250" t="s">
        <v>239</v>
      </c>
      <c r="I226" s="250" t="s">
        <v>76</v>
      </c>
      <c r="J226" s="251" t="s">
        <v>9</v>
      </c>
    </row>
    <row r="227" spans="1:10">
      <c r="A227" s="280" t="s">
        <v>265</v>
      </c>
      <c r="B227" s="281"/>
      <c r="C227" s="281"/>
      <c r="D227" s="281"/>
      <c r="E227" s="281"/>
      <c r="F227" s="281"/>
      <c r="G227" s="281"/>
      <c r="H227" s="281"/>
      <c r="I227" s="281"/>
      <c r="J227" s="282"/>
    </row>
    <row r="228" spans="1:10">
      <c r="A228" s="283" t="s">
        <v>114</v>
      </c>
      <c r="B228" s="255">
        <f>+B215</f>
        <v>10312.478017907415</v>
      </c>
      <c r="C228" s="255">
        <f t="shared" ref="C228:J228" si="85">+C215</f>
        <v>36436.199739921976</v>
      </c>
      <c r="D228" s="255">
        <f t="shared" si="85"/>
        <v>687468.15134099615</v>
      </c>
      <c r="E228" s="255">
        <f t="shared" si="85"/>
        <v>30069991</v>
      </c>
      <c r="F228" s="255">
        <f t="shared" si="85"/>
        <v>8995177.8888888881</v>
      </c>
      <c r="G228" s="255">
        <f t="shared" si="85"/>
        <v>864.62257510729614</v>
      </c>
      <c r="H228" s="255">
        <f t="shared" si="85"/>
        <v>530.03896103896102</v>
      </c>
      <c r="I228" s="255">
        <f t="shared" si="85"/>
        <v>12596.537704918033</v>
      </c>
      <c r="J228" s="262">
        <f t="shared" si="85"/>
        <v>17928.45828162066</v>
      </c>
    </row>
    <row r="229" spans="1:10">
      <c r="A229" s="283" t="s">
        <v>227</v>
      </c>
      <c r="B229" s="255">
        <f>+B216</f>
        <v>9944.9139784448562</v>
      </c>
      <c r="C229" s="255">
        <f t="shared" ref="C229:J229" si="86">+C216</f>
        <v>33405.607674829589</v>
      </c>
      <c r="D229" s="255">
        <f t="shared" si="86"/>
        <v>693751.11969111965</v>
      </c>
      <c r="E229" s="255">
        <f t="shared" si="86"/>
        <v>33402763</v>
      </c>
      <c r="F229" s="255">
        <f t="shared" si="86"/>
        <v>7817530.5999999996</v>
      </c>
      <c r="G229" s="255">
        <f t="shared" si="86"/>
        <v>865.45077050694306</v>
      </c>
      <c r="H229" s="255">
        <f t="shared" si="86"/>
        <v>1728.868207968671</v>
      </c>
      <c r="I229" s="255">
        <f t="shared" si="86"/>
        <v>10248.202720726738</v>
      </c>
      <c r="J229" s="262">
        <f t="shared" si="86"/>
        <v>16501.989395957142</v>
      </c>
    </row>
    <row r="230" spans="1:10">
      <c r="A230" s="277"/>
      <c r="B230" s="254"/>
      <c r="C230" s="284"/>
      <c r="D230" s="284"/>
      <c r="E230" s="284"/>
      <c r="F230" s="284"/>
      <c r="G230" s="284"/>
      <c r="H230" s="284"/>
      <c r="I230" s="284"/>
      <c r="J230" s="285"/>
    </row>
    <row r="231" spans="1:10">
      <c r="A231" s="278" t="str">
        <f>+A218</f>
        <v>2014 Bridge Year (Regression)</v>
      </c>
      <c r="B231" s="252">
        <f ca="1">+B94</f>
        <v>9643.1710277521433</v>
      </c>
      <c r="C231" s="252">
        <f t="shared" ref="C231:J231" ca="1" si="87">+C94</f>
        <v>34518.722724320367</v>
      </c>
      <c r="D231" s="252">
        <f t="shared" ca="1" si="87"/>
        <v>703539.87570937187</v>
      </c>
      <c r="E231" s="252">
        <f t="shared" ca="1" si="87"/>
        <v>43895826.316082679</v>
      </c>
      <c r="F231" s="252">
        <f t="shared" ca="1" si="87"/>
        <v>6604144.7678431859</v>
      </c>
      <c r="G231" s="252">
        <f t="shared" ca="1" si="87"/>
        <v>727.92739975156644</v>
      </c>
      <c r="H231" s="252">
        <f t="shared" ca="1" si="87"/>
        <v>1510.5695319005461</v>
      </c>
      <c r="I231" s="252">
        <f t="shared" ca="1" si="87"/>
        <v>9265.764620592272</v>
      </c>
      <c r="J231" s="286">
        <f t="shared" ca="1" si="87"/>
        <v>16286.794690044848</v>
      </c>
    </row>
    <row r="232" spans="1:10">
      <c r="A232" s="278" t="str">
        <f t="shared" ref="A232:A236" si="88">+A219</f>
        <v>2015 Test Year (Regression)</v>
      </c>
      <c r="B232" s="252">
        <f t="shared" ref="B232:J232" ca="1" si="89">+B95</f>
        <v>9467.4288054646386</v>
      </c>
      <c r="C232" s="252">
        <f t="shared" ca="1" si="89"/>
        <v>34324.935536326557</v>
      </c>
      <c r="D232" s="252">
        <f t="shared" ca="1" si="89"/>
        <v>718463.14491541521</v>
      </c>
      <c r="E232" s="252">
        <f t="shared" ca="1" si="89"/>
        <v>45523640.275350288</v>
      </c>
      <c r="F232" s="252">
        <f t="shared" ca="1" si="89"/>
        <v>5940353.86456264</v>
      </c>
      <c r="G232" s="252">
        <f t="shared" ca="1" si="89"/>
        <v>719.21057904957013</v>
      </c>
      <c r="H232" s="252">
        <f t="shared" ca="1" si="89"/>
        <v>1529.1993593474156</v>
      </c>
      <c r="I232" s="252">
        <f t="shared" ca="1" si="89"/>
        <v>9201.7508368083654</v>
      </c>
      <c r="J232" s="286">
        <f t="shared" ca="1" si="89"/>
        <v>16051.117467935126</v>
      </c>
    </row>
    <row r="233" spans="1:10">
      <c r="A233" s="278" t="str">
        <f t="shared" si="88"/>
        <v>2016 Test Year (Regression)</v>
      </c>
      <c r="B233" s="252">
        <f t="shared" ref="B233:J233" ca="1" si="90">+B96</f>
        <v>9310.867064749822</v>
      </c>
      <c r="C233" s="252">
        <f t="shared" ca="1" si="90"/>
        <v>34190.908653080398</v>
      </c>
      <c r="D233" s="252">
        <f t="shared" ca="1" si="90"/>
        <v>734890.11504844704</v>
      </c>
      <c r="E233" s="252">
        <f t="shared" ca="1" si="90"/>
        <v>47211819.387944914</v>
      </c>
      <c r="F233" s="252">
        <f t="shared" ca="1" si="90"/>
        <v>5351267.4655329874</v>
      </c>
      <c r="G233" s="252">
        <f t="shared" ca="1" si="90"/>
        <v>710.59814095932404</v>
      </c>
      <c r="H233" s="252">
        <f t="shared" ca="1" si="90"/>
        <v>1548.0589481282527</v>
      </c>
      <c r="I233" s="252">
        <f t="shared" ca="1" si="90"/>
        <v>9138.1793008779423</v>
      </c>
      <c r="J233" s="286">
        <f t="shared" ca="1" si="90"/>
        <v>15857.540423416298</v>
      </c>
    </row>
    <row r="234" spans="1:10">
      <c r="A234" s="278" t="str">
        <f t="shared" si="88"/>
        <v>2017 Test Year (Regression)</v>
      </c>
      <c r="B234" s="252">
        <f t="shared" ref="B234:J234" ca="1" si="91">+B97</f>
        <v>9099.8614976196932</v>
      </c>
      <c r="C234" s="252">
        <f t="shared" ca="1" si="91"/>
        <v>33845.281701796142</v>
      </c>
      <c r="D234" s="252">
        <f t="shared" ca="1" si="91"/>
        <v>747301.50054156897</v>
      </c>
      <c r="E234" s="252">
        <f t="shared" ca="1" si="91"/>
        <v>48962602.209271155</v>
      </c>
      <c r="F234" s="252">
        <f t="shared" ca="1" si="91"/>
        <v>4794699.5034730071</v>
      </c>
      <c r="G234" s="252">
        <f t="shared" ca="1" si="91"/>
        <v>702.08883551481347</v>
      </c>
      <c r="H234" s="252">
        <f t="shared" ca="1" si="91"/>
        <v>1567.1511318855441</v>
      </c>
      <c r="I234" s="252">
        <f t="shared" ca="1" si="91"/>
        <v>9075.0469574720973</v>
      </c>
      <c r="J234" s="286">
        <f t="shared" ca="1" si="91"/>
        <v>15589.235432134275</v>
      </c>
    </row>
    <row r="235" spans="1:10">
      <c r="A235" s="278" t="str">
        <f t="shared" si="88"/>
        <v>2018 Test Year (Regression)</v>
      </c>
      <c r="B235" s="252">
        <f t="shared" ref="B235:J235" ca="1" si="92">+B98</f>
        <v>8910.0110093481708</v>
      </c>
      <c r="C235" s="252">
        <f t="shared" ca="1" si="92"/>
        <v>33564.827983797193</v>
      </c>
      <c r="D235" s="252">
        <f t="shared" ca="1" si="92"/>
        <v>761241.59728951741</v>
      </c>
      <c r="E235" s="252">
        <f t="shared" ca="1" si="92"/>
        <v>50778310.308360226</v>
      </c>
      <c r="F235" s="252">
        <f t="shared" ca="1" si="92"/>
        <v>4302920.5664114067</v>
      </c>
      <c r="G235" s="252">
        <f t="shared" ca="1" si="92"/>
        <v>693.6814277181777</v>
      </c>
      <c r="H235" s="252">
        <f t="shared" ca="1" si="92"/>
        <v>1586.478779209041</v>
      </c>
      <c r="I235" s="252">
        <f t="shared" ca="1" si="92"/>
        <v>9012.3507723700768</v>
      </c>
      <c r="J235" s="286">
        <f t="shared" ca="1" si="92"/>
        <v>15362.954962401291</v>
      </c>
    </row>
    <row r="236" spans="1:10" ht="13.8" thickBot="1">
      <c r="A236" s="279" t="str">
        <f t="shared" si="88"/>
        <v>2019 Test Year (Regression)</v>
      </c>
      <c r="B236" s="265">
        <f t="shared" ref="B236:J236" ca="1" si="93">+B99</f>
        <v>8717.2799982299784</v>
      </c>
      <c r="C236" s="265">
        <f t="shared" ca="1" si="93"/>
        <v>33260.595081829415</v>
      </c>
      <c r="D236" s="265">
        <f t="shared" ca="1" si="93"/>
        <v>774878.18389934313</v>
      </c>
      <c r="E236" s="265">
        <f t="shared" ca="1" si="93"/>
        <v>52661351.346311636</v>
      </c>
      <c r="F236" s="265">
        <f t="shared" ca="1" si="93"/>
        <v>3859038.6059692935</v>
      </c>
      <c r="G236" s="265">
        <f t="shared" ca="1" si="93"/>
        <v>685.37469736046921</v>
      </c>
      <c r="H236" s="265">
        <f t="shared" ca="1" si="93"/>
        <v>1606.0447940667605</v>
      </c>
      <c r="I236" s="265">
        <f t="shared" ca="1" si="93"/>
        <v>8950.08773231345</v>
      </c>
      <c r="J236" s="287">
        <f t="shared" ca="1" si="93"/>
        <v>15139.731645066589</v>
      </c>
    </row>
    <row r="238" spans="1:10" ht="13.8" thickBot="1"/>
    <row r="239" spans="1:10" ht="23.4" thickBot="1">
      <c r="A239" s="257" t="s">
        <v>112</v>
      </c>
      <c r="B239" s="250" t="s">
        <v>71</v>
      </c>
      <c r="C239" s="250" t="s">
        <v>236</v>
      </c>
      <c r="D239" s="250" t="s">
        <v>235</v>
      </c>
      <c r="E239" s="250" t="s">
        <v>74</v>
      </c>
      <c r="F239" s="250" t="s">
        <v>237</v>
      </c>
      <c r="G239" s="250" t="s">
        <v>238</v>
      </c>
      <c r="H239" s="250" t="s">
        <v>239</v>
      </c>
      <c r="I239" s="250" t="s">
        <v>76</v>
      </c>
      <c r="J239" s="251" t="s">
        <v>9</v>
      </c>
    </row>
    <row r="240" spans="1:10">
      <c r="A240" s="280" t="s">
        <v>252</v>
      </c>
      <c r="B240" s="281"/>
      <c r="C240" s="281"/>
      <c r="D240" s="281"/>
      <c r="E240" s="281"/>
      <c r="F240" s="281"/>
      <c r="G240" s="281"/>
      <c r="H240" s="281"/>
      <c r="I240" s="281"/>
      <c r="J240" s="282"/>
    </row>
    <row r="241" spans="1:10">
      <c r="A241" s="278" t="str">
        <f t="shared" ref="A241:A246" si="94">+A218</f>
        <v>2014 Bridge Year (Regression)</v>
      </c>
      <c r="B241" s="252">
        <f>+'Rate Class Energy Model'!H65</f>
        <v>477086084.12561047</v>
      </c>
      <c r="C241" s="252">
        <f>+'Rate Class Energy Model'!I65</f>
        <v>133552861.85184284</v>
      </c>
      <c r="D241" s="252">
        <f>+'Rate Class Energy Model'!J65</f>
        <v>347139474.94993621</v>
      </c>
      <c r="E241" s="252">
        <f>+'Rate Class Energy Model'!K65</f>
        <v>43895826.316082679</v>
      </c>
      <c r="F241" s="252">
        <f>+'Rate Class Energy Model'!L65</f>
        <v>71764083.836477906</v>
      </c>
      <c r="G241" s="252">
        <f ca="1">+'Chart II'!G259</f>
        <v>9157883.1611797065</v>
      </c>
      <c r="H241" s="252">
        <f>+'Rate Class Energy Model'!N65</f>
        <v>34961.590134097416</v>
      </c>
      <c r="I241" s="252">
        <f>+'Rate Class Energy Model'!O65</f>
        <v>2736195.9516575765</v>
      </c>
      <c r="J241" s="286">
        <f ca="1">SUM(B241:I241)</f>
        <v>1085367371.7829216</v>
      </c>
    </row>
    <row r="242" spans="1:10">
      <c r="A242" s="278" t="str">
        <f t="shared" si="94"/>
        <v>2015 Test Year (Regression)</v>
      </c>
      <c r="B242" s="252">
        <f>+'Rate Class Energy Model'!H66</f>
        <v>478896563.81211978</v>
      </c>
      <c r="C242" s="252">
        <f>+'Rate Class Energy Model'!I66</f>
        <v>134733949.19907477</v>
      </c>
      <c r="D242" s="252">
        <f>+'Rate Class Energy Model'!J66</f>
        <v>357452847.44741625</v>
      </c>
      <c r="E242" s="252">
        <f>+'Rate Class Energy Model'!K66</f>
        <v>45523640.275350288</v>
      </c>
      <c r="F242" s="252">
        <f>+'Rate Class Energy Model'!L66</f>
        <v>65045829.205956668</v>
      </c>
      <c r="G242" s="252">
        <f ca="1">+'Chart II'!G260</f>
        <v>6898975.2993049342</v>
      </c>
      <c r="H242" s="252">
        <f>+'Rate Class Energy Model'!N66</f>
        <v>34131.37453101245</v>
      </c>
      <c r="I242" s="252">
        <f>+'Rate Class Energy Model'!O66</f>
        <v>2720071.4884186508</v>
      </c>
      <c r="J242" s="286">
        <f t="shared" ref="J242:J246" ca="1" si="95">SUM(B242:I242)</f>
        <v>1091306008.1021724</v>
      </c>
    </row>
    <row r="243" spans="1:10">
      <c r="A243" s="278" t="str">
        <f t="shared" si="94"/>
        <v>2016 Test Year (Regression)</v>
      </c>
      <c r="B243" s="252">
        <f>+'Rate Class Energy Model'!H67</f>
        <v>480713914.03374696</v>
      </c>
      <c r="C243" s="252">
        <f>+'Rate Class Energy Model'!I67</f>
        <v>135925481.60381019</v>
      </c>
      <c r="D243" s="252">
        <f>+'Rate Class Energy Model'!J67</f>
        <v>368072626.0437333</v>
      </c>
      <c r="E243" s="252">
        <f>+'Rate Class Energy Model'!K67</f>
        <v>47211819.387944914</v>
      </c>
      <c r="F243" s="252">
        <f>+'Rate Class Energy Model'!L67</f>
        <v>58956509.592335589</v>
      </c>
      <c r="G243" s="252">
        <f ca="1">+'Chart II'!G261</f>
        <v>4602545.4750272129</v>
      </c>
      <c r="H243" s="252">
        <f>+'Rate Class Energy Model'!N67</f>
        <v>33320.873647565873</v>
      </c>
      <c r="I243" s="252">
        <f>+'Rate Class Energy Model'!O67</f>
        <v>2704042.0469980952</v>
      </c>
      <c r="J243" s="286">
        <f t="shared" ca="1" si="95"/>
        <v>1098220259.0572438</v>
      </c>
    </row>
    <row r="244" spans="1:10">
      <c r="A244" s="278" t="str">
        <f t="shared" si="94"/>
        <v>2017 Test Year (Regression)</v>
      </c>
      <c r="B244" s="252">
        <f>+'Rate Class Energy Model'!H68</f>
        <v>482538160.86327994</v>
      </c>
      <c r="C244" s="252">
        <f>+'Rate Class Energy Model'!I68</f>
        <v>137127551.43790153</v>
      </c>
      <c r="D244" s="252">
        <f>+'Rate Class Energy Model'!J68</f>
        <v>379007913.93936127</v>
      </c>
      <c r="E244" s="252">
        <f>+'Rate Class Energy Model'!K68</f>
        <v>48962602.209271155</v>
      </c>
      <c r="F244" s="252">
        <f>+'Rate Class Energy Model'!L68</f>
        <v>53437246.718854196</v>
      </c>
      <c r="G244" s="252">
        <f ca="1">+'Chart II'!G262</f>
        <v>4729452.1624690769</v>
      </c>
      <c r="H244" s="252">
        <f>+'Rate Class Energy Model'!N68</f>
        <v>32529.619328053319</v>
      </c>
      <c r="I244" s="252">
        <f>+'Rate Class Energy Model'!O68</f>
        <v>2688107.0674302336</v>
      </c>
      <c r="J244" s="286">
        <f t="shared" ca="1" si="95"/>
        <v>1108523564.0178955</v>
      </c>
    </row>
    <row r="245" spans="1:10">
      <c r="A245" s="278" t="str">
        <f t="shared" si="94"/>
        <v>2018 Test Year (Regression)</v>
      </c>
      <c r="B245" s="252">
        <f>+'Rate Class Energy Model'!H69</f>
        <v>484369330.47244942</v>
      </c>
      <c r="C245" s="252">
        <f>+'Rate Class Energy Model'!I69</f>
        <v>138340251.89010054</v>
      </c>
      <c r="D245" s="252">
        <f>+'Rate Class Energy Model'!J69</f>
        <v>390268084.78715438</v>
      </c>
      <c r="E245" s="252">
        <f>+'Rate Class Energy Model'!K69</f>
        <v>50778310.308360226</v>
      </c>
      <c r="F245" s="252">
        <f>+'Rate Class Energy Model'!L69</f>
        <v>48434674.247793607</v>
      </c>
      <c r="G245" s="252">
        <f ca="1">+'Chart II'!G263</f>
        <v>4858993.4106965186</v>
      </c>
      <c r="H245" s="252">
        <f>+'Rate Class Energy Model'!N69</f>
        <v>31757.154533832614</v>
      </c>
      <c r="I245" s="252">
        <f>+'Rate Class Energy Model'!O69</f>
        <v>2672265.9930492793</v>
      </c>
      <c r="J245" s="286">
        <f t="shared" ca="1" si="95"/>
        <v>1119753668.264138</v>
      </c>
    </row>
    <row r="246" spans="1:10" ht="13.8" thickBot="1">
      <c r="A246" s="279" t="str">
        <f t="shared" si="94"/>
        <v>2019 Test Year (Regression)</v>
      </c>
      <c r="B246" s="265">
        <f>+'Rate Class Energy Model'!H70</f>
        <v>486207449.13230449</v>
      </c>
      <c r="C246" s="265">
        <f>+'Rate Class Energy Model'!I70</f>
        <v>139563676.97328246</v>
      </c>
      <c r="D246" s="265">
        <f>+'Rate Class Energy Model'!J70</f>
        <v>401862790.72737771</v>
      </c>
      <c r="E246" s="265">
        <f>+'Rate Class Energy Model'!K70</f>
        <v>52661351.346311636</v>
      </c>
      <c r="F246" s="265">
        <f>+'Rate Class Energy Model'!L70</f>
        <v>43900421.77570077</v>
      </c>
      <c r="G246" s="265">
        <f ca="1">+'Chart II'!G264</f>
        <v>4991186.1968679242</v>
      </c>
      <c r="H246" s="265">
        <f>+'Rate Class Energy Model'!N70</f>
        <v>31003.033079332334</v>
      </c>
      <c r="I246" s="265">
        <f>+'Rate Class Energy Model'!O70</f>
        <v>2656518.2704698895</v>
      </c>
      <c r="J246" s="287">
        <f t="shared" ca="1" si="95"/>
        <v>1131874397.4553943</v>
      </c>
    </row>
    <row r="247" spans="1:10" ht="13.8" thickBot="1"/>
    <row r="248" spans="1:10" ht="23.4" thickBot="1">
      <c r="A248" s="257" t="s">
        <v>112</v>
      </c>
      <c r="B248" s="250" t="s">
        <v>71</v>
      </c>
      <c r="C248" s="250" t="s">
        <v>236</v>
      </c>
      <c r="D248" s="250" t="s">
        <v>235</v>
      </c>
      <c r="E248" s="250" t="s">
        <v>74</v>
      </c>
      <c r="F248" s="250" t="s">
        <v>237</v>
      </c>
      <c r="G248" s="250" t="s">
        <v>238</v>
      </c>
      <c r="H248" s="250" t="s">
        <v>239</v>
      </c>
      <c r="I248" s="250" t="s">
        <v>76</v>
      </c>
      <c r="J248" s="251" t="s">
        <v>9</v>
      </c>
    </row>
    <row r="249" spans="1:10">
      <c r="A249" s="280" t="s">
        <v>253</v>
      </c>
      <c r="B249" s="281"/>
      <c r="C249" s="281"/>
      <c r="D249" s="281"/>
      <c r="E249" s="281"/>
      <c r="F249" s="281"/>
      <c r="G249" s="281"/>
      <c r="H249" s="281"/>
      <c r="I249" s="281"/>
      <c r="J249" s="282"/>
    </row>
    <row r="250" spans="1:10">
      <c r="A250" s="278" t="str">
        <f>+A241</f>
        <v>2014 Bridge Year (Regression)</v>
      </c>
      <c r="B250" s="252">
        <f ca="1">+'Rate Class Energy Model'!H89</f>
        <v>6778007.6337785516</v>
      </c>
      <c r="C250" s="252">
        <f ca="1">+'Rate Class Energy Model'!I89</f>
        <v>1897398.2835903254</v>
      </c>
      <c r="D250" s="252">
        <f ca="1">+'Rate Class Energy Model'!J89</f>
        <v>4630462.9047497455</v>
      </c>
      <c r="E250" s="252">
        <f ca="1">+'Rate Class Energy Model'!K89</f>
        <v>0</v>
      </c>
      <c r="F250" s="252">
        <f ca="1">+'Rate Class Energy Model'!L89</f>
        <v>881508.60979713686</v>
      </c>
      <c r="G250" s="252">
        <f ca="1">+'Rate Class Energy Model'!M89</f>
        <v>0</v>
      </c>
      <c r="H250" s="252">
        <f ca="1">+'Rate Class Energy Model'!N89</f>
        <v>0</v>
      </c>
      <c r="I250" s="252">
        <f ca="1">+'Rate Class Energy Model'!O89</f>
        <v>0</v>
      </c>
      <c r="J250" s="286">
        <f ca="1">SUM(B250:I250)</f>
        <v>14187377.43191576</v>
      </c>
    </row>
    <row r="251" spans="1:10">
      <c r="A251" s="278" t="str">
        <f t="shared" ref="A251:A255" si="96">+A242</f>
        <v>2015 Test Year (Regression)</v>
      </c>
      <c r="B251" s="252">
        <f ca="1">+'Rate Class Energy Model'!H90</f>
        <v>2538146.4029348646</v>
      </c>
      <c r="C251" s="252">
        <f ca="1">+'Rate Class Energy Model'!I90</f>
        <v>714088.4156500306</v>
      </c>
      <c r="D251" s="252">
        <f ca="1">+'Rate Class Energy Model'!J90</f>
        <v>1778725.0102913443</v>
      </c>
      <c r="E251" s="252">
        <f ca="1">+'Rate Class Energy Model'!K90</f>
        <v>0</v>
      </c>
      <c r="F251" s="252">
        <f ca="1">+'Rate Class Energy Model'!L90</f>
        <v>298063.30423237686</v>
      </c>
      <c r="G251" s="252">
        <f ca="1">+'Rate Class Energy Model'!M90</f>
        <v>0</v>
      </c>
      <c r="H251" s="252">
        <f ca="1">+'Rate Class Energy Model'!N90</f>
        <v>0</v>
      </c>
      <c r="I251" s="252">
        <f ca="1">+'Rate Class Energy Model'!O90</f>
        <v>0</v>
      </c>
      <c r="J251" s="286">
        <f t="shared" ref="J251:J255" ca="1" si="97">SUM(B251:I251)</f>
        <v>5329023.1331086159</v>
      </c>
    </row>
    <row r="252" spans="1:10">
      <c r="A252" s="278" t="str">
        <f t="shared" si="96"/>
        <v>2016 Test Year (Regression)</v>
      </c>
      <c r="B252" s="252">
        <f ca="1">+'Rate Class Energy Model'!H91</f>
        <v>-872969.80182700336</v>
      </c>
      <c r="C252" s="252">
        <f ca="1">+'Rate Class Energy Model'!I91</f>
        <v>-246838.78971430834</v>
      </c>
      <c r="D252" s="252">
        <f ca="1">+'Rate Class Energy Model'!J91</f>
        <v>-627568.51950977906</v>
      </c>
      <c r="E252" s="252">
        <f ca="1">+'Rate Class Energy Model'!K91</f>
        <v>0</v>
      </c>
      <c r="F252" s="252">
        <f ca="1">+'Rate Class Energy Model'!L91</f>
        <v>-92567.471472732097</v>
      </c>
      <c r="G252" s="252">
        <f ca="1">+'Rate Class Energy Model'!M91</f>
        <v>0</v>
      </c>
      <c r="H252" s="252">
        <f ca="1">+'Rate Class Energy Model'!N91</f>
        <v>0</v>
      </c>
      <c r="I252" s="252">
        <f ca="1">+'Rate Class Energy Model'!O91</f>
        <v>0</v>
      </c>
      <c r="J252" s="286">
        <f t="shared" ca="1" si="97"/>
        <v>-1839944.5825238228</v>
      </c>
    </row>
    <row r="253" spans="1:10">
      <c r="A253" s="278" t="str">
        <f t="shared" si="96"/>
        <v>2017 Test Year (Regression)</v>
      </c>
      <c r="B253" s="252">
        <f ca="1">+'Rate Class Energy Model'!H92</f>
        <v>-7264457.6878324049</v>
      </c>
      <c r="C253" s="252">
        <f ca="1">+'Rate Class Energy Model'!I92</f>
        <v>-2064411.4311592109</v>
      </c>
      <c r="D253" s="252">
        <f ca="1">+'Rate Class Energy Model'!J92</f>
        <v>-5357163.6685767863</v>
      </c>
      <c r="E253" s="252">
        <f ca="1">+'Rate Class Energy Model'!K92</f>
        <v>0</v>
      </c>
      <c r="F253" s="252">
        <f ca="1">+'Rate Class Energy Model'!L92</f>
        <v>-695552.180651117</v>
      </c>
      <c r="G253" s="252">
        <f ca="1">+'Rate Class Energy Model'!M92</f>
        <v>0</v>
      </c>
      <c r="H253" s="252">
        <f ca="1">+'Rate Class Energy Model'!N92</f>
        <v>0</v>
      </c>
      <c r="I253" s="252">
        <f ca="1">+'Rate Class Energy Model'!O92</f>
        <v>0</v>
      </c>
      <c r="J253" s="286">
        <f t="shared" ca="1" si="97"/>
        <v>-15381584.968219519</v>
      </c>
    </row>
    <row r="254" spans="1:10">
      <c r="A254" s="278" t="str">
        <f t="shared" si="96"/>
        <v>2018 Test Year (Regression)</v>
      </c>
      <c r="B254" s="252">
        <f ca="1">+'Rate Class Energy Model'!H93</f>
        <v>-12752744.445995016</v>
      </c>
      <c r="C254" s="252">
        <f ca="1">+'Rate Class Energy Model'!I93</f>
        <v>-3642298.8987106793</v>
      </c>
      <c r="D254" s="252">
        <f ca="1">+'Rate Class Energy Model'!J93</f>
        <v>-9647286.142395677</v>
      </c>
      <c r="E254" s="252">
        <f ca="1">+'Rate Class Energy Model'!K93</f>
        <v>0</v>
      </c>
      <c r="F254" s="252">
        <f ca="1">+'Rate Class Energy Model'!L93</f>
        <v>-1102548.017268125</v>
      </c>
      <c r="G254" s="252">
        <f ca="1">+'Rate Class Energy Model'!M93</f>
        <v>0</v>
      </c>
      <c r="H254" s="252">
        <f ca="1">+'Rate Class Energy Model'!N93</f>
        <v>0</v>
      </c>
      <c r="I254" s="252">
        <f ca="1">+'Rate Class Energy Model'!O93</f>
        <v>0</v>
      </c>
      <c r="J254" s="286">
        <f t="shared" ca="1" si="97"/>
        <v>-27144877.504369497</v>
      </c>
    </row>
    <row r="255" spans="1:10" ht="13.8" thickBot="1">
      <c r="A255" s="279" t="str">
        <f t="shared" si="96"/>
        <v>2019 Test Year (Regression)</v>
      </c>
      <c r="B255" s="265">
        <f ca="1">+'Rate Class Energy Model'!H94</f>
        <v>-18586831.166017417</v>
      </c>
      <c r="C255" s="265">
        <f ca="1">+'Rate Class Energy Model'!I94</f>
        <v>-5335266.8813289069</v>
      </c>
      <c r="D255" s="265">
        <f ca="1">+'Rate Class Energy Model'!J94</f>
        <v>-14423698.777706156</v>
      </c>
      <c r="E255" s="265">
        <f ca="1">+'Rate Class Energy Model'!K94</f>
        <v>0</v>
      </c>
      <c r="F255" s="265">
        <f ca="1">+'Rate Class Energy Model'!L94</f>
        <v>-1450997.1100385401</v>
      </c>
      <c r="G255" s="265">
        <f ca="1">+'Rate Class Energy Model'!M94</f>
        <v>0</v>
      </c>
      <c r="H255" s="265">
        <f ca="1">+'Rate Class Energy Model'!N94</f>
        <v>0</v>
      </c>
      <c r="I255" s="265">
        <f ca="1">+'Rate Class Energy Model'!O94</f>
        <v>0</v>
      </c>
      <c r="J255" s="287">
        <f t="shared" ca="1" si="97"/>
        <v>-39796793.935091019</v>
      </c>
    </row>
    <row r="256" spans="1:10" ht="13.8" thickBot="1"/>
    <row r="257" spans="1:10" ht="23.4" thickBot="1">
      <c r="A257" s="257" t="s">
        <v>112</v>
      </c>
      <c r="B257" s="250" t="s">
        <v>71</v>
      </c>
      <c r="C257" s="250" t="s">
        <v>236</v>
      </c>
      <c r="D257" s="250" t="s">
        <v>235</v>
      </c>
      <c r="E257" s="250" t="s">
        <v>74</v>
      </c>
      <c r="F257" s="250" t="s">
        <v>237</v>
      </c>
      <c r="G257" s="250" t="s">
        <v>238</v>
      </c>
      <c r="H257" s="250" t="s">
        <v>239</v>
      </c>
      <c r="I257" s="250" t="s">
        <v>76</v>
      </c>
      <c r="J257" s="251" t="s">
        <v>9</v>
      </c>
    </row>
    <row r="258" spans="1:10">
      <c r="A258" s="280" t="s">
        <v>254</v>
      </c>
      <c r="B258" s="281"/>
      <c r="C258" s="281"/>
      <c r="D258" s="281"/>
      <c r="E258" s="281"/>
      <c r="F258" s="281"/>
      <c r="G258" s="281"/>
      <c r="H258" s="281"/>
      <c r="I258" s="281"/>
      <c r="J258" s="282"/>
    </row>
    <row r="259" spans="1:10">
      <c r="A259" s="278" t="str">
        <f t="shared" ref="A259:A264" si="98">+A250</f>
        <v>2014 Bridge Year (Regression)</v>
      </c>
      <c r="B259" s="423">
        <f ca="1">B69</f>
        <v>481054885.42264152</v>
      </c>
      <c r="C259" s="423">
        <f t="shared" ref="C259:I259" ca="1" si="99">C69</f>
        <v>134663866.32037863</v>
      </c>
      <c r="D259" s="423">
        <f t="shared" ca="1" si="99"/>
        <v>349725890.78391075</v>
      </c>
      <c r="E259" s="423">
        <f t="shared" ca="1" si="99"/>
        <v>43637356.33016827</v>
      </c>
      <c r="F259" s="423">
        <f t="shared" ca="1" si="99"/>
        <v>72223026.947568864</v>
      </c>
      <c r="G259" s="423">
        <f t="shared" ca="1" si="99"/>
        <v>9157883.1611797065</v>
      </c>
      <c r="H259" s="423">
        <f t="shared" ca="1" si="99"/>
        <v>34755.727243069101</v>
      </c>
      <c r="I259" s="423">
        <f t="shared" ca="1" si="99"/>
        <v>2720084.521746417</v>
      </c>
      <c r="J259" s="286">
        <f ca="1">SUM(B259:I259)</f>
        <v>1093217749.2148373</v>
      </c>
    </row>
    <row r="260" spans="1:10">
      <c r="A260" s="278" t="str">
        <f t="shared" si="98"/>
        <v>2015 Test Year (Regression)</v>
      </c>
      <c r="B260" s="423">
        <f t="shared" ref="B260:I264" ca="1" si="100">B70</f>
        <v>483663532.29648578</v>
      </c>
      <c r="C260" s="423">
        <f t="shared" ca="1" si="100"/>
        <v>137144452.34571704</v>
      </c>
      <c r="D260" s="423">
        <f t="shared" ca="1" si="100"/>
        <v>365803341.05727828</v>
      </c>
      <c r="E260" s="423">
        <f t="shared" ca="1" si="100"/>
        <v>44988087.018268302</v>
      </c>
      <c r="F260" s="423">
        <f t="shared" ca="1" si="100"/>
        <v>66360780.741462775</v>
      </c>
      <c r="G260" s="423">
        <f t="shared" ca="1" si="100"/>
        <v>6898975.2993049342</v>
      </c>
      <c r="H260" s="423">
        <f t="shared" ca="1" si="100"/>
        <v>33729.84317964848</v>
      </c>
      <c r="I260" s="423">
        <f t="shared" ca="1" si="100"/>
        <v>2688071.7815343305</v>
      </c>
      <c r="J260" s="286">
        <f t="shared" ref="J260:J264" ca="1" si="101">SUM(B260:I260)</f>
        <v>1107580970.3832314</v>
      </c>
    </row>
    <row r="261" spans="1:10">
      <c r="A261" s="278" t="str">
        <f t="shared" si="98"/>
        <v>2016 Test Year (Regression)</v>
      </c>
      <c r="B261" s="423">
        <f t="shared" ca="1" si="100"/>
        <v>486758735.37501377</v>
      </c>
      <c r="C261" s="423">
        <f t="shared" ca="1" si="100"/>
        <v>139823684.88361743</v>
      </c>
      <c r="D261" s="423">
        <f t="shared" ca="1" si="100"/>
        <v>383057156.35481733</v>
      </c>
      <c r="E261" s="423">
        <f t="shared" ca="1" si="100"/>
        <v>46339336.301290356</v>
      </c>
      <c r="F261" s="423">
        <f t="shared" ca="1" si="100"/>
        <v>61520302.229705706</v>
      </c>
      <c r="G261" s="423">
        <f t="shared" ca="1" si="100"/>
        <v>4602545.4750272129</v>
      </c>
      <c r="H261" s="423">
        <f t="shared" ca="1" si="100"/>
        <v>32705.097787475253</v>
      </c>
      <c r="I261" s="423">
        <f t="shared" ca="1" si="100"/>
        <v>2654070.8537207819</v>
      </c>
      <c r="J261" s="286">
        <f t="shared" ca="1" si="101"/>
        <v>1124788536.5709801</v>
      </c>
    </row>
    <row r="262" spans="1:10">
      <c r="A262" s="278" t="str">
        <f t="shared" si="98"/>
        <v>2017 Test Year (Regression)</v>
      </c>
      <c r="B262" s="423">
        <f t="shared" ca="1" si="100"/>
        <v>485640571.09087658</v>
      </c>
      <c r="C262" s="423">
        <f t="shared" ca="1" si="100"/>
        <v>141342094.33386183</v>
      </c>
      <c r="D262" s="423">
        <f t="shared" ca="1" si="100"/>
        <v>397878345.8407315</v>
      </c>
      <c r="E262" s="423">
        <f t="shared" ca="1" si="100"/>
        <v>47612968.631939657</v>
      </c>
      <c r="F262" s="423">
        <f t="shared" ca="1" si="100"/>
        <v>56063418.766717009</v>
      </c>
      <c r="G262" s="423">
        <f t="shared" ca="1" si="100"/>
        <v>4729452.1624690769</v>
      </c>
      <c r="H262" s="423">
        <f t="shared" ca="1" si="100"/>
        <v>31632.95402592525</v>
      </c>
      <c r="I262" s="423">
        <f t="shared" ca="1" si="100"/>
        <v>2614010.5244777231</v>
      </c>
      <c r="J262" s="286">
        <f t="shared" ca="1" si="101"/>
        <v>1135912494.3050995</v>
      </c>
    </row>
    <row r="263" spans="1:10">
      <c r="A263" s="278" t="str">
        <f t="shared" si="98"/>
        <v>2018 Test Year (Regression)</v>
      </c>
      <c r="B263" s="423">
        <f t="shared" ca="1" si="100"/>
        <v>485086336.06007928</v>
      </c>
      <c r="C263" s="423">
        <f t="shared" ca="1" si="100"/>
        <v>143067914.90363961</v>
      </c>
      <c r="D263" s="423">
        <f t="shared" ca="1" si="100"/>
        <v>413841565.44544375</v>
      </c>
      <c r="E263" s="423">
        <f t="shared" ca="1" si="100"/>
        <v>48880609.419864491</v>
      </c>
      <c r="F263" s="423">
        <f t="shared" ca="1" si="100"/>
        <v>51546101.142281838</v>
      </c>
      <c r="G263" s="423">
        <f t="shared" ca="1" si="100"/>
        <v>4858993.4106965186</v>
      </c>
      <c r="H263" s="423">
        <f t="shared" ca="1" si="100"/>
        <v>30570.317476652544</v>
      </c>
      <c r="I263" s="423">
        <f t="shared" ca="1" si="100"/>
        <v>2572397.3381351824</v>
      </c>
      <c r="J263" s="286">
        <f t="shared" ca="1" si="101"/>
        <v>1149884488.0376174</v>
      </c>
    </row>
    <row r="264" spans="1:10" ht="13.8" thickBot="1">
      <c r="A264" s="279" t="str">
        <f t="shared" si="98"/>
        <v>2019 Test Year (Regression)</v>
      </c>
      <c r="B264" s="424">
        <f t="shared" ca="1" si="100"/>
        <v>483951298.77224517</v>
      </c>
      <c r="C264" s="424">
        <f t="shared" ca="1" si="100"/>
        <v>144664011.00824618</v>
      </c>
      <c r="D264" s="424">
        <f t="shared" ca="1" si="100"/>
        <v>430008488.2230823</v>
      </c>
      <c r="E264" s="424">
        <f t="shared" ca="1" si="100"/>
        <v>50156998.567244969</v>
      </c>
      <c r="F264" s="424">
        <f t="shared" ca="1" si="100"/>
        <v>47307974.406240016</v>
      </c>
      <c r="G264" s="424">
        <f t="shared" ca="1" si="100"/>
        <v>4991186.1968679242</v>
      </c>
      <c r="H264" s="424">
        <f t="shared" ca="1" si="100"/>
        <v>29528.658987768886</v>
      </c>
      <c r="I264" s="424">
        <f t="shared" ca="1" si="100"/>
        <v>2530185.414528877</v>
      </c>
      <c r="J264" s="287">
        <f t="shared" ca="1" si="101"/>
        <v>1163639671.2474432</v>
      </c>
    </row>
    <row r="266" spans="1:10" ht="13.8" thickBot="1"/>
    <row r="267" spans="1:10" ht="23.4" thickBot="1">
      <c r="A267" s="257" t="s">
        <v>112</v>
      </c>
      <c r="B267" s="250" t="s">
        <v>235</v>
      </c>
      <c r="C267" s="250" t="s">
        <v>74</v>
      </c>
      <c r="D267" s="250" t="s">
        <v>237</v>
      </c>
      <c r="E267" s="250" t="s">
        <v>238</v>
      </c>
      <c r="F267" s="250" t="s">
        <v>239</v>
      </c>
      <c r="G267" s="251" t="s">
        <v>9</v>
      </c>
    </row>
    <row r="268" spans="1:10">
      <c r="A268" s="280" t="s">
        <v>255</v>
      </c>
      <c r="B268" s="281"/>
      <c r="C268" s="281"/>
      <c r="D268" s="281"/>
      <c r="E268" s="281"/>
      <c r="F268" s="281"/>
      <c r="G268" s="282"/>
    </row>
    <row r="269" spans="1:10">
      <c r="A269" s="277">
        <v>2003</v>
      </c>
      <c r="B269" s="252">
        <f>+'Rate Class Load Model'!B2</f>
        <v>806199.49000000011</v>
      </c>
      <c r="C269" s="252">
        <f>+'Rate Class Load Model'!C2</f>
        <v>349045.15</v>
      </c>
      <c r="D269" s="252">
        <f>+'Rate Class Load Model'!D2</f>
        <v>197712.36</v>
      </c>
      <c r="E269" s="252">
        <f>+'Rate Class Load Model'!E2</f>
        <v>23226.94</v>
      </c>
      <c r="F269" s="252">
        <f>+'Rate Class Load Model'!F2</f>
        <v>126.50277777777779</v>
      </c>
      <c r="G269" s="286">
        <f>SUM(B269:F269)</f>
        <v>1376310.4427777778</v>
      </c>
    </row>
    <row r="270" spans="1:10">
      <c r="A270" s="278">
        <v>2004</v>
      </c>
      <c r="B270" s="252">
        <f>+'Rate Class Load Model'!B3</f>
        <v>957450.82</v>
      </c>
      <c r="C270" s="252">
        <f>+'Rate Class Load Model'!C3</f>
        <v>243130.85</v>
      </c>
      <c r="D270" s="252">
        <f>+'Rate Class Load Model'!D3</f>
        <v>135213.89000000001</v>
      </c>
      <c r="E270" s="252">
        <f>+'Rate Class Load Model'!E3</f>
        <v>23584.5</v>
      </c>
      <c r="F270" s="252">
        <f>+'Rate Class Load Model'!F3</f>
        <v>123.24722222222222</v>
      </c>
      <c r="G270" s="286">
        <f t="shared" ref="G270:G279" si="102">SUM(B270:F270)</f>
        <v>1359503.3072222222</v>
      </c>
    </row>
    <row r="271" spans="1:10">
      <c r="A271" s="277">
        <v>2005</v>
      </c>
      <c r="B271" s="252">
        <f>+'Rate Class Load Model'!B4</f>
        <v>913899.12999999989</v>
      </c>
      <c r="C271" s="252">
        <f>+'Rate Class Load Model'!C4</f>
        <v>154705.01</v>
      </c>
      <c r="D271" s="252">
        <f>+'Rate Class Load Model'!D4</f>
        <v>142187.47</v>
      </c>
      <c r="E271" s="252">
        <f>+'Rate Class Load Model'!E4</f>
        <v>24114.33</v>
      </c>
      <c r="F271" s="252">
        <f>+'Rate Class Load Model'!F4</f>
        <v>119.99166666666666</v>
      </c>
      <c r="G271" s="286">
        <f t="shared" si="102"/>
        <v>1235025.9316666666</v>
      </c>
    </row>
    <row r="272" spans="1:10">
      <c r="A272" s="278">
        <v>2006</v>
      </c>
      <c r="B272" s="252">
        <f>+'Rate Class Load Model'!B5</f>
        <v>893943</v>
      </c>
      <c r="C272" s="252">
        <f>+'Rate Class Load Model'!C5</f>
        <v>134252</v>
      </c>
      <c r="D272" s="252">
        <f>+'Rate Class Load Model'!D5</f>
        <v>178422</v>
      </c>
      <c r="E272" s="252">
        <f>+'Rate Class Load Model'!E5</f>
        <v>24802</v>
      </c>
      <c r="F272" s="252">
        <f>+'Rate Class Load Model'!F5</f>
        <v>118.31944444444447</v>
      </c>
      <c r="G272" s="286">
        <f t="shared" si="102"/>
        <v>1231537.3194444445</v>
      </c>
    </row>
    <row r="273" spans="1:7">
      <c r="A273" s="277">
        <v>2007</v>
      </c>
      <c r="B273" s="252">
        <f>+'Rate Class Load Model'!B6</f>
        <v>887017</v>
      </c>
      <c r="C273" s="252">
        <f>+'Rate Class Load Model'!C6</f>
        <v>135954</v>
      </c>
      <c r="D273" s="252">
        <f>+'Rate Class Load Model'!D6</f>
        <v>214029</v>
      </c>
      <c r="E273" s="252">
        <f>+'Rate Class Load Model'!E6</f>
        <v>25740</v>
      </c>
      <c r="F273" s="252">
        <f>+'Rate Class Load Model'!F6</f>
        <v>115.0222222222222</v>
      </c>
      <c r="G273" s="286">
        <f t="shared" si="102"/>
        <v>1262855.0222222223</v>
      </c>
    </row>
    <row r="274" spans="1:7">
      <c r="A274" s="278">
        <v>2008</v>
      </c>
      <c r="B274" s="292">
        <f>+'Rate Class Load Model'!B7</f>
        <v>876464</v>
      </c>
      <c r="C274" s="292">
        <f>+'Rate Class Load Model'!C7</f>
        <v>124131</v>
      </c>
      <c r="D274" s="292">
        <f>+'Rate Class Load Model'!D7</f>
        <v>204487</v>
      </c>
      <c r="E274" s="292">
        <f>+'Rate Class Load Model'!E7</f>
        <v>26489</v>
      </c>
      <c r="F274" s="292">
        <f>+'Rate Class Load Model'!F7</f>
        <v>108.9805555555556</v>
      </c>
      <c r="G274" s="293">
        <f t="shared" si="102"/>
        <v>1231679.9805555556</v>
      </c>
    </row>
    <row r="275" spans="1:7">
      <c r="A275" s="277">
        <v>2009</v>
      </c>
      <c r="B275" s="292">
        <f>+'Rate Class Load Model'!B8</f>
        <v>861503</v>
      </c>
      <c r="C275" s="292">
        <f>+'Rate Class Load Model'!C8</f>
        <v>89007</v>
      </c>
      <c r="D275" s="292">
        <f>+'Rate Class Load Model'!D8</f>
        <v>190299</v>
      </c>
      <c r="E275" s="292">
        <f>+'Rate Class Load Model'!E8</f>
        <v>27041</v>
      </c>
      <c r="F275" s="292">
        <f>+'Rate Class Load Model'!F8</f>
        <v>102.2</v>
      </c>
      <c r="G275" s="293">
        <f t="shared" si="102"/>
        <v>1167952.2</v>
      </c>
    </row>
    <row r="276" spans="1:7">
      <c r="A276" s="278">
        <v>2010</v>
      </c>
      <c r="B276" s="292">
        <f>+'Rate Class Load Model'!B9</f>
        <v>871715</v>
      </c>
      <c r="C276" s="292">
        <f>+'Rate Class Load Model'!C9</f>
        <v>70585</v>
      </c>
      <c r="D276" s="292">
        <f>+'Rate Class Load Model'!D9</f>
        <v>195141</v>
      </c>
      <c r="E276" s="292">
        <f>+'Rate Class Load Model'!E9</f>
        <v>27634</v>
      </c>
      <c r="F276" s="292">
        <f>+'Rate Class Load Model'!F9</f>
        <v>99.477777777777803</v>
      </c>
      <c r="G276" s="293">
        <f t="shared" si="102"/>
        <v>1165174.4777777777</v>
      </c>
    </row>
    <row r="277" spans="1:7">
      <c r="A277" s="278">
        <v>2011</v>
      </c>
      <c r="B277" s="292">
        <f>+'Rate Class Load Model'!B10</f>
        <v>867070</v>
      </c>
      <c r="C277" s="292">
        <f>+'Rate Class Load Model'!C10</f>
        <v>83704</v>
      </c>
      <c r="D277" s="292">
        <f>+'Rate Class Load Model'!D10</f>
        <v>192700</v>
      </c>
      <c r="E277" s="292">
        <f>+'Rate Class Load Model'!E10</f>
        <v>27830</v>
      </c>
      <c r="F277" s="292">
        <f>+'Rate Class Load Model'!F10</f>
        <v>100</v>
      </c>
      <c r="G277" s="293">
        <f t="shared" si="102"/>
        <v>1171404</v>
      </c>
    </row>
    <row r="278" spans="1:7">
      <c r="A278" s="278">
        <v>2012</v>
      </c>
      <c r="B278" s="292">
        <f>+'Rate Class Load Model'!B11</f>
        <v>846459</v>
      </c>
      <c r="C278" s="292">
        <f>+'Rate Class Load Model'!C11</f>
        <v>89554</v>
      </c>
      <c r="D278" s="292">
        <f>+'Rate Class Load Model'!D11</f>
        <v>182189</v>
      </c>
      <c r="E278" s="292">
        <f>+'Rate Class Load Model'!E11</f>
        <v>27720</v>
      </c>
      <c r="F278" s="292">
        <f>+'Rate Class Load Model'!F11</f>
        <v>100</v>
      </c>
      <c r="G278" s="293">
        <f t="shared" si="102"/>
        <v>1146022</v>
      </c>
    </row>
    <row r="279" spans="1:7" ht="13.8" thickBot="1">
      <c r="A279" s="279">
        <v>2013</v>
      </c>
      <c r="B279" s="265">
        <f>+'Rate Class Load Model'!B12</f>
        <v>844838</v>
      </c>
      <c r="C279" s="265">
        <f>+'Rate Class Load Model'!C12</f>
        <v>93930</v>
      </c>
      <c r="D279" s="265">
        <f>+'Rate Class Load Model'!D12</f>
        <v>186993</v>
      </c>
      <c r="E279" s="265">
        <f>+'Rate Class Load Model'!E12</f>
        <v>25374</v>
      </c>
      <c r="F279" s="265">
        <f>+'Rate Class Load Model'!F12</f>
        <v>100</v>
      </c>
      <c r="G279" s="287">
        <f t="shared" si="102"/>
        <v>1151235</v>
      </c>
    </row>
    <row r="280" spans="1:7" ht="13.8" thickBot="1"/>
    <row r="281" spans="1:7" ht="23.4" thickBot="1">
      <c r="A281" s="257" t="s">
        <v>112</v>
      </c>
      <c r="B281" s="250" t="s">
        <v>235</v>
      </c>
      <c r="C281" s="250" t="s">
        <v>74</v>
      </c>
      <c r="D281" s="250" t="s">
        <v>237</v>
      </c>
      <c r="E281" s="250" t="s">
        <v>238</v>
      </c>
      <c r="F281" s="250" t="s">
        <v>239</v>
      </c>
      <c r="G281" s="251" t="s">
        <v>9</v>
      </c>
    </row>
    <row r="282" spans="1:7">
      <c r="A282" s="280" t="s">
        <v>256</v>
      </c>
      <c r="B282" s="281"/>
      <c r="C282" s="281"/>
      <c r="D282" s="281"/>
      <c r="E282" s="281"/>
      <c r="F282" s="281"/>
      <c r="G282" s="282"/>
    </row>
    <row r="283" spans="1:7">
      <c r="A283" s="277">
        <v>2003</v>
      </c>
      <c r="B283" s="252">
        <f>+'Rate Class Energy Model'!J7</f>
        <v>281244125.5</v>
      </c>
      <c r="C283" s="252">
        <f>+'Rate Class Energy Model'!K7</f>
        <v>169257212.5</v>
      </c>
      <c r="D283" s="252">
        <f>+'Rate Class Energy Model'!L7</f>
        <v>96172091</v>
      </c>
      <c r="E283" s="252">
        <f>+'Rate Class Energy Model'!M7</f>
        <v>8359780.5</v>
      </c>
      <c r="F283" s="252">
        <f>+'Rate Class Energy Model'!N7</f>
        <v>45541</v>
      </c>
      <c r="G283" s="286">
        <f t="shared" ref="G283:G293" si="103">SUM(B283:F283)</f>
        <v>555078750.5</v>
      </c>
    </row>
    <row r="284" spans="1:7">
      <c r="A284" s="278">
        <v>2004</v>
      </c>
      <c r="B284" s="252">
        <f>+'Rate Class Energy Model'!J8</f>
        <v>360631980</v>
      </c>
      <c r="C284" s="252">
        <f>+'Rate Class Energy Model'!K8</f>
        <v>112144196</v>
      </c>
      <c r="D284" s="252">
        <f>+'Rate Class Energy Model'!L8</f>
        <v>65676068</v>
      </c>
      <c r="E284" s="252">
        <f>+'Rate Class Energy Model'!M8</f>
        <v>8743099.0634733941</v>
      </c>
      <c r="F284" s="252">
        <f>+'Rate Class Energy Model'!N8</f>
        <v>27821</v>
      </c>
      <c r="G284" s="286">
        <f t="shared" si="103"/>
        <v>547223164.06347334</v>
      </c>
    </row>
    <row r="285" spans="1:7">
      <c r="A285" s="277">
        <v>2005</v>
      </c>
      <c r="B285" s="252">
        <f>+'Rate Class Energy Model'!J9</f>
        <v>361962669</v>
      </c>
      <c r="C285" s="252">
        <f>+'Rate Class Energy Model'!K9</f>
        <v>62904833</v>
      </c>
      <c r="D285" s="252">
        <f>+'Rate Class Energy Model'!L9</f>
        <v>67016961</v>
      </c>
      <c r="E285" s="252">
        <f>+'Rate Class Energy Model'!M9</f>
        <v>9182978</v>
      </c>
      <c r="F285" s="252">
        <f>+'Rate Class Energy Model'!N9</f>
        <v>43197</v>
      </c>
      <c r="G285" s="286">
        <f t="shared" si="103"/>
        <v>501110638</v>
      </c>
    </row>
    <row r="286" spans="1:7">
      <c r="A286" s="278">
        <v>2006</v>
      </c>
      <c r="B286" s="252">
        <f>+'Rate Class Energy Model'!J10</f>
        <v>357086593</v>
      </c>
      <c r="C286" s="252">
        <f>+'Rate Class Energy Model'!K10</f>
        <v>59654446</v>
      </c>
      <c r="D286" s="252">
        <f>+'Rate Class Energy Model'!L10</f>
        <v>80518764</v>
      </c>
      <c r="E286" s="252">
        <f>+'Rate Class Energy Model'!M10</f>
        <v>9398525</v>
      </c>
      <c r="F286" s="252">
        <f>+'Rate Class Energy Model'!N10</f>
        <v>42595</v>
      </c>
      <c r="G286" s="286">
        <f t="shared" si="103"/>
        <v>506700923</v>
      </c>
    </row>
    <row r="287" spans="1:7">
      <c r="A287" s="277">
        <v>2007</v>
      </c>
      <c r="B287" s="252">
        <f>+'Rate Class Energy Model'!J11</f>
        <v>359144720</v>
      </c>
      <c r="C287" s="252">
        <f>+'Rate Class Energy Model'!K11</f>
        <v>61811846</v>
      </c>
      <c r="D287" s="252">
        <f>+'Rate Class Energy Model'!L11</f>
        <v>103869997</v>
      </c>
      <c r="E287" s="252">
        <f>+'Rate Class Energy Model'!M11</f>
        <v>9704521</v>
      </c>
      <c r="F287" s="252">
        <f>+'Rate Class Energy Model'!N11</f>
        <v>41408</v>
      </c>
      <c r="G287" s="286">
        <f t="shared" si="103"/>
        <v>534572492</v>
      </c>
    </row>
    <row r="288" spans="1:7">
      <c r="A288" s="278">
        <v>2008</v>
      </c>
      <c r="B288" s="292">
        <f>+'Rate Class Energy Model'!J12</f>
        <v>352632150</v>
      </c>
      <c r="C288" s="292">
        <f>+'Rate Class Energy Model'!K12</f>
        <v>46461021</v>
      </c>
      <c r="D288" s="292">
        <f>+'Rate Class Energy Model'!L12</f>
        <v>102433272</v>
      </c>
      <c r="E288" s="292">
        <f>+'Rate Class Energy Model'!M12</f>
        <v>9725840</v>
      </c>
      <c r="F288" s="292">
        <f>+'Rate Class Energy Model'!N12</f>
        <v>39233</v>
      </c>
      <c r="G288" s="293">
        <f t="shared" si="103"/>
        <v>511291516</v>
      </c>
    </row>
    <row r="289" spans="1:7">
      <c r="A289" s="277">
        <v>2009</v>
      </c>
      <c r="B289" s="292">
        <f>+'Rate Class Energy Model'!J13</f>
        <v>349784301</v>
      </c>
      <c r="C289" s="292">
        <f>+'Rate Class Energy Model'!K13</f>
        <v>36580289</v>
      </c>
      <c r="D289" s="292">
        <f>+'Rate Class Energy Model'!L13</f>
        <v>87237589</v>
      </c>
      <c r="E289" s="292">
        <f>+'Rate Class Energy Model'!M13</f>
        <v>10202758</v>
      </c>
      <c r="F289" s="292">
        <f>+'Rate Class Energy Model'!N13</f>
        <v>36792</v>
      </c>
      <c r="G289" s="293">
        <f t="shared" si="103"/>
        <v>483841729</v>
      </c>
    </row>
    <row r="290" spans="1:7">
      <c r="A290" s="278">
        <v>2010</v>
      </c>
      <c r="B290" s="292">
        <f>+'Rate Class Energy Model'!J14</f>
        <v>355234224</v>
      </c>
      <c r="C290" s="292">
        <f>+'Rate Class Energy Model'!K14</f>
        <v>33402763</v>
      </c>
      <c r="D290" s="292">
        <f>+'Rate Class Energy Model'!L14</f>
        <v>80783141</v>
      </c>
      <c r="E290" s="292">
        <f>+'Rate Class Energy Model'!M14</f>
        <v>10427904</v>
      </c>
      <c r="F290" s="292">
        <f>+'Rate Class Energy Model'!N14</f>
        <v>35812</v>
      </c>
      <c r="G290" s="293">
        <f t="shared" si="103"/>
        <v>479883844</v>
      </c>
    </row>
    <row r="291" spans="1:7">
      <c r="A291" s="278">
        <v>2011</v>
      </c>
      <c r="B291" s="292">
        <f>+'Rate Class Energy Model'!J15</f>
        <v>359534375</v>
      </c>
      <c r="C291" s="292">
        <f>+'Rate Class Energy Model'!K15</f>
        <v>37740699</v>
      </c>
      <c r="D291" s="292">
        <f>+'Rate Class Energy Model'!L15</f>
        <v>79908016</v>
      </c>
      <c r="E291" s="292">
        <f>+'Rate Class Energy Model'!M15</f>
        <v>10253017</v>
      </c>
      <c r="F291" s="292">
        <f>+'Rate Class Energy Model'!N15</f>
        <v>35812</v>
      </c>
      <c r="G291" s="293">
        <f t="shared" si="103"/>
        <v>487471919</v>
      </c>
    </row>
    <row r="292" spans="1:7">
      <c r="A292" s="278">
        <v>2012</v>
      </c>
      <c r="B292" s="292">
        <f>+'Rate Class Energy Model'!J16</f>
        <v>338342507</v>
      </c>
      <c r="C292" s="292">
        <f>+'Rate Class Energy Model'!K16</f>
        <v>40812737</v>
      </c>
      <c r="D292" s="292">
        <f>+'Rate Class Energy Model'!L16</f>
        <v>76828137</v>
      </c>
      <c r="E292" s="292">
        <f>+'Rate Class Energy Model'!M16</f>
        <v>10139708</v>
      </c>
      <c r="F292" s="292">
        <f>+'Rate Class Energy Model'!N16</f>
        <v>35812</v>
      </c>
      <c r="G292" s="293">
        <f t="shared" si="103"/>
        <v>466158901</v>
      </c>
    </row>
    <row r="293" spans="1:7" ht="13.8" thickBot="1">
      <c r="A293" s="279">
        <v>2013</v>
      </c>
      <c r="B293" s="265">
        <f>+'Rate Class Energy Model'!J17</f>
        <v>337123668</v>
      </c>
      <c r="C293" s="265">
        <f>+'Rate Class Energy Model'!K17</f>
        <v>42326219</v>
      </c>
      <c r="D293" s="265">
        <f>+'Rate Class Energy Model'!L17</f>
        <v>79176233</v>
      </c>
      <c r="E293" s="265">
        <f>+'Rate Class Energy Model'!M17</f>
        <v>9082284</v>
      </c>
      <c r="F293" s="265">
        <f>+'Rate Class Energy Model'!N17</f>
        <v>35812</v>
      </c>
      <c r="G293" s="287">
        <f t="shared" si="103"/>
        <v>467744216</v>
      </c>
    </row>
    <row r="294" spans="1:7" ht="13.8" thickBot="1"/>
    <row r="295" spans="1:7" ht="23.4" thickBot="1">
      <c r="A295" s="257" t="s">
        <v>112</v>
      </c>
      <c r="B295" s="250" t="s">
        <v>235</v>
      </c>
      <c r="C295" s="250" t="s">
        <v>74</v>
      </c>
      <c r="D295" s="250" t="s">
        <v>237</v>
      </c>
      <c r="E295" s="250" t="s">
        <v>238</v>
      </c>
      <c r="F295" s="250" t="s">
        <v>239</v>
      </c>
      <c r="G295" s="251" t="s">
        <v>9</v>
      </c>
    </row>
    <row r="296" spans="1:7">
      <c r="A296" s="280" t="s">
        <v>257</v>
      </c>
      <c r="B296" s="281"/>
      <c r="C296" s="281"/>
      <c r="D296" s="281"/>
      <c r="E296" s="281"/>
      <c r="F296" s="281"/>
      <c r="G296" s="282"/>
    </row>
    <row r="297" spans="1:7">
      <c r="A297" s="277">
        <v>2003</v>
      </c>
      <c r="B297" s="294">
        <f>+B269/B283</f>
        <v>2.8665469494401942E-3</v>
      </c>
      <c r="C297" s="294">
        <f t="shared" ref="C297:G297" si="104">+C269/C283</f>
        <v>2.0622172895586356E-3</v>
      </c>
      <c r="D297" s="294">
        <f t="shared" si="104"/>
        <v>2.05581845984819E-3</v>
      </c>
      <c r="E297" s="294">
        <f t="shared" si="104"/>
        <v>2.7784150552756736E-3</v>
      </c>
      <c r="F297" s="294">
        <f t="shared" si="104"/>
        <v>2.7777777777777783E-3</v>
      </c>
      <c r="G297" s="295">
        <f t="shared" si="104"/>
        <v>2.479486814326858E-3</v>
      </c>
    </row>
    <row r="298" spans="1:7">
      <c r="A298" s="278">
        <v>2004</v>
      </c>
      <c r="B298" s="294">
        <f t="shared" ref="B298:G298" si="105">+B270/B284</f>
        <v>2.654924890465898E-3</v>
      </c>
      <c r="C298" s="294">
        <f t="shared" si="105"/>
        <v>2.1680199125062166E-3</v>
      </c>
      <c r="D298" s="294">
        <f t="shared" si="105"/>
        <v>2.0588000182958578E-3</v>
      </c>
      <c r="E298" s="294">
        <f t="shared" si="105"/>
        <v>2.6974988878406374E-3</v>
      </c>
      <c r="F298" s="294">
        <f t="shared" si="105"/>
        <v>4.4300069092492083E-3</v>
      </c>
      <c r="G298" s="295">
        <f t="shared" si="105"/>
        <v>2.484367249966288E-3</v>
      </c>
    </row>
    <row r="299" spans="1:7">
      <c r="A299" s="277">
        <v>2005</v>
      </c>
      <c r="B299" s="294">
        <f t="shared" ref="B299:G299" si="106">+B271/B285</f>
        <v>2.5248436047972667E-3</v>
      </c>
      <c r="C299" s="294">
        <f t="shared" si="106"/>
        <v>2.459350142460437E-3</v>
      </c>
      <c r="D299" s="294">
        <f t="shared" si="106"/>
        <v>2.1216639471312343E-3</v>
      </c>
      <c r="E299" s="294">
        <f t="shared" si="106"/>
        <v>2.6259814626584102E-3</v>
      </c>
      <c r="F299" s="294">
        <f t="shared" si="106"/>
        <v>2.7777777777777775E-3</v>
      </c>
      <c r="G299" s="295">
        <f t="shared" si="106"/>
        <v>2.4645773568005287E-3</v>
      </c>
    </row>
    <row r="300" spans="1:7">
      <c r="A300" s="278">
        <v>2006</v>
      </c>
      <c r="B300" s="294">
        <f t="shared" ref="B300:G300" si="107">+B272/B286</f>
        <v>2.503434790115461E-3</v>
      </c>
      <c r="C300" s="294">
        <f t="shared" si="107"/>
        <v>2.2504944560209311E-3</v>
      </c>
      <c r="D300" s="294">
        <f t="shared" si="107"/>
        <v>2.2159058477350694E-3</v>
      </c>
      <c r="E300" s="294">
        <f t="shared" si="107"/>
        <v>2.6389247248903417E-3</v>
      </c>
      <c r="F300" s="294">
        <f t="shared" si="107"/>
        <v>2.7777777777777783E-3</v>
      </c>
      <c r="G300" s="295">
        <f t="shared" si="107"/>
        <v>2.4305014329812943E-3</v>
      </c>
    </row>
    <row r="301" spans="1:7">
      <c r="A301" s="277">
        <v>2007</v>
      </c>
      <c r="B301" s="294">
        <f t="shared" ref="B301:G301" si="108">+B273/B287</f>
        <v>2.4698038161329507E-3</v>
      </c>
      <c r="C301" s="294">
        <f t="shared" si="108"/>
        <v>2.1994813097800056E-3</v>
      </c>
      <c r="D301" s="294">
        <f t="shared" si="108"/>
        <v>2.0605468969061391E-3</v>
      </c>
      <c r="E301" s="294">
        <f t="shared" si="108"/>
        <v>2.6523720233074875E-3</v>
      </c>
      <c r="F301" s="294">
        <f t="shared" si="108"/>
        <v>2.777777777777777E-3</v>
      </c>
      <c r="G301" s="295">
        <f t="shared" si="108"/>
        <v>2.3623643960756259E-3</v>
      </c>
    </row>
    <row r="302" spans="1:7">
      <c r="A302" s="278">
        <v>2008</v>
      </c>
      <c r="B302" s="296">
        <f t="shared" ref="B302:G302" si="109">+B274/B288</f>
        <v>2.4854909003617508E-3</v>
      </c>
      <c r="C302" s="296">
        <f t="shared" si="109"/>
        <v>2.6717234647081907E-3</v>
      </c>
      <c r="D302" s="296">
        <f t="shared" si="109"/>
        <v>1.9962947195516709E-3</v>
      </c>
      <c r="E302" s="296">
        <f t="shared" si="109"/>
        <v>2.7235693780691436E-3</v>
      </c>
      <c r="F302" s="296">
        <f t="shared" si="109"/>
        <v>2.7777777777777788E-3</v>
      </c>
      <c r="G302" s="297">
        <f t="shared" si="109"/>
        <v>2.408958376996726E-3</v>
      </c>
    </row>
    <row r="303" spans="1:7">
      <c r="A303" s="277">
        <v>2009</v>
      </c>
      <c r="B303" s="296">
        <f t="shared" ref="B303:G303" si="110">+B275/B289</f>
        <v>2.462955019813768E-3</v>
      </c>
      <c r="C303" s="296">
        <f t="shared" si="110"/>
        <v>2.4331956480715612E-3</v>
      </c>
      <c r="D303" s="296">
        <f t="shared" si="110"/>
        <v>2.1813876584782736E-3</v>
      </c>
      <c r="E303" s="296">
        <f t="shared" si="110"/>
        <v>2.6503617943305132E-3</v>
      </c>
      <c r="F303" s="296">
        <f t="shared" si="110"/>
        <v>2.7777777777777779E-3</v>
      </c>
      <c r="G303" s="297">
        <f t="shared" si="110"/>
        <v>2.4139137449221541E-3</v>
      </c>
    </row>
    <row r="304" spans="1:7">
      <c r="A304" s="278">
        <v>2010</v>
      </c>
      <c r="B304" s="296">
        <f t="shared" ref="B304:G304" si="111">+B276/B290</f>
        <v>2.4539161519527464E-3</v>
      </c>
      <c r="C304" s="296">
        <f t="shared" si="111"/>
        <v>2.1131485440291273E-3</v>
      </c>
      <c r="D304" s="296">
        <f t="shared" si="111"/>
        <v>2.4156154066849169E-3</v>
      </c>
      <c r="E304" s="296">
        <f t="shared" si="111"/>
        <v>2.6500052167722295E-3</v>
      </c>
      <c r="F304" s="296">
        <f t="shared" si="111"/>
        <v>2.7777777777777783E-3</v>
      </c>
      <c r="G304" s="297">
        <f t="shared" si="111"/>
        <v>2.4280343927931395E-3</v>
      </c>
    </row>
    <row r="305" spans="1:7">
      <c r="A305" s="278">
        <v>2011</v>
      </c>
      <c r="B305" s="296">
        <f t="shared" ref="B305:G305" si="112">+B277/B291</f>
        <v>2.411647008717873E-3</v>
      </c>
      <c r="C305" s="296">
        <f t="shared" si="112"/>
        <v>2.2178709514627695E-3</v>
      </c>
      <c r="D305" s="296">
        <f t="shared" si="112"/>
        <v>2.411522768879658E-3</v>
      </c>
      <c r="E305" s="296">
        <f t="shared" si="112"/>
        <v>2.7143230134115647E-3</v>
      </c>
      <c r="F305" s="296">
        <f t="shared" si="112"/>
        <v>2.7923601027588516E-3</v>
      </c>
      <c r="G305" s="297">
        <f t="shared" si="112"/>
        <v>2.4030184187901907E-3</v>
      </c>
    </row>
    <row r="306" spans="1:7">
      <c r="A306" s="278">
        <v>2012</v>
      </c>
      <c r="B306" s="296">
        <f>+B278/B292</f>
        <v>2.5017814270673357E-3</v>
      </c>
      <c r="C306" s="296">
        <f t="shared" ref="C306:G307" si="113">+C278/C292</f>
        <v>2.1942659714294585E-3</v>
      </c>
      <c r="D306" s="296">
        <f t="shared" si="113"/>
        <v>2.3713838069508312E-3</v>
      </c>
      <c r="E306" s="296">
        <f t="shared" si="113"/>
        <v>2.7338065356517171E-3</v>
      </c>
      <c r="F306" s="296">
        <f t="shared" si="113"/>
        <v>2.7923601027588516E-3</v>
      </c>
      <c r="G306" s="297">
        <f t="shared" si="113"/>
        <v>2.45843637768487E-3</v>
      </c>
    </row>
    <row r="307" spans="1:7">
      <c r="A307" s="278">
        <v>2013</v>
      </c>
      <c r="B307" s="294">
        <f>+B279/B293</f>
        <v>2.5060180586312319E-3</v>
      </c>
      <c r="C307" s="294">
        <f t="shared" si="113"/>
        <v>2.2191918441852791E-3</v>
      </c>
      <c r="D307" s="294">
        <f t="shared" si="113"/>
        <v>2.3617314554482531E-3</v>
      </c>
      <c r="E307" s="294">
        <f t="shared" si="113"/>
        <v>2.7937906368045748E-3</v>
      </c>
      <c r="F307" s="294">
        <f t="shared" si="113"/>
        <v>2.7923601027588516E-3</v>
      </c>
      <c r="G307" s="295">
        <f t="shared" si="113"/>
        <v>2.4612490344509143E-3</v>
      </c>
    </row>
    <row r="308" spans="1:7">
      <c r="A308" s="288" t="s">
        <v>244</v>
      </c>
      <c r="B308" s="298">
        <f>+'Rate Class Load Model'!B43</f>
        <v>2.5310329652269521E-3</v>
      </c>
      <c r="C308" s="298">
        <f>+'Rate Class Load Model'!C43</f>
        <v>2.2717235940193283E-3</v>
      </c>
      <c r="D308" s="298">
        <f>+'Rate Class Load Model'!D43</f>
        <v>2.2046064532645539E-3</v>
      </c>
      <c r="E308" s="298">
        <f>+'Rate Class Load Model'!E43</f>
        <v>2.6962771571829355E-3</v>
      </c>
      <c r="F308" s="298">
        <f>+'Rate Class Load Model'!F43</f>
        <v>2.9319574238154734E-3</v>
      </c>
      <c r="G308" s="300">
        <f>+'Rate Class Load Model'!G43</f>
        <v>2.4359006905262355E-3</v>
      </c>
    </row>
    <row r="309" spans="1:7" ht="13.8" thickBot="1">
      <c r="A309" s="290" t="s">
        <v>242</v>
      </c>
      <c r="B309" s="299">
        <f>GEOMEAN(B297:B307)</f>
        <v>2.5283029361446705E-3</v>
      </c>
      <c r="C309" s="299">
        <f t="shared" ref="C309:G309" si="114">GEOMEAN(C297:C307)</f>
        <v>2.26565673665142E-3</v>
      </c>
      <c r="D309" s="299">
        <f t="shared" si="114"/>
        <v>2.1993870775915722E-3</v>
      </c>
      <c r="E309" s="299">
        <f t="shared" si="114"/>
        <v>2.6957213565316205E-3</v>
      </c>
      <c r="F309" s="299">
        <f t="shared" si="114"/>
        <v>2.9023217802533617E-3</v>
      </c>
      <c r="G309" s="301">
        <f t="shared" si="114"/>
        <v>2.4356380918171146E-3</v>
      </c>
    </row>
    <row r="310" spans="1:7" ht="13.8" thickBot="1"/>
    <row r="311" spans="1:7" ht="23.4" thickBot="1">
      <c r="A311" s="257" t="s">
        <v>112</v>
      </c>
      <c r="B311" s="250" t="s">
        <v>235</v>
      </c>
      <c r="C311" s="250" t="s">
        <v>74</v>
      </c>
      <c r="D311" s="250" t="s">
        <v>237</v>
      </c>
      <c r="E311" s="250" t="s">
        <v>238</v>
      </c>
      <c r="F311" s="250" t="s">
        <v>239</v>
      </c>
      <c r="G311" s="251" t="s">
        <v>9</v>
      </c>
    </row>
    <row r="312" spans="1:7">
      <c r="A312" s="280" t="s">
        <v>292</v>
      </c>
      <c r="B312" s="281"/>
      <c r="C312" s="281"/>
      <c r="D312" s="281"/>
      <c r="E312" s="281"/>
      <c r="F312" s="281"/>
      <c r="G312" s="282"/>
    </row>
    <row r="313" spans="1:7">
      <c r="A313" s="278" t="str">
        <f>+A259</f>
        <v>2014 Bridge Year (Regression)</v>
      </c>
      <c r="B313" s="252">
        <f ca="1">+D259*B$308</f>
        <v>885167.7583674388</v>
      </c>
      <c r="C313" s="252">
        <f t="shared" ref="C313:F313" ca="1" si="115">+E259*C$308</f>
        <v>99132.011955871945</v>
      </c>
      <c r="D313" s="252">
        <f t="shared" ca="1" si="115"/>
        <v>159223.35128291009</v>
      </c>
      <c r="E313" s="423">
        <f t="shared" ca="1" si="115"/>
        <v>24692.191175639095</v>
      </c>
      <c r="F313" s="252">
        <f t="shared" ca="1" si="115"/>
        <v>101.90231251042215</v>
      </c>
      <c r="G313" s="286">
        <f t="shared" ref="G313:G318" ca="1" si="116">SUM(B313:F313)</f>
        <v>1168317.2150943705</v>
      </c>
    </row>
    <row r="314" spans="1:7">
      <c r="A314" s="278" t="str">
        <f t="shared" ref="A314:A318" si="117">+A260</f>
        <v>2015 Test Year (Regression)</v>
      </c>
      <c r="B314" s="252">
        <f t="shared" ref="B314:B318" ca="1" si="118">+D260*B$308</f>
        <v>925860.31500612909</v>
      </c>
      <c r="C314" s="252">
        <f t="shared" ref="C314:F314" ca="1" si="119">+E260*C$308</f>
        <v>102200.49872919476</v>
      </c>
      <c r="D314" s="252">
        <f t="shared" ca="1" si="119"/>
        <v>146299.40546630297</v>
      </c>
      <c r="E314" s="423">
        <f t="shared" ca="1" si="119"/>
        <v>18601.549507485201</v>
      </c>
      <c r="F314" s="252">
        <f t="shared" ca="1" si="119"/>
        <v>98.894464114702075</v>
      </c>
      <c r="G314" s="286">
        <f t="shared" ca="1" si="116"/>
        <v>1193060.6631732266</v>
      </c>
    </row>
    <row r="315" spans="1:7">
      <c r="A315" s="278" t="str">
        <f t="shared" si="117"/>
        <v>2016 Test Year (Regression)</v>
      </c>
      <c r="B315" s="252">
        <f t="shared" ca="1" si="118"/>
        <v>969530.29030013748</v>
      </c>
      <c r="C315" s="252">
        <f t="shared" ref="C315:F315" ca="1" si="120">+E261*C$308</f>
        <v>105270.16360683765</v>
      </c>
      <c r="D315" s="252">
        <f t="shared" ca="1" si="120"/>
        <v>135628.05530239493</v>
      </c>
      <c r="E315" s="423">
        <f t="shared" ca="1" si="120"/>
        <v>12409.738229211556</v>
      </c>
      <c r="F315" s="252">
        <f t="shared" ca="1" si="120"/>
        <v>95.88995425459909</v>
      </c>
      <c r="G315" s="286">
        <f t="shared" ca="1" si="116"/>
        <v>1222934.1373928364</v>
      </c>
    </row>
    <row r="316" spans="1:7">
      <c r="A316" s="278" t="str">
        <f t="shared" si="117"/>
        <v>2017 Test Year (Regression)</v>
      </c>
      <c r="B316" s="252">
        <f t="shared" ca="1" si="118"/>
        <v>1007043.2094728614</v>
      </c>
      <c r="C316" s="252">
        <f t="shared" ref="C316:F316" ca="1" si="121">+E262*C$308</f>
        <v>108163.5042224795</v>
      </c>
      <c r="D316" s="252">
        <f t="shared" ca="1" si="121"/>
        <v>123597.77480517743</v>
      </c>
      <c r="E316" s="423">
        <f t="shared" ca="1" si="121"/>
        <v>12751.913831654809</v>
      </c>
      <c r="F316" s="252">
        <f t="shared" ca="1" si="121"/>
        <v>92.746474393525105</v>
      </c>
      <c r="G316" s="286">
        <f t="shared" ca="1" si="116"/>
        <v>1251649.1488065664</v>
      </c>
    </row>
    <row r="317" spans="1:7">
      <c r="A317" s="278" t="str">
        <f t="shared" si="117"/>
        <v>2018 Test Year (Regression)</v>
      </c>
      <c r="B317" s="252">
        <f t="shared" ca="1" si="118"/>
        <v>1047446.6445235453</v>
      </c>
      <c r="C317" s="252">
        <f t="shared" ref="C317:F317" ca="1" si="122">+E263*C$308</f>
        <v>111043.2337091496</v>
      </c>
      <c r="D317" s="252">
        <f t="shared" ca="1" si="122"/>
        <v>113638.86721890194</v>
      </c>
      <c r="E317" s="423">
        <f t="shared" ca="1" si="122"/>
        <v>13101.192940163424</v>
      </c>
      <c r="F317" s="252">
        <f t="shared" ca="1" si="122"/>
        <v>89.630869274067337</v>
      </c>
      <c r="G317" s="286">
        <f t="shared" ca="1" si="116"/>
        <v>1285319.5692610343</v>
      </c>
    </row>
    <row r="318" spans="1:7" ht="13.8" thickBot="1">
      <c r="A318" s="279" t="str">
        <f t="shared" si="117"/>
        <v>2019 Test Year (Regression)</v>
      </c>
      <c r="B318" s="265">
        <f t="shared" ca="1" si="118"/>
        <v>1088365.6590200269</v>
      </c>
      <c r="C318" s="265">
        <f t="shared" ref="C318:F318" ca="1" si="123">+E264*C$308</f>
        <v>113942.83705040404</v>
      </c>
      <c r="D318" s="265">
        <f t="shared" ca="1" si="123"/>
        <v>104295.4656668711</v>
      </c>
      <c r="E318" s="424">
        <f t="shared" ca="1" si="123"/>
        <v>13457.621329861753</v>
      </c>
      <c r="F318" s="265">
        <f t="shared" ca="1" si="123"/>
        <v>86.576770934504481</v>
      </c>
      <c r="G318" s="287">
        <f t="shared" ca="1" si="116"/>
        <v>1320148.1598380981</v>
      </c>
    </row>
    <row r="320" spans="1:7">
      <c r="B320" s="172"/>
      <c r="C320" s="172"/>
      <c r="D320" s="172"/>
      <c r="E320" s="172"/>
      <c r="F320" s="172"/>
      <c r="G320" s="17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43"/>
  <sheetViews>
    <sheetView workbookViewId="0"/>
  </sheetViews>
  <sheetFormatPr defaultRowHeight="13.2"/>
  <cols>
    <col min="1" max="1" width="11.8867187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4" customWidth="1"/>
    <col min="6" max="6" width="10.109375" style="1" customWidth="1"/>
    <col min="7" max="8" width="12.44140625" style="1" customWidth="1"/>
    <col min="9" max="9" width="12.5546875" style="6" customWidth="1"/>
    <col min="10" max="10" width="19.88671875" style="6" customWidth="1"/>
    <col min="11" max="11" width="11.5546875" style="6" customWidth="1"/>
    <col min="12" max="12" width="9.33203125" style="6" customWidth="1"/>
    <col min="13" max="13" width="27.33203125" style="6" bestFit="1" customWidth="1"/>
    <col min="14" max="14" width="13" style="6" bestFit="1" customWidth="1"/>
    <col min="15" max="15" width="20.5546875" style="6" bestFit="1" customWidth="1"/>
    <col min="16" max="16" width="19" style="6" bestFit="1" customWidth="1"/>
    <col min="17" max="17" width="9.5546875" style="6" bestFit="1" customWidth="1"/>
    <col min="18" max="18" width="13.5546875" bestFit="1" customWidth="1"/>
    <col min="19" max="19" width="13" bestFit="1" customWidth="1"/>
    <col min="20" max="20" width="13.5546875" bestFit="1" customWidth="1"/>
    <col min="21" max="21" width="13" bestFit="1" customWidth="1"/>
  </cols>
  <sheetData>
    <row r="2" spans="1:18" ht="42" customHeight="1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80"/>
      <c r="M2" t="s">
        <v>18</v>
      </c>
      <c r="N2"/>
      <c r="O2"/>
      <c r="P2"/>
      <c r="Q2"/>
    </row>
    <row r="3" spans="1:18" ht="13.8" thickBot="1">
      <c r="A3" s="3">
        <v>37622</v>
      </c>
      <c r="B3" s="59">
        <v>891460</v>
      </c>
      <c r="C3" s="186">
        <f>+'Purchased Power Model '!C3</f>
        <v>786</v>
      </c>
      <c r="D3" s="186">
        <f>+'Purchased Power Model '!D3</f>
        <v>0</v>
      </c>
      <c r="E3" s="103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10151</v>
      </c>
      <c r="I3" s="193">
        <f>$N$18+C3*$N$19+D3*$N$20+E3*$N$21+F3*$N$22+G3*$N$23+H3*$N$24</f>
        <v>913378.4597167914</v>
      </c>
      <c r="J3" s="36">
        <f>I3-B3</f>
        <v>21918.459716791403</v>
      </c>
      <c r="K3" s="5">
        <f>J3/B3</f>
        <v>2.4587148853332064E-2</v>
      </c>
      <c r="M3"/>
      <c r="N3"/>
      <c r="O3"/>
      <c r="P3"/>
      <c r="Q3"/>
    </row>
    <row r="4" spans="1:18">
      <c r="A4" s="3">
        <v>37653</v>
      </c>
      <c r="B4" s="59">
        <v>880341</v>
      </c>
      <c r="C4" s="186">
        <f>+'Purchased Power Model '!C4</f>
        <v>686.5</v>
      </c>
      <c r="D4" s="186">
        <f>+'Purchased Power Model '!D4</f>
        <v>0</v>
      </c>
      <c r="E4" s="103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10151</v>
      </c>
      <c r="I4" s="193">
        <f t="shared" ref="I4:I67" si="0">$N$18+C4*$N$19+D4*$N$20+E4*$N$21+F4*$N$22+G4*$N$23+H4*$N$24</f>
        <v>1000532.1944818468</v>
      </c>
      <c r="J4" s="36">
        <f t="shared" ref="J4:J67" si="1">I4-B4</f>
        <v>120191.19448184676</v>
      </c>
      <c r="K4" s="5">
        <f t="shared" ref="K4:K67" si="2">J4/B4</f>
        <v>0.13652799822096978</v>
      </c>
      <c r="M4" s="53" t="s">
        <v>19</v>
      </c>
      <c r="N4" s="53"/>
      <c r="O4"/>
      <c r="P4"/>
      <c r="Q4"/>
    </row>
    <row r="5" spans="1:18">
      <c r="A5" s="3">
        <v>37681</v>
      </c>
      <c r="B5" s="59">
        <v>725424</v>
      </c>
      <c r="C5" s="186">
        <f>+'Purchased Power Model '!C5</f>
        <v>572.5</v>
      </c>
      <c r="D5" s="186">
        <f>+'Purchased Power Model '!D5</f>
        <v>0</v>
      </c>
      <c r="E5" s="103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10151</v>
      </c>
      <c r="I5" s="193">
        <f t="shared" si="0"/>
        <v>826515.12428772578</v>
      </c>
      <c r="J5" s="36">
        <f t="shared" si="1"/>
        <v>101091.12428772578</v>
      </c>
      <c r="K5" s="5">
        <f t="shared" si="2"/>
        <v>0.13935453512390791</v>
      </c>
      <c r="M5" s="35" t="s">
        <v>20</v>
      </c>
      <c r="N5" s="95">
        <v>0.64601298956439934</v>
      </c>
      <c r="O5"/>
      <c r="P5"/>
      <c r="Q5"/>
    </row>
    <row r="6" spans="1:18">
      <c r="A6" s="3">
        <v>37712</v>
      </c>
      <c r="B6" s="59">
        <v>718245.99001238751</v>
      </c>
      <c r="C6" s="186">
        <f>+'Purchased Power Model '!C6</f>
        <v>403.9</v>
      </c>
      <c r="D6" s="186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10151</v>
      </c>
      <c r="I6" s="193">
        <f t="shared" si="0"/>
        <v>809705.05336373008</v>
      </c>
      <c r="J6" s="36">
        <f t="shared" si="1"/>
        <v>91459.063351342571</v>
      </c>
      <c r="K6" s="5">
        <f t="shared" si="2"/>
        <v>0.12733668495631306</v>
      </c>
      <c r="M6" s="35" t="s">
        <v>21</v>
      </c>
      <c r="N6" s="95">
        <v>0.41733278268593277</v>
      </c>
      <c r="O6"/>
      <c r="P6"/>
      <c r="Q6"/>
    </row>
    <row r="7" spans="1:18">
      <c r="A7" s="3">
        <v>37742</v>
      </c>
      <c r="B7" s="59">
        <v>612166.00998761237</v>
      </c>
      <c r="C7" s="186">
        <f>+'Purchased Power Model '!C7</f>
        <v>192</v>
      </c>
      <c r="D7" s="186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10151</v>
      </c>
      <c r="I7" s="193">
        <f t="shared" si="0"/>
        <v>678581.18848179828</v>
      </c>
      <c r="J7" s="36">
        <f t="shared" si="1"/>
        <v>66415.178494185908</v>
      </c>
      <c r="K7" s="5">
        <f t="shared" si="2"/>
        <v>0.10849210411981199</v>
      </c>
      <c r="M7" s="35" t="s">
        <v>22</v>
      </c>
      <c r="N7" s="95">
        <v>0.3893647562548575</v>
      </c>
      <c r="O7"/>
      <c r="P7"/>
      <c r="Q7"/>
    </row>
    <row r="8" spans="1:18">
      <c r="A8" s="3">
        <v>37773</v>
      </c>
      <c r="B8" s="59">
        <v>565234</v>
      </c>
      <c r="C8" s="186">
        <f>+'Purchased Power Model '!C8</f>
        <v>55.1</v>
      </c>
      <c r="D8" s="186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10151</v>
      </c>
      <c r="I8" s="193">
        <f t="shared" si="0"/>
        <v>624474.35174703586</v>
      </c>
      <c r="J8" s="36">
        <f t="shared" si="1"/>
        <v>59240.351747035864</v>
      </c>
      <c r="K8" s="5">
        <f t="shared" si="2"/>
        <v>0.10480677338418401</v>
      </c>
      <c r="M8" s="35" t="s">
        <v>23</v>
      </c>
      <c r="N8" s="67">
        <v>182561.28773794725</v>
      </c>
      <c r="O8"/>
      <c r="P8"/>
      <c r="Q8"/>
    </row>
    <row r="9" spans="1:18" ht="13.8" thickBot="1">
      <c r="A9" s="3">
        <v>37803</v>
      </c>
      <c r="B9" s="59">
        <v>501712</v>
      </c>
      <c r="C9" s="186">
        <f>+'Purchased Power Model '!C9</f>
        <v>5.7</v>
      </c>
      <c r="D9" s="186">
        <f>+'Purchased Power Model '!D9</f>
        <v>59.1</v>
      </c>
      <c r="E9" s="103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10151</v>
      </c>
      <c r="I9" s="193">
        <f t="shared" si="0"/>
        <v>521999.23674908315</v>
      </c>
      <c r="J9" s="36">
        <f t="shared" si="1"/>
        <v>20287.236749083153</v>
      </c>
      <c r="K9" s="5">
        <f t="shared" si="2"/>
        <v>4.0436020563756003E-2</v>
      </c>
      <c r="M9" s="51" t="s">
        <v>24</v>
      </c>
      <c r="N9" s="68">
        <v>132</v>
      </c>
      <c r="O9"/>
      <c r="P9"/>
      <c r="Q9"/>
    </row>
    <row r="10" spans="1:18">
      <c r="A10" s="3">
        <v>37834</v>
      </c>
      <c r="B10" s="59">
        <v>545972</v>
      </c>
      <c r="C10" s="186">
        <f>+'Purchased Power Model '!C10</f>
        <v>10.4</v>
      </c>
      <c r="D10" s="186">
        <f>+'Purchased Power Model '!D10</f>
        <v>106.5</v>
      </c>
      <c r="E10" s="103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10151</v>
      </c>
      <c r="I10" s="193">
        <f t="shared" si="0"/>
        <v>466020.74846565549</v>
      </c>
      <c r="J10" s="36">
        <f t="shared" si="1"/>
        <v>-79951.251534344512</v>
      </c>
      <c r="K10" s="5">
        <f t="shared" si="2"/>
        <v>-0.14643837327618359</v>
      </c>
      <c r="M10"/>
      <c r="N10"/>
      <c r="O10"/>
      <c r="P10"/>
      <c r="Q10"/>
    </row>
    <row r="11" spans="1:18" ht="13.8" thickBot="1">
      <c r="A11" s="3">
        <v>37865</v>
      </c>
      <c r="B11" s="59">
        <v>607347</v>
      </c>
      <c r="C11" s="186">
        <f>+'Purchased Power Model '!C11</f>
        <v>55.2</v>
      </c>
      <c r="D11" s="186">
        <f>+'Purchased Power Model '!D11</f>
        <v>12.1</v>
      </c>
      <c r="E11" s="103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10151</v>
      </c>
      <c r="I11" s="193">
        <f t="shared" si="0"/>
        <v>644990.57821785531</v>
      </c>
      <c r="J11" s="36">
        <f t="shared" si="1"/>
        <v>37643.578217855305</v>
      </c>
      <c r="K11" s="5">
        <f t="shared" si="2"/>
        <v>6.198034767250897E-2</v>
      </c>
      <c r="M11" t="s">
        <v>25</v>
      </c>
      <c r="N11"/>
      <c r="O11"/>
      <c r="P11"/>
      <c r="Q11"/>
    </row>
    <row r="12" spans="1:18">
      <c r="A12" s="3">
        <v>37895</v>
      </c>
      <c r="B12" s="59">
        <v>680111</v>
      </c>
      <c r="C12" s="186">
        <f>+'Purchased Power Model '!C12</f>
        <v>289.7</v>
      </c>
      <c r="D12" s="186">
        <f>+'Purchased Power Model '!D12</f>
        <v>0</v>
      </c>
      <c r="E12" s="103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10151</v>
      </c>
      <c r="I12" s="193">
        <f t="shared" si="0"/>
        <v>708726.20865351299</v>
      </c>
      <c r="J12" s="36">
        <f t="shared" si="1"/>
        <v>28615.208653512993</v>
      </c>
      <c r="K12" s="5">
        <f t="shared" si="2"/>
        <v>4.2074321182149668E-2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>
      <c r="A13" s="3">
        <v>37926</v>
      </c>
      <c r="B13" s="59">
        <v>785882</v>
      </c>
      <c r="C13" s="186">
        <f>+'Purchased Power Model '!C13</f>
        <v>387.6</v>
      </c>
      <c r="D13" s="186">
        <f>+'Purchased Power Model '!D13</f>
        <v>0</v>
      </c>
      <c r="E13" s="103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10151</v>
      </c>
      <c r="I13" s="193">
        <f t="shared" si="0"/>
        <v>792367.97883141285</v>
      </c>
      <c r="J13" s="36">
        <f t="shared" si="1"/>
        <v>6485.9788314128527</v>
      </c>
      <c r="K13" s="5">
        <f t="shared" si="2"/>
        <v>8.2531204829896249E-3</v>
      </c>
      <c r="M13" s="35" t="s">
        <v>26</v>
      </c>
      <c r="N13" s="67">
        <v>6</v>
      </c>
      <c r="O13" s="67">
        <v>2983934674054.0591</v>
      </c>
      <c r="P13" s="67">
        <v>497322445675.67651</v>
      </c>
      <c r="Q13" s="67">
        <v>14.921781617820375</v>
      </c>
      <c r="R13" s="67">
        <v>8.1309325018372243E-13</v>
      </c>
    </row>
    <row r="14" spans="1:18">
      <c r="A14" s="3">
        <v>37956</v>
      </c>
      <c r="B14" s="59">
        <v>845885.5</v>
      </c>
      <c r="C14" s="186">
        <f>+'Purchased Power Model '!C14</f>
        <v>548.20000000000005</v>
      </c>
      <c r="D14" s="186">
        <f>+'Purchased Power Model '!D14</f>
        <v>0</v>
      </c>
      <c r="E14" s="103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10151</v>
      </c>
      <c r="I14" s="193">
        <f t="shared" si="0"/>
        <v>814332.47620259144</v>
      </c>
      <c r="J14" s="36">
        <f t="shared" si="1"/>
        <v>-31553.023797408561</v>
      </c>
      <c r="K14" s="5">
        <f t="shared" si="2"/>
        <v>-3.7301766961850703E-2</v>
      </c>
      <c r="M14" s="35" t="s">
        <v>27</v>
      </c>
      <c r="N14" s="67">
        <v>125</v>
      </c>
      <c r="O14" s="67">
        <v>4166077972567.1958</v>
      </c>
      <c r="P14" s="67">
        <v>33328623780.537567</v>
      </c>
      <c r="Q14" s="67"/>
      <c r="R14" s="67"/>
    </row>
    <row r="15" spans="1:18" ht="13.8" thickBot="1">
      <c r="A15" s="3">
        <v>37987</v>
      </c>
      <c r="B15" s="59">
        <v>907646</v>
      </c>
      <c r="C15" s="186">
        <f>+'Purchased Power Model '!C15</f>
        <v>828.8</v>
      </c>
      <c r="D15" s="186">
        <f>+'Purchased Power Model '!D15</f>
        <v>0</v>
      </c>
      <c r="E15" s="103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10373</v>
      </c>
      <c r="I15" s="193">
        <f t="shared" si="0"/>
        <v>945049.95552605903</v>
      </c>
      <c r="J15" s="36">
        <f t="shared" si="1"/>
        <v>37403.955526059028</v>
      </c>
      <c r="K15" s="5">
        <f t="shared" si="2"/>
        <v>4.120985001427762E-2</v>
      </c>
      <c r="M15" s="51" t="s">
        <v>9</v>
      </c>
      <c r="N15" s="68">
        <v>131</v>
      </c>
      <c r="O15" s="68">
        <v>7150012646621.2549</v>
      </c>
      <c r="P15" s="68"/>
      <c r="Q15" s="68"/>
      <c r="R15" s="68"/>
    </row>
    <row r="16" spans="1:18" ht="13.8" thickBot="1">
      <c r="A16" s="3">
        <v>38018</v>
      </c>
      <c r="B16" s="59">
        <v>891830</v>
      </c>
      <c r="C16" s="186">
        <f>+'Purchased Power Model '!C16</f>
        <v>615.6</v>
      </c>
      <c r="D16" s="186">
        <f>+'Purchased Power Model '!D16</f>
        <v>0</v>
      </c>
      <c r="E16" s="103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10373</v>
      </c>
      <c r="I16" s="193">
        <f t="shared" si="0"/>
        <v>941981.06839107699</v>
      </c>
      <c r="J16" s="36">
        <f t="shared" si="1"/>
        <v>50151.068391076988</v>
      </c>
      <c r="K16" s="5">
        <f t="shared" si="2"/>
        <v>5.6233888062833713E-2</v>
      </c>
      <c r="M16"/>
      <c r="N16"/>
      <c r="O16"/>
      <c r="P16"/>
      <c r="Q16"/>
    </row>
    <row r="17" spans="1:21">
      <c r="A17" s="3">
        <v>38047</v>
      </c>
      <c r="B17" s="59">
        <v>767788</v>
      </c>
      <c r="C17" s="186">
        <f>+'Purchased Power Model '!C17</f>
        <v>487.1</v>
      </c>
      <c r="D17" s="186">
        <f>+'Purchased Power Model '!D17</f>
        <v>0</v>
      </c>
      <c r="E17" s="103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10373</v>
      </c>
      <c r="I17" s="193">
        <f t="shared" si="0"/>
        <v>804790.08903509076</v>
      </c>
      <c r="J17" s="36">
        <f t="shared" si="1"/>
        <v>37002.089035090758</v>
      </c>
      <c r="K17" s="5">
        <f t="shared" si="2"/>
        <v>4.819310673661318E-2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>
      <c r="A18" s="3">
        <v>38078</v>
      </c>
      <c r="B18" s="59">
        <v>738766</v>
      </c>
      <c r="C18" s="186">
        <f>+'Purchased Power Model '!C18</f>
        <v>345</v>
      </c>
      <c r="D18" s="186">
        <f>+'Purchased Power Model '!D18</f>
        <v>0</v>
      </c>
      <c r="E18" s="103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10373</v>
      </c>
      <c r="I18" s="193">
        <f t="shared" si="0"/>
        <v>793157.54035463277</v>
      </c>
      <c r="J18" s="36">
        <f t="shared" si="1"/>
        <v>54391.540354632773</v>
      </c>
      <c r="K18" s="5">
        <f t="shared" si="2"/>
        <v>7.3624855982317508E-2</v>
      </c>
      <c r="M18" s="35" t="s">
        <v>28</v>
      </c>
      <c r="N18" s="67">
        <v>1387456.8893686724</v>
      </c>
      <c r="O18" s="67">
        <v>695239.22249020217</v>
      </c>
      <c r="P18" s="67">
        <v>1.9956539339065058</v>
      </c>
      <c r="Q18" s="67">
        <v>4.8145613441667574E-2</v>
      </c>
      <c r="R18" s="67">
        <v>11492.182321256492</v>
      </c>
      <c r="S18" s="67">
        <v>2763421.5964160883</v>
      </c>
      <c r="T18" s="67">
        <v>11492.182321256492</v>
      </c>
      <c r="U18" s="67">
        <v>2763421.5964160883</v>
      </c>
    </row>
    <row r="19" spans="1:21">
      <c r="A19" s="3">
        <v>38108</v>
      </c>
      <c r="B19" s="59">
        <v>620361</v>
      </c>
      <c r="C19" s="186">
        <f>+'Purchased Power Model '!C19</f>
        <v>177.5</v>
      </c>
      <c r="D19" s="186">
        <f>+'Purchased Power Model '!D19</f>
        <v>0</v>
      </c>
      <c r="E19" s="103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10373</v>
      </c>
      <c r="I19" s="193">
        <f t="shared" si="0"/>
        <v>680526.70183111331</v>
      </c>
      <c r="J19" s="36">
        <f t="shared" si="1"/>
        <v>60165.701831113314</v>
      </c>
      <c r="K19" s="5">
        <f t="shared" si="2"/>
        <v>9.6984984277079495E-2</v>
      </c>
      <c r="M19" s="35" t="s">
        <v>3</v>
      </c>
      <c r="N19" s="67">
        <v>416.50960266694705</v>
      </c>
      <c r="O19" s="67">
        <v>99.594189708951419</v>
      </c>
      <c r="P19" s="67">
        <v>4.1820672860950205</v>
      </c>
      <c r="Q19" s="67">
        <v>5.3925648390523723E-5</v>
      </c>
      <c r="R19" s="67">
        <v>219.40034065543367</v>
      </c>
      <c r="S19" s="67">
        <v>613.61886467846045</v>
      </c>
      <c r="T19" s="67">
        <v>219.40034065543367</v>
      </c>
      <c r="U19" s="67">
        <v>613.61886467846045</v>
      </c>
    </row>
    <row r="20" spans="1:21">
      <c r="A20" s="3">
        <v>38139</v>
      </c>
      <c r="B20" s="59">
        <v>571102</v>
      </c>
      <c r="C20" s="186">
        <f>+'Purchased Power Model '!C20</f>
        <v>73.2</v>
      </c>
      <c r="D20" s="186">
        <f>+'Purchased Power Model '!D20</f>
        <v>15.6</v>
      </c>
      <c r="E20" s="103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10373</v>
      </c>
      <c r="I20" s="193">
        <f t="shared" si="0"/>
        <v>658821.19385227677</v>
      </c>
      <c r="J20" s="36">
        <f t="shared" si="1"/>
        <v>87719.193852276774</v>
      </c>
      <c r="K20" s="5">
        <f t="shared" si="2"/>
        <v>0.15359636956669173</v>
      </c>
      <c r="M20" s="35" t="s">
        <v>4</v>
      </c>
      <c r="N20" s="67">
        <v>-1222.2802408430848</v>
      </c>
      <c r="O20" s="67">
        <v>736.86456056437078</v>
      </c>
      <c r="P20" s="67">
        <v>-1.6587583475407341</v>
      </c>
      <c r="Q20" s="67">
        <v>9.9671686567792087E-2</v>
      </c>
      <c r="R20" s="67">
        <v>-2680.6266580360043</v>
      </c>
      <c r="S20" s="67">
        <v>236.06617634983468</v>
      </c>
      <c r="T20" s="67">
        <v>-2680.6266580360043</v>
      </c>
      <c r="U20" s="67">
        <v>236.06617634983468</v>
      </c>
    </row>
    <row r="21" spans="1:21">
      <c r="A21" s="3">
        <v>38169</v>
      </c>
      <c r="B21" s="59">
        <v>568453.46031148627</v>
      </c>
      <c r="C21" s="186">
        <f>+'Purchased Power Model '!C21</f>
        <v>2</v>
      </c>
      <c r="D21" s="186">
        <f>+'Purchased Power Model '!D21</f>
        <v>69.3</v>
      </c>
      <c r="E21" s="103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10373</v>
      </c>
      <c r="I21" s="193">
        <f t="shared" si="0"/>
        <v>521835.77757773828</v>
      </c>
      <c r="J21" s="36">
        <f t="shared" si="1"/>
        <v>-46617.682733747992</v>
      </c>
      <c r="K21" s="5">
        <f t="shared" si="2"/>
        <v>-8.2007914435429166E-2</v>
      </c>
      <c r="M21" s="35" t="s">
        <v>218</v>
      </c>
      <c r="N21" s="67">
        <v>1171996.445427343</v>
      </c>
      <c r="O21" s="67">
        <v>1669080.7042949123</v>
      </c>
      <c r="P21" s="67">
        <v>0.70218081271417132</v>
      </c>
      <c r="Q21" s="67">
        <v>0.48387187791994202</v>
      </c>
      <c r="R21" s="67">
        <v>-2131321.4170167726</v>
      </c>
      <c r="S21" s="67">
        <v>4475314.3078714591</v>
      </c>
      <c r="T21" s="67">
        <v>-2131321.4170167726</v>
      </c>
      <c r="U21" s="67">
        <v>4475314.3078714591</v>
      </c>
    </row>
    <row r="22" spans="1:21">
      <c r="A22" s="3">
        <v>38200</v>
      </c>
      <c r="B22" s="59">
        <v>586217.63094622013</v>
      </c>
      <c r="C22" s="186">
        <f>+'Purchased Power Model '!C22</f>
        <v>19.600000000000001</v>
      </c>
      <c r="D22" s="186">
        <f>+'Purchased Power Model '!D22</f>
        <v>53.6</v>
      </c>
      <c r="E22" s="103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10373</v>
      </c>
      <c r="I22" s="193">
        <f t="shared" si="0"/>
        <v>548356.14636591286</v>
      </c>
      <c r="J22" s="36">
        <f t="shared" si="1"/>
        <v>-37861.484580307268</v>
      </c>
      <c r="K22" s="5">
        <f t="shared" si="2"/>
        <v>-6.4586055726769329E-2</v>
      </c>
      <c r="M22" s="35" t="s">
        <v>5</v>
      </c>
      <c r="N22" s="67">
        <v>-42865.480076805536</v>
      </c>
      <c r="O22" s="67">
        <v>20504.687053080143</v>
      </c>
      <c r="P22" s="67">
        <v>-2.0905210582263645</v>
      </c>
      <c r="Q22" s="67">
        <v>3.8596999612571702E-2</v>
      </c>
      <c r="R22" s="67">
        <v>-83446.800579746487</v>
      </c>
      <c r="S22" s="67">
        <v>-2284.1595738645919</v>
      </c>
      <c r="T22" s="67">
        <v>-83446.800579746487</v>
      </c>
      <c r="U22" s="67">
        <v>-2284.1595738645919</v>
      </c>
    </row>
    <row r="23" spans="1:21">
      <c r="A23" s="3">
        <v>38231</v>
      </c>
      <c r="B23" s="59">
        <v>621745.97221568797</v>
      </c>
      <c r="C23" s="186">
        <f>+'Purchased Power Model '!C23</f>
        <v>41.7</v>
      </c>
      <c r="D23" s="186">
        <f>+'Purchased Power Model '!D23</f>
        <v>26.7</v>
      </c>
      <c r="E23" s="103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10373</v>
      </c>
      <c r="I23" s="193">
        <f t="shared" si="0"/>
        <v>635367.29188066465</v>
      </c>
      <c r="J23" s="36">
        <f t="shared" si="1"/>
        <v>13621.319664976676</v>
      </c>
      <c r="K23" s="5">
        <f t="shared" si="2"/>
        <v>2.1908175161046876E-2</v>
      </c>
      <c r="M23" s="35" t="s">
        <v>17</v>
      </c>
      <c r="N23" s="67">
        <v>2061.4647403275853</v>
      </c>
      <c r="O23" s="67">
        <v>41307.383347304516</v>
      </c>
      <c r="P23" s="67">
        <v>4.9905478712974558E-2</v>
      </c>
      <c r="Q23" s="67">
        <v>0.96027736730823066</v>
      </c>
      <c r="R23" s="67">
        <v>-79690.973539533938</v>
      </c>
      <c r="S23" s="67">
        <v>83813.903020189115</v>
      </c>
      <c r="T23" s="67">
        <v>-79690.973539533938</v>
      </c>
      <c r="U23" s="67">
        <v>83813.903020189115</v>
      </c>
    </row>
    <row r="24" spans="1:21" ht="13.8" thickBot="1">
      <c r="A24" s="3">
        <v>38261</v>
      </c>
      <c r="B24" s="59">
        <v>721382</v>
      </c>
      <c r="C24" s="186">
        <f>+'Purchased Power Model '!C24</f>
        <v>235</v>
      </c>
      <c r="D24" s="186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10373</v>
      </c>
      <c r="I24" s="193">
        <f t="shared" si="0"/>
        <v>709163.98976617237</v>
      </c>
      <c r="J24" s="36">
        <f t="shared" si="1"/>
        <v>-12218.010233827634</v>
      </c>
      <c r="K24" s="5">
        <f t="shared" si="2"/>
        <v>-1.6936949125189751E-2</v>
      </c>
      <c r="M24" s="51" t="s">
        <v>59</v>
      </c>
      <c r="N24" s="68">
        <v>46.526556210992531</v>
      </c>
      <c r="O24" s="68">
        <v>35.141576170451899</v>
      </c>
      <c r="P24" s="68">
        <v>1.3239746556989516</v>
      </c>
      <c r="Q24" s="68">
        <v>0.18792747834044612</v>
      </c>
      <c r="R24" s="68">
        <v>-23.022984431101683</v>
      </c>
      <c r="S24" s="68">
        <v>116.07609685308674</v>
      </c>
      <c r="T24" s="68">
        <v>-23.022984431101683</v>
      </c>
      <c r="U24" s="68">
        <v>116.07609685308674</v>
      </c>
    </row>
    <row r="25" spans="1:21">
      <c r="A25" s="3">
        <v>38292</v>
      </c>
      <c r="B25" s="59">
        <v>849679</v>
      </c>
      <c r="C25" s="186">
        <f>+'Purchased Power Model '!C25</f>
        <v>385.7</v>
      </c>
      <c r="D25" s="186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10373</v>
      </c>
      <c r="I25" s="193">
        <f t="shared" si="0"/>
        <v>814797.46696488676</v>
      </c>
      <c r="J25" s="36">
        <f t="shared" si="1"/>
        <v>-34881.533035113243</v>
      </c>
      <c r="K25" s="5">
        <f t="shared" si="2"/>
        <v>-4.1052601082424353E-2</v>
      </c>
      <c r="M25"/>
      <c r="N25"/>
      <c r="O25"/>
      <c r="P25"/>
      <c r="Q25"/>
    </row>
    <row r="26" spans="1:21">
      <c r="A26" s="3">
        <v>38322</v>
      </c>
      <c r="B26" s="59">
        <v>898128</v>
      </c>
      <c r="C26" s="186">
        <f>+'Purchased Power Model '!C26</f>
        <v>627.5</v>
      </c>
      <c r="D26" s="186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10373</v>
      </c>
      <c r="I26" s="193">
        <f t="shared" si="0"/>
        <v>870582.5440726215</v>
      </c>
      <c r="J26" s="36">
        <f t="shared" si="1"/>
        <v>-27545.455927378498</v>
      </c>
      <c r="K26" s="5">
        <f t="shared" si="2"/>
        <v>-3.0669855440848631E-2</v>
      </c>
      <c r="M26"/>
      <c r="N26"/>
      <c r="O26"/>
      <c r="P26"/>
      <c r="Q26"/>
    </row>
    <row r="27" spans="1:21">
      <c r="A27" s="3">
        <v>38353</v>
      </c>
      <c r="B27" s="59">
        <v>978057</v>
      </c>
      <c r="C27" s="186">
        <f>+'Purchased Power Model '!C27</f>
        <v>745.5</v>
      </c>
      <c r="D27" s="186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10624</v>
      </c>
      <c r="I27" s="193">
        <f t="shared" si="0"/>
        <v>947816.79303226306</v>
      </c>
      <c r="J27" s="36">
        <f t="shared" si="1"/>
        <v>-30240.206967736944</v>
      </c>
      <c r="K27" s="5">
        <f t="shared" si="2"/>
        <v>-3.0918655014725054E-2</v>
      </c>
      <c r="M27"/>
      <c r="N27"/>
      <c r="O27"/>
      <c r="P27"/>
      <c r="Q27"/>
    </row>
    <row r="28" spans="1:21">
      <c r="A28" s="3">
        <v>38384</v>
      </c>
      <c r="B28" s="59">
        <v>949499</v>
      </c>
      <c r="C28" s="186">
        <f>+'Purchased Power Model '!C28</f>
        <v>589.5</v>
      </c>
      <c r="D28" s="186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10624</v>
      </c>
      <c r="I28" s="193">
        <f t="shared" si="0"/>
        <v>1011437.7352466361</v>
      </c>
      <c r="J28" s="36">
        <f t="shared" si="1"/>
        <v>61938.73524663609</v>
      </c>
      <c r="K28" s="5">
        <f t="shared" si="2"/>
        <v>6.5233070542081759E-2</v>
      </c>
    </row>
    <row r="29" spans="1:21">
      <c r="A29" s="3">
        <v>38412</v>
      </c>
      <c r="B29" s="59">
        <v>794528</v>
      </c>
      <c r="C29" s="186">
        <f>+'Purchased Power Model '!C29</f>
        <v>578.29999999999995</v>
      </c>
      <c r="D29" s="186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10624</v>
      </c>
      <c r="I29" s="193">
        <f t="shared" si="0"/>
        <v>880237.85220667731</v>
      </c>
      <c r="J29" s="36">
        <f t="shared" si="1"/>
        <v>85709.852206677315</v>
      </c>
      <c r="K29" s="5">
        <f t="shared" si="2"/>
        <v>0.10787518149980531</v>
      </c>
    </row>
    <row r="30" spans="1:21">
      <c r="A30" s="3">
        <v>38443</v>
      </c>
      <c r="B30" s="59">
        <v>791600</v>
      </c>
      <c r="C30" s="186">
        <f>+'Purchased Power Model '!C30</f>
        <v>325.3</v>
      </c>
      <c r="D30" s="186">
        <f>+'Purchased Power Model '!D30</f>
        <v>0</v>
      </c>
      <c r="E30" s="103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10624</v>
      </c>
      <c r="I30" s="193">
        <f t="shared" si="0"/>
        <v>808350.43124532641</v>
      </c>
      <c r="J30" s="36">
        <f t="shared" si="1"/>
        <v>16750.431245326414</v>
      </c>
      <c r="K30" s="5">
        <f t="shared" si="2"/>
        <v>2.1160221381160201E-2</v>
      </c>
    </row>
    <row r="31" spans="1:21">
      <c r="A31" s="3">
        <v>38473</v>
      </c>
      <c r="B31" s="59">
        <v>678279</v>
      </c>
      <c r="C31" s="186">
        <f>+'Purchased Power Model '!C31</f>
        <v>216.1</v>
      </c>
      <c r="D31" s="186">
        <f>+'Purchased Power Model '!D31</f>
        <v>0.3</v>
      </c>
      <c r="E31" s="103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10624</v>
      </c>
      <c r="I31" s="193">
        <f t="shared" si="0"/>
        <v>719635.4184850374</v>
      </c>
      <c r="J31" s="36">
        <f t="shared" si="1"/>
        <v>41356.4184850374</v>
      </c>
      <c r="K31" s="5">
        <f t="shared" si="2"/>
        <v>6.0972576896877836E-2</v>
      </c>
    </row>
    <row r="32" spans="1:21">
      <c r="A32" s="3">
        <v>38504</v>
      </c>
      <c r="B32" s="59">
        <v>623044</v>
      </c>
      <c r="C32" s="186">
        <f>+'Purchased Power Model '!C32</f>
        <v>13.7</v>
      </c>
      <c r="D32" s="186">
        <f>+'Purchased Power Model '!D32</f>
        <v>89.9</v>
      </c>
      <c r="E32" s="103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10624</v>
      </c>
      <c r="I32" s="193">
        <f t="shared" si="0"/>
        <v>566621.58066218498</v>
      </c>
      <c r="J32" s="36">
        <f t="shared" si="1"/>
        <v>-56422.419337815023</v>
      </c>
      <c r="K32" s="5">
        <f t="shared" si="2"/>
        <v>-9.0559285279715435E-2</v>
      </c>
    </row>
    <row r="33" spans="1:11">
      <c r="A33" s="3">
        <v>38534</v>
      </c>
      <c r="B33" s="59">
        <v>559827</v>
      </c>
      <c r="C33" s="186">
        <f>+'Purchased Power Model '!C33</f>
        <v>2.2000000000000002</v>
      </c>
      <c r="D33" s="186">
        <f>+'Purchased Power Model '!D33</f>
        <v>153</v>
      </c>
      <c r="E33" s="103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10624</v>
      </c>
      <c r="I33" s="193">
        <f t="shared" si="0"/>
        <v>434808.37828494667</v>
      </c>
      <c r="J33" s="36">
        <f t="shared" si="1"/>
        <v>-125018.62171505333</v>
      </c>
      <c r="K33" s="5">
        <f t="shared" si="2"/>
        <v>-0.22331652763273893</v>
      </c>
    </row>
    <row r="34" spans="1:11">
      <c r="A34" s="3">
        <v>38565</v>
      </c>
      <c r="B34" s="59">
        <v>606119</v>
      </c>
      <c r="C34" s="186">
        <f>+'Purchased Power Model '!C34</f>
        <v>0</v>
      </c>
      <c r="D34" s="186">
        <f>+'Purchased Power Model '!D34</f>
        <v>108</v>
      </c>
      <c r="E34" s="103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10624</v>
      </c>
      <c r="I34" s="193">
        <f t="shared" si="0"/>
        <v>488894.66799701808</v>
      </c>
      <c r="J34" s="36">
        <f t="shared" si="1"/>
        <v>-117224.33200298192</v>
      </c>
      <c r="K34" s="5">
        <f t="shared" si="2"/>
        <v>-0.19340151356908777</v>
      </c>
    </row>
    <row r="35" spans="1:11">
      <c r="A35" s="3">
        <v>38596</v>
      </c>
      <c r="B35" s="59">
        <v>674980</v>
      </c>
      <c r="C35" s="186">
        <f>+'Purchased Power Model '!C35</f>
        <v>36.700000000000003</v>
      </c>
      <c r="D35" s="186">
        <f>+'Purchased Power Model '!D35</f>
        <v>32.799999999999997</v>
      </c>
      <c r="E35" s="103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10624</v>
      </c>
      <c r="I35" s="193">
        <f t="shared" si="0"/>
        <v>641022.9893434284</v>
      </c>
      <c r="J35" s="36">
        <f t="shared" si="1"/>
        <v>-33957.010656571598</v>
      </c>
      <c r="K35" s="5">
        <f t="shared" si="2"/>
        <v>-5.0308173066715457E-2</v>
      </c>
    </row>
    <row r="36" spans="1:11">
      <c r="A36" s="3">
        <v>38626</v>
      </c>
      <c r="B36" s="59">
        <v>744249</v>
      </c>
      <c r="C36" s="186">
        <f>+'Purchased Power Model '!C36</f>
        <v>223.8</v>
      </c>
      <c r="D36" s="186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10624</v>
      </c>
      <c r="I36" s="193">
        <f t="shared" si="0"/>
        <v>726114.07571368606</v>
      </c>
      <c r="J36" s="36">
        <f t="shared" si="1"/>
        <v>-18134.924286313937</v>
      </c>
      <c r="K36" s="5">
        <f t="shared" si="2"/>
        <v>-2.4366743235548771E-2</v>
      </c>
    </row>
    <row r="37" spans="1:11">
      <c r="A37" s="3">
        <v>38657</v>
      </c>
      <c r="B37" s="59">
        <v>859234</v>
      </c>
      <c r="C37" s="186">
        <f>+'Purchased Power Model '!C37</f>
        <v>398.5</v>
      </c>
      <c r="D37" s="186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10624</v>
      </c>
      <c r="I37" s="193">
        <f t="shared" si="0"/>
        <v>842354.923496829</v>
      </c>
      <c r="J37" s="36">
        <f t="shared" si="1"/>
        <v>-16879.076503171003</v>
      </c>
      <c r="K37" s="5">
        <f t="shared" si="2"/>
        <v>-1.9644330302538079E-2</v>
      </c>
    </row>
    <row r="38" spans="1:11">
      <c r="A38" s="3">
        <v>38687</v>
      </c>
      <c r="B38" s="59">
        <v>923562</v>
      </c>
      <c r="C38" s="186">
        <f>+'Purchased Power Model '!C38</f>
        <v>641.1</v>
      </c>
      <c r="D38" s="186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10624</v>
      </c>
      <c r="I38" s="193">
        <f t="shared" si="0"/>
        <v>898473.20828669716</v>
      </c>
      <c r="J38" s="36">
        <f t="shared" si="1"/>
        <v>-25088.791713302839</v>
      </c>
      <c r="K38" s="5">
        <f t="shared" si="2"/>
        <v>-2.7165249017719263E-2</v>
      </c>
    </row>
    <row r="39" spans="1:11">
      <c r="A39" s="3">
        <v>38718</v>
      </c>
      <c r="B39" s="60">
        <v>986287</v>
      </c>
      <c r="C39" s="186">
        <f>+'Purchased Power Model '!C39</f>
        <v>558.20000000000005</v>
      </c>
      <c r="D39" s="186">
        <f>+'Purchased Power Model '!D39</f>
        <v>0</v>
      </c>
      <c r="E39" s="103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11038</v>
      </c>
      <c r="I39" s="193">
        <f t="shared" si="0"/>
        <v>882034.56005153083</v>
      </c>
      <c r="J39" s="36">
        <f t="shared" si="1"/>
        <v>-104252.43994846917</v>
      </c>
      <c r="K39" s="5">
        <f t="shared" si="2"/>
        <v>-0.10570193052171342</v>
      </c>
    </row>
    <row r="40" spans="1:11">
      <c r="A40" s="3">
        <v>38749</v>
      </c>
      <c r="B40" s="60">
        <v>965836</v>
      </c>
      <c r="C40" s="186">
        <f>+'Purchased Power Model '!C40</f>
        <v>608.79999999999995</v>
      </c>
      <c r="D40" s="186">
        <f>+'Purchased Power Model '!D40</f>
        <v>0</v>
      </c>
      <c r="E40" s="103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11038</v>
      </c>
      <c r="I40" s="193">
        <f t="shared" si="0"/>
        <v>1031706.3861768949</v>
      </c>
      <c r="J40" s="36">
        <f t="shared" si="1"/>
        <v>65870.386176894885</v>
      </c>
      <c r="K40" s="5">
        <f t="shared" si="2"/>
        <v>6.8200384099262074E-2</v>
      </c>
    </row>
    <row r="41" spans="1:11">
      <c r="A41" s="3">
        <v>38777</v>
      </c>
      <c r="B41" s="60">
        <v>814933</v>
      </c>
      <c r="C41" s="186">
        <f>+'Purchased Power Model '!C41</f>
        <v>534</v>
      </c>
      <c r="D41" s="186">
        <f>+'Purchased Power Model '!D41</f>
        <v>0</v>
      </c>
      <c r="E41" s="103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11038</v>
      </c>
      <c r="I41" s="193">
        <f t="shared" si="0"/>
        <v>874016.4924073182</v>
      </c>
      <c r="J41" s="36">
        <f t="shared" si="1"/>
        <v>59083.492407318205</v>
      </c>
      <c r="K41" s="5">
        <f t="shared" si="2"/>
        <v>7.2501042916801997E-2</v>
      </c>
    </row>
    <row r="42" spans="1:11">
      <c r="A42" s="3">
        <v>38808</v>
      </c>
      <c r="B42" s="60">
        <v>803774</v>
      </c>
      <c r="C42" s="186">
        <f>+'Purchased Power Model '!C42</f>
        <v>323.60000000000002</v>
      </c>
      <c r="D42" s="186">
        <f>+'Purchased Power Model '!D42</f>
        <v>0</v>
      </c>
      <c r="E42" s="103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11038</v>
      </c>
      <c r="I42" s="193">
        <f t="shared" si="0"/>
        <v>828076.35563757108</v>
      </c>
      <c r="J42" s="36">
        <f t="shared" si="1"/>
        <v>24302.355637571076</v>
      </c>
      <c r="K42" s="5">
        <f t="shared" si="2"/>
        <v>3.0235309474517809E-2</v>
      </c>
    </row>
    <row r="43" spans="1:11">
      <c r="A43" s="3">
        <v>38838</v>
      </c>
      <c r="B43" s="60">
        <v>691635</v>
      </c>
      <c r="C43" s="186">
        <f>+'Purchased Power Model '!C43</f>
        <v>172.6</v>
      </c>
      <c r="D43" s="186">
        <f>+'Purchased Power Model '!D43</f>
        <v>12.8</v>
      </c>
      <c r="E43" s="103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11038</v>
      </c>
      <c r="I43" s="193">
        <f t="shared" si="0"/>
        <v>706672.73847526475</v>
      </c>
      <c r="J43" s="36">
        <f t="shared" si="1"/>
        <v>15037.738475264749</v>
      </c>
      <c r="K43" s="5">
        <f t="shared" si="2"/>
        <v>2.1742304069725719E-2</v>
      </c>
    </row>
    <row r="44" spans="1:11">
      <c r="A44" s="3">
        <v>38869</v>
      </c>
      <c r="B44" s="60">
        <v>643096</v>
      </c>
      <c r="C44" s="186">
        <f>+'Purchased Power Model '!C44</f>
        <v>22.6</v>
      </c>
      <c r="D44" s="186">
        <f>+'Purchased Power Model '!D44</f>
        <v>36.200000000000003</v>
      </c>
      <c r="E44" s="103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11038</v>
      </c>
      <c r="I44" s="193">
        <f t="shared" si="0"/>
        <v>656398.95577597269</v>
      </c>
      <c r="J44" s="36">
        <f t="shared" si="1"/>
        <v>13302.955775972689</v>
      </c>
      <c r="K44" s="5">
        <f t="shared" si="2"/>
        <v>2.0685800838401557E-2</v>
      </c>
    </row>
    <row r="45" spans="1:11">
      <c r="A45" s="3">
        <v>38899</v>
      </c>
      <c r="B45" s="60">
        <v>580475</v>
      </c>
      <c r="C45" s="186">
        <f>+'Purchased Power Model '!C45</f>
        <v>1.7</v>
      </c>
      <c r="D45" s="186">
        <f>+'Purchased Power Model '!D45</f>
        <v>107.6</v>
      </c>
      <c r="E45" s="103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11038</v>
      </c>
      <c r="I45" s="193">
        <f t="shared" si="0"/>
        <v>519901.60869808635</v>
      </c>
      <c r="J45" s="36">
        <f t="shared" si="1"/>
        <v>-60573.391301913653</v>
      </c>
      <c r="K45" s="5">
        <f t="shared" si="2"/>
        <v>-0.10435142133927156</v>
      </c>
    </row>
    <row r="46" spans="1:11">
      <c r="A46" s="3">
        <v>38930</v>
      </c>
      <c r="B46" s="60">
        <v>620967</v>
      </c>
      <c r="C46" s="186">
        <f>+'Purchased Power Model '!C46</f>
        <v>4.4000000000000004</v>
      </c>
      <c r="D46" s="186">
        <f>+'Purchased Power Model '!D46</f>
        <v>82.1</v>
      </c>
      <c r="E46" s="103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11038</v>
      </c>
      <c r="I46" s="193">
        <f t="shared" si="0"/>
        <v>552194.33076678566</v>
      </c>
      <c r="J46" s="36">
        <f t="shared" si="1"/>
        <v>-68772.669233214343</v>
      </c>
      <c r="K46" s="5">
        <f t="shared" si="2"/>
        <v>-0.11075092433770932</v>
      </c>
    </row>
    <row r="47" spans="1:11">
      <c r="A47" s="3">
        <v>38961</v>
      </c>
      <c r="B47" s="60">
        <v>694246</v>
      </c>
      <c r="C47" s="186">
        <f>+'Purchased Power Model '!C47</f>
        <v>70.7</v>
      </c>
      <c r="D47" s="186">
        <f>+'Purchased Power Model '!D47</f>
        <v>5.0999999999999996</v>
      </c>
      <c r="E47" s="103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11038</v>
      </c>
      <c r="I47" s="193">
        <f t="shared" si="0"/>
        <v>718851.44078565505</v>
      </c>
      <c r="J47" s="36">
        <f t="shared" si="1"/>
        <v>24605.440785655053</v>
      </c>
      <c r="K47" s="5">
        <f t="shared" si="2"/>
        <v>3.5441962626583452E-2</v>
      </c>
    </row>
    <row r="48" spans="1:11">
      <c r="A48" s="3">
        <v>38991</v>
      </c>
      <c r="B48" s="60">
        <v>766235</v>
      </c>
      <c r="C48" s="186">
        <f>+'Purchased Power Model '!C48</f>
        <v>274.60000000000002</v>
      </c>
      <c r="D48" s="186">
        <f>+'Purchased Power Model '!D48</f>
        <v>0</v>
      </c>
      <c r="E48" s="103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11038</v>
      </c>
      <c r="I48" s="193">
        <f t="shared" si="0"/>
        <v>768317.89436636702</v>
      </c>
      <c r="J48" s="36">
        <f t="shared" si="1"/>
        <v>2082.8943663670216</v>
      </c>
      <c r="K48" s="5">
        <f t="shared" si="2"/>
        <v>2.718349287577599E-3</v>
      </c>
    </row>
    <row r="49" spans="1:11">
      <c r="A49" s="3">
        <v>39022</v>
      </c>
      <c r="B49" s="60">
        <v>886587</v>
      </c>
      <c r="C49" s="186">
        <f>+'Purchased Power Model '!C49</f>
        <v>367.5</v>
      </c>
      <c r="D49" s="186">
        <f>+'Purchased Power Model '!D49</f>
        <v>0</v>
      </c>
      <c r="E49" s="103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11038</v>
      </c>
      <c r="I49" s="193">
        <f t="shared" si="0"/>
        <v>849877.11653093202</v>
      </c>
      <c r="J49" s="36">
        <f t="shared" si="1"/>
        <v>-36709.88346906798</v>
      </c>
      <c r="K49" s="5">
        <f t="shared" si="2"/>
        <v>-4.1405844512797933E-2</v>
      </c>
    </row>
    <row r="50" spans="1:11">
      <c r="A50" s="3">
        <v>39052</v>
      </c>
      <c r="B50" s="60">
        <v>944454</v>
      </c>
      <c r="C50" s="186">
        <f>+'Purchased Power Model '!C50</f>
        <v>471.5</v>
      </c>
      <c r="D50" s="186">
        <f>+'Purchased Power Model '!D50</f>
        <v>0</v>
      </c>
      <c r="E50" s="103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11038</v>
      </c>
      <c r="I50" s="193">
        <f t="shared" si="0"/>
        <v>848267.17039116123</v>
      </c>
      <c r="J50" s="36">
        <f t="shared" si="1"/>
        <v>-96186.829608838772</v>
      </c>
      <c r="K50" s="5">
        <f t="shared" si="2"/>
        <v>-0.10184384798924963</v>
      </c>
    </row>
    <row r="51" spans="1:11">
      <c r="A51" s="3">
        <v>39083</v>
      </c>
      <c r="B51" s="60">
        <v>1025924</v>
      </c>
      <c r="C51" s="186">
        <f>+'Purchased Power Model '!C51</f>
        <v>573.1</v>
      </c>
      <c r="D51" s="186">
        <f>+'Purchased Power Model '!D51</f>
        <v>0</v>
      </c>
      <c r="E51" s="103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11523</v>
      </c>
      <c r="I51" s="193">
        <f t="shared" si="0"/>
        <v>904945.95066646289</v>
      </c>
      <c r="J51" s="36">
        <f t="shared" si="1"/>
        <v>-120978.04933353711</v>
      </c>
      <c r="K51" s="5">
        <f t="shared" si="2"/>
        <v>-0.11792106367872972</v>
      </c>
    </row>
    <row r="52" spans="1:11">
      <c r="A52" s="3">
        <v>39114</v>
      </c>
      <c r="B52" s="60">
        <v>999738</v>
      </c>
      <c r="C52" s="186">
        <f>+'Purchased Power Model '!C52</f>
        <v>693.5</v>
      </c>
      <c r="D52" s="186">
        <f>+'Purchased Power Model '!D52</f>
        <v>0</v>
      </c>
      <c r="E52" s="103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11523</v>
      </c>
      <c r="I52" s="193">
        <f t="shared" si="0"/>
        <v>1083690.1470579798</v>
      </c>
      <c r="J52" s="36">
        <f t="shared" si="1"/>
        <v>83952.147057979833</v>
      </c>
      <c r="K52" s="5">
        <f t="shared" si="2"/>
        <v>8.3974148284830463E-2</v>
      </c>
    </row>
    <row r="53" spans="1:11">
      <c r="A53" s="3">
        <v>39142</v>
      </c>
      <c r="B53" s="60">
        <v>838997</v>
      </c>
      <c r="C53" s="186">
        <f>+'Purchased Power Model '!C53</f>
        <v>477.9</v>
      </c>
      <c r="D53" s="186">
        <f>+'Purchased Power Model '!D53</f>
        <v>0</v>
      </c>
      <c r="E53" s="103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11523</v>
      </c>
      <c r="I53" s="193">
        <f t="shared" si="0"/>
        <v>867355.70123289723</v>
      </c>
      <c r="J53" s="36">
        <f t="shared" si="1"/>
        <v>28358.701232897234</v>
      </c>
      <c r="K53" s="5">
        <f t="shared" si="2"/>
        <v>3.3800718277773617E-2</v>
      </c>
    </row>
    <row r="54" spans="1:11">
      <c r="A54" s="3">
        <v>39173</v>
      </c>
      <c r="B54" s="60">
        <v>828764</v>
      </c>
      <c r="C54" s="186">
        <f>+'Purchased Power Model '!C54</f>
        <v>280.39999999999998</v>
      </c>
      <c r="D54" s="186">
        <f>+'Purchased Power Model '!D54</f>
        <v>0</v>
      </c>
      <c r="E54" s="103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11523</v>
      </c>
      <c r="I54" s="193">
        <f t="shared" si="0"/>
        <v>826788.5383375535</v>
      </c>
      <c r="J54" s="36">
        <f t="shared" si="1"/>
        <v>-1975.4616624464979</v>
      </c>
      <c r="K54" s="5">
        <f t="shared" si="2"/>
        <v>-2.3836238814023028E-3</v>
      </c>
    </row>
    <row r="55" spans="1:11">
      <c r="A55" s="3">
        <v>39203</v>
      </c>
      <c r="B55" s="60">
        <v>711436</v>
      </c>
      <c r="C55" s="186">
        <f>+'Purchased Power Model '!C55</f>
        <v>72.8</v>
      </c>
      <c r="D55" s="186">
        <f>+'Purchased Power Model '!D55</f>
        <v>4.5</v>
      </c>
      <c r="E55" s="103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11523</v>
      </c>
      <c r="I55" s="193">
        <f t="shared" si="0"/>
        <v>691955.40366329567</v>
      </c>
      <c r="J55" s="36">
        <f t="shared" si="1"/>
        <v>-19480.59633670433</v>
      </c>
      <c r="K55" s="5">
        <f t="shared" si="2"/>
        <v>-2.7382078411416249E-2</v>
      </c>
    </row>
    <row r="56" spans="1:11">
      <c r="A56" s="3">
        <v>39234</v>
      </c>
      <c r="B56" s="60">
        <v>632106</v>
      </c>
      <c r="C56" s="186">
        <f>+'Purchased Power Model '!C56</f>
        <v>6.2</v>
      </c>
      <c r="D56" s="186">
        <f>+'Purchased Power Model '!D56</f>
        <v>32.799999999999997</v>
      </c>
      <c r="E56" s="103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11523</v>
      </c>
      <c r="I56" s="193">
        <f t="shared" si="0"/>
        <v>670429.34864629584</v>
      </c>
      <c r="J56" s="36">
        <f t="shared" si="1"/>
        <v>38323.348646295839</v>
      </c>
      <c r="K56" s="5">
        <f t="shared" si="2"/>
        <v>6.0628041256206772E-2</v>
      </c>
    </row>
    <row r="57" spans="1:11">
      <c r="A57" s="3">
        <v>39264</v>
      </c>
      <c r="B57" s="60">
        <v>597445</v>
      </c>
      <c r="C57" s="186">
        <f>+'Purchased Power Model '!C57</f>
        <v>8.6999999999999993</v>
      </c>
      <c r="D57" s="186">
        <f>+'Purchased Power Model '!D57</f>
        <v>41.6</v>
      </c>
      <c r="E57" s="103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11523</v>
      </c>
      <c r="I57" s="193">
        <f t="shared" si="0"/>
        <v>623709.05868387513</v>
      </c>
      <c r="J57" s="36">
        <f t="shared" si="1"/>
        <v>26264.058683875133</v>
      </c>
      <c r="K57" s="5">
        <f t="shared" si="2"/>
        <v>4.3960630156541829E-2</v>
      </c>
    </row>
    <row r="58" spans="1:11">
      <c r="A58" s="3">
        <v>39295</v>
      </c>
      <c r="B58" s="60">
        <v>643097</v>
      </c>
      <c r="C58" s="186">
        <f>+'Purchased Power Model '!C58</f>
        <v>4</v>
      </c>
      <c r="D58" s="186">
        <f>+'Purchased Power Model '!D58</f>
        <v>87.8</v>
      </c>
      <c r="E58" s="103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11523</v>
      </c>
      <c r="I58" s="193">
        <f t="shared" si="0"/>
        <v>565282.11642439</v>
      </c>
      <c r="J58" s="36">
        <f t="shared" si="1"/>
        <v>-77814.883575610002</v>
      </c>
      <c r="K58" s="5">
        <f t="shared" si="2"/>
        <v>-0.12100022792146442</v>
      </c>
    </row>
    <row r="59" spans="1:11">
      <c r="A59" s="3">
        <v>39326</v>
      </c>
      <c r="B59" s="60">
        <v>721567</v>
      </c>
      <c r="C59" s="186">
        <f>+'Purchased Power Model '!C59</f>
        <v>20.100000000000001</v>
      </c>
      <c r="D59" s="186">
        <f>+'Purchased Power Model '!D59</f>
        <v>12.3</v>
      </c>
      <c r="E59" s="103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11523</v>
      </c>
      <c r="I59" s="193">
        <f t="shared" si="0"/>
        <v>709197.02402811393</v>
      </c>
      <c r="J59" s="36">
        <f t="shared" si="1"/>
        <v>-12369.975971886073</v>
      </c>
      <c r="K59" s="5">
        <f t="shared" si="2"/>
        <v>-1.7143211887303705E-2</v>
      </c>
    </row>
    <row r="60" spans="1:11">
      <c r="A60" s="3">
        <v>39356</v>
      </c>
      <c r="B60" s="60">
        <v>796324</v>
      </c>
      <c r="C60" s="186">
        <f>+'Purchased Power Model '!C60</f>
        <v>101.5</v>
      </c>
      <c r="D60" s="186">
        <f>+'Purchased Power Model '!D60</f>
        <v>0</v>
      </c>
      <c r="E60" s="103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11523</v>
      </c>
      <c r="I60" s="193">
        <f t="shared" si="0"/>
        <v>712925.47967991291</v>
      </c>
      <c r="J60" s="36">
        <f t="shared" si="1"/>
        <v>-83398.520320087089</v>
      </c>
      <c r="K60" s="5">
        <f t="shared" si="2"/>
        <v>-0.10472938190998525</v>
      </c>
    </row>
    <row r="61" spans="1:11">
      <c r="A61" s="3">
        <v>39387</v>
      </c>
      <c r="B61" s="60">
        <v>921833</v>
      </c>
      <c r="C61" s="186">
        <f>+'Purchased Power Model '!C61</f>
        <v>314.10000000000002</v>
      </c>
      <c r="D61" s="186">
        <f>+'Purchased Power Model '!D61</f>
        <v>0</v>
      </c>
      <c r="E61" s="103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11523</v>
      </c>
      <c r="I61" s="193">
        <f t="shared" si="0"/>
        <v>844340.90128371154</v>
      </c>
      <c r="J61" s="36">
        <f t="shared" si="1"/>
        <v>-77492.098716288456</v>
      </c>
      <c r="K61" s="5">
        <f t="shared" si="2"/>
        <v>-8.4063055581963822E-2</v>
      </c>
    </row>
    <row r="62" spans="1:11">
      <c r="A62" s="3">
        <v>39417</v>
      </c>
      <c r="B62" s="60">
        <v>987290</v>
      </c>
      <c r="C62" s="186">
        <f>+'Purchased Power Model '!C62</f>
        <v>337.8</v>
      </c>
      <c r="D62" s="186">
        <f>+'Purchased Power Model '!D62</f>
        <v>0</v>
      </c>
      <c r="E62" s="103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11523</v>
      </c>
      <c r="I62" s="193">
        <f t="shared" si="0"/>
        <v>809285.23404978483</v>
      </c>
      <c r="J62" s="36">
        <f t="shared" si="1"/>
        <v>-178004.76595021517</v>
      </c>
      <c r="K62" s="5">
        <f t="shared" si="2"/>
        <v>-0.18029633233418263</v>
      </c>
    </row>
    <row r="63" spans="1:11">
      <c r="A63" s="3">
        <v>39448</v>
      </c>
      <c r="B63" s="61">
        <v>1065645</v>
      </c>
      <c r="C63" s="187">
        <f>+'Purchased Power Model '!C63</f>
        <v>432.8</v>
      </c>
      <c r="D63" s="187">
        <f>+'Purchased Power Model '!D63</f>
        <v>0</v>
      </c>
      <c r="E63" s="103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11548</v>
      </c>
      <c r="I63" s="193">
        <f t="shared" si="0"/>
        <v>851188.8066538471</v>
      </c>
      <c r="J63" s="36">
        <f t="shared" si="1"/>
        <v>-214456.1933461529</v>
      </c>
      <c r="K63" s="5">
        <f t="shared" si="2"/>
        <v>-0.20124543665681618</v>
      </c>
    </row>
    <row r="64" spans="1:11">
      <c r="A64" s="3">
        <v>39479</v>
      </c>
      <c r="B64" s="61">
        <v>1048455</v>
      </c>
      <c r="C64" s="187">
        <f>+'Purchased Power Model '!C64</f>
        <v>317.60000000000002</v>
      </c>
      <c r="D64" s="187">
        <f>+'Purchased Power Model '!D64</f>
        <v>0</v>
      </c>
      <c r="E64" s="103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11548</v>
      </c>
      <c r="I64" s="193">
        <f t="shared" si="0"/>
        <v>888937.86058022606</v>
      </c>
      <c r="J64" s="36">
        <f t="shared" si="1"/>
        <v>-159517.13941977394</v>
      </c>
      <c r="K64" s="5">
        <f t="shared" si="2"/>
        <v>-0.15214495559635269</v>
      </c>
    </row>
    <row r="65" spans="1:17">
      <c r="A65" s="3">
        <v>39508</v>
      </c>
      <c r="B65" s="61">
        <v>899688</v>
      </c>
      <c r="C65" s="187">
        <f>+'Purchased Power Model '!C65</f>
        <v>430</v>
      </c>
      <c r="D65" s="187">
        <f>+'Purchased Power Model '!D65</f>
        <v>0</v>
      </c>
      <c r="E65" s="103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11548</v>
      </c>
      <c r="I65" s="193">
        <f t="shared" si="0"/>
        <v>852084.04450670735</v>
      </c>
      <c r="J65" s="36">
        <f t="shared" si="1"/>
        <v>-47603.955493292655</v>
      </c>
      <c r="K65" s="5">
        <f t="shared" si="2"/>
        <v>-5.2911626578650214E-2</v>
      </c>
    </row>
    <row r="66" spans="1:17">
      <c r="A66" s="3">
        <v>39539</v>
      </c>
      <c r="B66" s="61">
        <v>864033</v>
      </c>
      <c r="C66" s="187">
        <f>+'Purchased Power Model '!C66</f>
        <v>144.6</v>
      </c>
      <c r="D66" s="187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11606</v>
      </c>
      <c r="I66" s="193">
        <f t="shared" si="0"/>
        <v>790496.18869687733</v>
      </c>
      <c r="J66" s="36">
        <f t="shared" si="1"/>
        <v>-73536.811303122668</v>
      </c>
      <c r="K66" s="5">
        <f t="shared" si="2"/>
        <v>-8.5108799436043145E-2</v>
      </c>
    </row>
    <row r="67" spans="1:17">
      <c r="A67" s="3">
        <v>39569</v>
      </c>
      <c r="B67" s="61">
        <v>734031</v>
      </c>
      <c r="C67" s="187">
        <f>+'Purchased Power Model '!C67</f>
        <v>151</v>
      </c>
      <c r="D67" s="187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11633</v>
      </c>
      <c r="I67" s="193">
        <f t="shared" si="0"/>
        <v>751552.58709483675</v>
      </c>
      <c r="J67" s="36">
        <f t="shared" si="1"/>
        <v>17521.587094836752</v>
      </c>
      <c r="K67" s="5">
        <f t="shared" si="2"/>
        <v>2.3870363914925599E-2</v>
      </c>
    </row>
    <row r="68" spans="1:17">
      <c r="A68" s="3">
        <v>39600</v>
      </c>
      <c r="B68" s="61">
        <v>674578</v>
      </c>
      <c r="C68" s="187">
        <f>+'Purchased Power Model '!C68</f>
        <v>15.5</v>
      </c>
      <c r="D68" s="187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11633</v>
      </c>
      <c r="I68" s="193">
        <f t="shared" ref="I68:I131" si="3">$N$18+C68*$N$19+D68*$N$20+E68*$N$21+F68*$N$22+G68*$N$23+H68*$N$24</f>
        <v>707073.73758604692</v>
      </c>
      <c r="J68" s="36">
        <f t="shared" ref="J68:J131" si="4">I68-B68</f>
        <v>32495.737586046918</v>
      </c>
      <c r="K68" s="5">
        <f t="shared" ref="K68:K131" si="5">J68/B68</f>
        <v>4.8171949850198077E-2</v>
      </c>
    </row>
    <row r="69" spans="1:17">
      <c r="A69" s="3">
        <v>39630</v>
      </c>
      <c r="B69" s="61">
        <v>610991</v>
      </c>
      <c r="C69" s="187">
        <f>+'Purchased Power Model '!C69</f>
        <v>1</v>
      </c>
      <c r="D69" s="187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11633</v>
      </c>
      <c r="I69" s="193">
        <f t="shared" si="3"/>
        <v>604934.69649413775</v>
      </c>
      <c r="J69" s="36">
        <f t="shared" si="4"/>
        <v>-6056.3035058622481</v>
      </c>
      <c r="K69" s="5">
        <f t="shared" si="5"/>
        <v>-9.9122630380189692E-3</v>
      </c>
    </row>
    <row r="70" spans="1:17">
      <c r="A70" s="3">
        <v>39661</v>
      </c>
      <c r="B70" s="61">
        <v>654944</v>
      </c>
      <c r="C70" s="187">
        <f>+'Purchased Power Model '!C70</f>
        <v>13.8</v>
      </c>
      <c r="D70" s="187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11633</v>
      </c>
      <c r="I70" s="193">
        <f t="shared" si="3"/>
        <v>648767.84699483181</v>
      </c>
      <c r="J70" s="36">
        <f t="shared" si="4"/>
        <v>-6176.1530051681912</v>
      </c>
      <c r="K70" s="5">
        <f t="shared" si="5"/>
        <v>-9.4300474623298953E-3</v>
      </c>
    </row>
    <row r="71" spans="1:17">
      <c r="A71" s="3">
        <v>39692</v>
      </c>
      <c r="B71" s="61">
        <v>733090</v>
      </c>
      <c r="C71" s="187">
        <f>+'Purchased Power Model '!C71</f>
        <v>51.6</v>
      </c>
      <c r="D71" s="187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11663</v>
      </c>
      <c r="I71" s="193">
        <f t="shared" si="3"/>
        <v>728924.39904358308</v>
      </c>
      <c r="J71" s="36">
        <f t="shared" si="4"/>
        <v>-4165.6009564169217</v>
      </c>
      <c r="K71" s="5">
        <f t="shared" si="5"/>
        <v>-5.6822504145697273E-3</v>
      </c>
    </row>
    <row r="72" spans="1:17">
      <c r="A72" s="3">
        <v>39722</v>
      </c>
      <c r="B72" s="61">
        <v>803901</v>
      </c>
      <c r="C72" s="187">
        <f>+'Purchased Power Model '!C72</f>
        <v>203.1</v>
      </c>
      <c r="D72" s="187">
        <f>+'Purchased Power Model '!D72</f>
        <v>0</v>
      </c>
      <c r="E72" s="103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11679</v>
      </c>
      <c r="I72" s="193">
        <f t="shared" si="3"/>
        <v>781252.94120662694</v>
      </c>
      <c r="J72" s="36">
        <f t="shared" si="4"/>
        <v>-22648.058793373057</v>
      </c>
      <c r="K72" s="5">
        <f t="shared" si="5"/>
        <v>-2.8172696380988526E-2</v>
      </c>
    </row>
    <row r="73" spans="1:17">
      <c r="A73" s="3">
        <v>39753</v>
      </c>
      <c r="B73" s="61">
        <v>828423</v>
      </c>
      <c r="C73" s="187">
        <f>+'Purchased Power Model '!C73</f>
        <v>268.8</v>
      </c>
      <c r="D73" s="187">
        <f>+'Purchased Power Model '!D73</f>
        <v>0</v>
      </c>
      <c r="E73" s="103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11687</v>
      </c>
      <c r="I73" s="193">
        <f t="shared" si="3"/>
        <v>851855.31462833891</v>
      </c>
      <c r="J73" s="36">
        <f t="shared" si="4"/>
        <v>23432.314628338907</v>
      </c>
      <c r="K73" s="5">
        <f t="shared" si="5"/>
        <v>2.8285446720261155E-2</v>
      </c>
    </row>
    <row r="74" spans="1:17">
      <c r="A74" s="3">
        <v>39783</v>
      </c>
      <c r="B74" s="61">
        <v>808061</v>
      </c>
      <c r="C74" s="187">
        <f>+'Purchased Power Model '!C74</f>
        <v>378.9</v>
      </c>
      <c r="D74" s="187">
        <f>+'Purchased Power Model '!D74</f>
        <v>0</v>
      </c>
      <c r="E74" s="103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11720</v>
      </c>
      <c r="I74" s="193">
        <f t="shared" si="3"/>
        <v>854321.45341979945</v>
      </c>
      <c r="J74" s="36">
        <f t="shared" si="4"/>
        <v>46260.453419799451</v>
      </c>
      <c r="K74" s="5">
        <f t="shared" si="5"/>
        <v>5.7248714416113948E-2</v>
      </c>
    </row>
    <row r="75" spans="1:17" s="14" customFormat="1">
      <c r="A75" s="3">
        <v>39814</v>
      </c>
      <c r="B75" s="61">
        <v>1078053</v>
      </c>
      <c r="C75" s="187">
        <f>+'Purchased Power Model '!C75</f>
        <v>684.3</v>
      </c>
      <c r="D75" s="187">
        <f>+'Purchased Power Model '!D75</f>
        <v>0</v>
      </c>
      <c r="E75" s="103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11815</v>
      </c>
      <c r="I75" s="193">
        <f t="shared" si="3"/>
        <v>992975.48758689337</v>
      </c>
      <c r="J75" s="36">
        <f t="shared" si="4"/>
        <v>-85077.512413106626</v>
      </c>
      <c r="K75" s="5">
        <f t="shared" si="5"/>
        <v>-7.8917745614646609E-2</v>
      </c>
      <c r="L75" s="11"/>
      <c r="M75" s="11"/>
      <c r="N75" s="11"/>
      <c r="O75" s="11"/>
      <c r="P75" s="11"/>
      <c r="Q75" s="11"/>
    </row>
    <row r="76" spans="1:17">
      <c r="A76" s="3">
        <v>39845</v>
      </c>
      <c r="B76" s="61">
        <v>1060644</v>
      </c>
      <c r="C76" s="187">
        <f>+'Purchased Power Model '!C76</f>
        <v>595.29999999999995</v>
      </c>
      <c r="D76" s="187">
        <f>+'Purchased Power Model '!D76</f>
        <v>0</v>
      </c>
      <c r="E76" s="103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11815</v>
      </c>
      <c r="I76" s="193">
        <f t="shared" si="3"/>
        <v>1084502.5731799516</v>
      </c>
      <c r="J76" s="36">
        <f t="shared" si="4"/>
        <v>23858.573179951636</v>
      </c>
      <c r="K76" s="5">
        <f t="shared" si="5"/>
        <v>2.2494421483505903E-2</v>
      </c>
    </row>
    <row r="77" spans="1:17">
      <c r="A77" s="3">
        <v>39873</v>
      </c>
      <c r="B77" s="61">
        <v>887461</v>
      </c>
      <c r="C77" s="187">
        <f>+'Purchased Power Model '!C77</f>
        <v>442.2</v>
      </c>
      <c r="D77" s="187">
        <f>+'Purchased Power Model '!D77</f>
        <v>0</v>
      </c>
      <c r="E77" s="103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11815</v>
      </c>
      <c r="I77" s="193">
        <f t="shared" si="3"/>
        <v>894199.97752155294</v>
      </c>
      <c r="J77" s="36">
        <f t="shared" si="4"/>
        <v>6738.9775215529371</v>
      </c>
      <c r="K77" s="5">
        <f t="shared" si="5"/>
        <v>7.5935477970896044E-3</v>
      </c>
    </row>
    <row r="78" spans="1:17">
      <c r="A78" s="3">
        <v>39904</v>
      </c>
      <c r="B78" s="61">
        <v>893766</v>
      </c>
      <c r="C78" s="187">
        <f>+'Purchased Power Model '!C78</f>
        <v>313.8</v>
      </c>
      <c r="D78" s="187">
        <f>+'Purchased Power Model '!D78</f>
        <v>0</v>
      </c>
      <c r="E78" s="103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11815</v>
      </c>
      <c r="I78" s="193">
        <f t="shared" si="3"/>
        <v>885929.61750677763</v>
      </c>
      <c r="J78" s="36">
        <f t="shared" si="4"/>
        <v>-7836.3824932223652</v>
      </c>
      <c r="K78" s="5">
        <f t="shared" si="5"/>
        <v>-8.7678234495632695E-3</v>
      </c>
    </row>
    <row r="79" spans="1:17">
      <c r="A79" s="3">
        <v>39934</v>
      </c>
      <c r="B79" s="61">
        <v>768408</v>
      </c>
      <c r="C79" s="187">
        <f>+'Purchased Power Model '!C79</f>
        <v>170.1</v>
      </c>
      <c r="D79" s="187">
        <f>+'Purchased Power Model '!D79</f>
        <v>0</v>
      </c>
      <c r="E79" s="103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11872</v>
      </c>
      <c r="I79" s="193">
        <f t="shared" si="3"/>
        <v>785863.72123075812</v>
      </c>
      <c r="J79" s="36">
        <f t="shared" si="4"/>
        <v>17455.721230758121</v>
      </c>
      <c r="K79" s="5">
        <f t="shared" si="5"/>
        <v>2.2716735420190995E-2</v>
      </c>
    </row>
    <row r="80" spans="1:17">
      <c r="A80" s="3">
        <v>39965</v>
      </c>
      <c r="B80" s="61">
        <v>705252</v>
      </c>
      <c r="C80" s="187">
        <f>+'Purchased Power Model '!C80</f>
        <v>57.9</v>
      </c>
      <c r="D80" s="187">
        <f>+'Purchased Power Model '!D80</f>
        <v>26.3</v>
      </c>
      <c r="E80" s="103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11873</v>
      </c>
      <c r="I80" s="193">
        <f t="shared" si="3"/>
        <v>747835.91537004267</v>
      </c>
      <c r="J80" s="36">
        <f t="shared" si="4"/>
        <v>42583.915370042669</v>
      </c>
      <c r="K80" s="5">
        <f t="shared" si="5"/>
        <v>6.0381133793371261E-2</v>
      </c>
    </row>
    <row r="81" spans="1:17">
      <c r="A81" s="3">
        <v>39995</v>
      </c>
      <c r="B81" s="61">
        <v>633473</v>
      </c>
      <c r="C81" s="187">
        <f>+'Purchased Power Model '!C81</f>
        <v>16.8</v>
      </c>
      <c r="D81" s="187">
        <f>+'Purchased Power Model '!D81</f>
        <v>25.6</v>
      </c>
      <c r="E81" s="103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11873</v>
      </c>
      <c r="I81" s="193">
        <f t="shared" si="3"/>
        <v>694567.46901935223</v>
      </c>
      <c r="J81" s="36">
        <f t="shared" si="4"/>
        <v>61094.469019352226</v>
      </c>
      <c r="K81" s="5">
        <f t="shared" si="5"/>
        <v>9.6443682713157827E-2</v>
      </c>
    </row>
    <row r="82" spans="1:17">
      <c r="A82" s="3">
        <v>40026</v>
      </c>
      <c r="B82" s="61">
        <v>670214</v>
      </c>
      <c r="C82" s="187">
        <f>+'Purchased Power Model '!C82</f>
        <v>13.1</v>
      </c>
      <c r="D82" s="187">
        <f>+'Purchased Power Model '!D82</f>
        <v>77.7</v>
      </c>
      <c r="E82" s="103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11875</v>
      </c>
      <c r="I82" s="193">
        <f t="shared" si="3"/>
        <v>629438.63605398184</v>
      </c>
      <c r="J82" s="36">
        <f t="shared" si="4"/>
        <v>-40775.363946018158</v>
      </c>
      <c r="K82" s="5">
        <f t="shared" si="5"/>
        <v>-6.0839319897850776E-2</v>
      </c>
    </row>
    <row r="83" spans="1:17">
      <c r="A83" s="3">
        <v>40057</v>
      </c>
      <c r="B83" s="61">
        <v>756265</v>
      </c>
      <c r="C83" s="187">
        <f>+'Purchased Power Model '!C83</f>
        <v>64.8</v>
      </c>
      <c r="D83" s="187">
        <f>+'Purchased Power Model '!D83</f>
        <v>9</v>
      </c>
      <c r="E83" s="103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11875</v>
      </c>
      <c r="I83" s="193">
        <f t="shared" si="3"/>
        <v>779869.7798749163</v>
      </c>
      <c r="J83" s="36">
        <f t="shared" si="4"/>
        <v>23604.779874916305</v>
      </c>
      <c r="K83" s="5">
        <f t="shared" si="5"/>
        <v>3.1212312978805452E-2</v>
      </c>
    </row>
    <row r="84" spans="1:17">
      <c r="A84" s="3">
        <v>40087</v>
      </c>
      <c r="B84" s="61">
        <v>821580</v>
      </c>
      <c r="C84" s="187">
        <f>+'Purchased Power Model '!C84</f>
        <v>287.89999999999998</v>
      </c>
      <c r="D84" s="187">
        <f>+'Purchased Power Model '!D84</f>
        <v>0</v>
      </c>
      <c r="E84" s="103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11882</v>
      </c>
      <c r="I84" s="193">
        <f t="shared" si="3"/>
        <v>849457.77533216251</v>
      </c>
      <c r="J84" s="36">
        <f t="shared" si="4"/>
        <v>27877.775332162506</v>
      </c>
      <c r="K84" s="5">
        <f t="shared" si="5"/>
        <v>3.3931906000830722E-2</v>
      </c>
    </row>
    <row r="85" spans="1:17">
      <c r="A85" s="3">
        <v>40118</v>
      </c>
      <c r="B85" s="61">
        <v>933314</v>
      </c>
      <c r="C85" s="187">
        <f>+'Purchased Power Model '!C85</f>
        <v>347.4</v>
      </c>
      <c r="D85" s="187">
        <f>+'Purchased Power Model '!D85</f>
        <v>0</v>
      </c>
      <c r="E85" s="103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11882</v>
      </c>
      <c r="I85" s="193">
        <f t="shared" si="3"/>
        <v>917105.57676765148</v>
      </c>
      <c r="J85" s="36">
        <f t="shared" si="4"/>
        <v>-16208.423232348519</v>
      </c>
      <c r="K85" s="5">
        <f t="shared" si="5"/>
        <v>-1.7366527484157013E-2</v>
      </c>
    </row>
    <row r="86" spans="1:17" s="31" customFormat="1">
      <c r="A86" s="3">
        <v>40148</v>
      </c>
      <c r="B86" s="61">
        <v>994328</v>
      </c>
      <c r="C86" s="187">
        <f>+'Purchased Power Model '!C86</f>
        <v>619.1</v>
      </c>
      <c r="D86" s="187">
        <f>+'Purchased Power Model '!D86</f>
        <v>0</v>
      </c>
      <c r="E86" s="103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11882</v>
      </c>
      <c r="I86" s="193">
        <f t="shared" si="3"/>
        <v>985344.29099512787</v>
      </c>
      <c r="J86" s="36">
        <f t="shared" si="4"/>
        <v>-8983.7090048721293</v>
      </c>
      <c r="K86" s="5">
        <f t="shared" si="5"/>
        <v>-9.0349552711702068E-3</v>
      </c>
      <c r="L86" s="27"/>
      <c r="M86" s="27"/>
      <c r="N86" s="27"/>
      <c r="O86" s="27"/>
      <c r="P86" s="27"/>
      <c r="Q86" s="27"/>
    </row>
    <row r="87" spans="1:17">
      <c r="A87" s="3">
        <v>40179</v>
      </c>
      <c r="B87" s="59">
        <v>1093374</v>
      </c>
      <c r="C87" s="187">
        <f>+'Purchased Power Model '!C87</f>
        <v>699.9</v>
      </c>
      <c r="D87" s="187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11946</v>
      </c>
      <c r="I87" s="193">
        <f t="shared" si="3"/>
        <v>1026663.9522698302</v>
      </c>
      <c r="J87" s="36">
        <f t="shared" si="4"/>
        <v>-66710.047730169841</v>
      </c>
      <c r="K87" s="5">
        <f t="shared" si="5"/>
        <v>-6.101301817143067E-2</v>
      </c>
    </row>
    <row r="88" spans="1:17">
      <c r="A88" s="3">
        <v>40210</v>
      </c>
      <c r="B88" s="59">
        <v>1080449</v>
      </c>
      <c r="C88" s="187">
        <f>+'Purchased Power Model '!C88</f>
        <v>583.79999999999995</v>
      </c>
      <c r="D88" s="187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12017</v>
      </c>
      <c r="I88" s="193">
        <f t="shared" si="3"/>
        <v>1110207.0131215947</v>
      </c>
      <c r="J88" s="36">
        <f t="shared" si="4"/>
        <v>29758.013121594675</v>
      </c>
      <c r="K88" s="5">
        <f t="shared" si="5"/>
        <v>2.7542265411504546E-2</v>
      </c>
    </row>
    <row r="89" spans="1:17">
      <c r="A89" s="3">
        <v>40238</v>
      </c>
      <c r="B89" s="59">
        <v>899210</v>
      </c>
      <c r="C89" s="187">
        <f>+'Purchased Power Model '!C89</f>
        <v>411</v>
      </c>
      <c r="D89" s="187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12051</v>
      </c>
      <c r="I89" s="193">
        <f t="shared" si="3"/>
        <v>913281.08120183088</v>
      </c>
      <c r="J89" s="36">
        <f t="shared" si="4"/>
        <v>14071.081201830879</v>
      </c>
      <c r="K89" s="5">
        <f t="shared" si="5"/>
        <v>1.5648270372694787E-2</v>
      </c>
    </row>
    <row r="90" spans="1:17">
      <c r="A90" s="3">
        <v>40269</v>
      </c>
      <c r="B90" s="59">
        <v>912185</v>
      </c>
      <c r="C90" s="187">
        <f>+'Purchased Power Model '!C90</f>
        <v>244</v>
      </c>
      <c r="D90" s="187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12098</v>
      </c>
      <c r="I90" s="193">
        <f t="shared" si="3"/>
        <v>884088.2199934636</v>
      </c>
      <c r="J90" s="36">
        <f t="shared" si="4"/>
        <v>-28096.780006536399</v>
      </c>
      <c r="K90" s="5">
        <f t="shared" si="5"/>
        <v>-3.0801624677599827E-2</v>
      </c>
    </row>
    <row r="91" spans="1:17">
      <c r="A91" s="3">
        <v>40299</v>
      </c>
      <c r="B91" s="59">
        <v>782329</v>
      </c>
      <c r="C91" s="187">
        <f>+'Purchased Power Model '!C91</f>
        <v>121.7</v>
      </c>
      <c r="D91" s="187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12098</v>
      </c>
      <c r="I91" s="193">
        <f t="shared" si="3"/>
        <v>761926.71392293076</v>
      </c>
      <c r="J91" s="36">
        <f t="shared" si="4"/>
        <v>-20402.286077069235</v>
      </c>
      <c r="K91" s="5">
        <f t="shared" si="5"/>
        <v>-2.6078908077125141E-2</v>
      </c>
    </row>
    <row r="92" spans="1:17">
      <c r="A92" s="3">
        <v>40330</v>
      </c>
      <c r="B92" s="59">
        <v>718278</v>
      </c>
      <c r="C92" s="187">
        <f>+'Purchased Power Model '!C92</f>
        <v>19.399999999999999</v>
      </c>
      <c r="D92" s="187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12098</v>
      </c>
      <c r="I92" s="193">
        <f t="shared" si="3"/>
        <v>731520.43927085202</v>
      </c>
      <c r="J92" s="36">
        <f t="shared" si="4"/>
        <v>13242.439270852017</v>
      </c>
      <c r="K92" s="5">
        <f t="shared" si="5"/>
        <v>1.8436370417654471E-2</v>
      </c>
    </row>
    <row r="93" spans="1:17">
      <c r="A93" s="3">
        <v>40360</v>
      </c>
      <c r="B93" s="59">
        <v>647002</v>
      </c>
      <c r="C93" s="187">
        <f>+'Purchased Power Model '!C93</f>
        <v>3.5</v>
      </c>
      <c r="D93" s="187">
        <f>+'Purchased Power Model '!D93</f>
        <v>124</v>
      </c>
      <c r="E93" s="103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12098</v>
      </c>
      <c r="I93" s="193">
        <f t="shared" si="3"/>
        <v>593287.94809752412</v>
      </c>
      <c r="J93" s="36">
        <f t="shared" si="4"/>
        <v>-53714.051902475883</v>
      </c>
      <c r="K93" s="5">
        <f t="shared" si="5"/>
        <v>-8.301991632556914E-2</v>
      </c>
    </row>
    <row r="94" spans="1:17">
      <c r="A94" s="3">
        <v>40391</v>
      </c>
      <c r="B94" s="59">
        <v>685217</v>
      </c>
      <c r="C94" s="187">
        <f>+'Purchased Power Model '!C94</f>
        <v>3.2</v>
      </c>
      <c r="D94" s="187">
        <f>+'Purchased Power Model '!D94</f>
        <v>96.8</v>
      </c>
      <c r="E94" s="103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12098</v>
      </c>
      <c r="I94" s="193">
        <f t="shared" si="3"/>
        <v>626409.01776765555</v>
      </c>
      <c r="J94" s="36">
        <f t="shared" si="4"/>
        <v>-58807.982232344453</v>
      </c>
      <c r="K94" s="5">
        <f t="shared" si="5"/>
        <v>-8.5823880949165668E-2</v>
      </c>
    </row>
    <row r="95" spans="1:17">
      <c r="A95" s="3">
        <v>40422</v>
      </c>
      <c r="B95" s="59">
        <v>772567</v>
      </c>
      <c r="C95" s="187">
        <f>+'Purchased Power Model '!C95</f>
        <v>85.5</v>
      </c>
      <c r="D95" s="187">
        <f>+'Purchased Power Model '!D95</f>
        <v>18.5</v>
      </c>
      <c r="E95" s="103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12098</v>
      </c>
      <c r="I95" s="193">
        <f t="shared" si="3"/>
        <v>801319.24574229203</v>
      </c>
      <c r="J95" s="36">
        <f t="shared" si="4"/>
        <v>28752.245742292027</v>
      </c>
      <c r="K95" s="5">
        <f t="shared" si="5"/>
        <v>3.7216507749220494E-2</v>
      </c>
    </row>
    <row r="96" spans="1:17">
      <c r="A96" s="3">
        <v>40452</v>
      </c>
      <c r="B96" s="59">
        <v>839069</v>
      </c>
      <c r="C96" s="187">
        <f>+'Purchased Power Model '!C96</f>
        <v>247.8</v>
      </c>
      <c r="D96" s="187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12098</v>
      </c>
      <c r="I96" s="193">
        <f t="shared" si="3"/>
        <v>835773.49773422827</v>
      </c>
      <c r="J96" s="36">
        <f t="shared" si="4"/>
        <v>-3295.5022657717345</v>
      </c>
      <c r="K96" s="5">
        <f t="shared" si="5"/>
        <v>-3.9275700398557619E-3</v>
      </c>
    </row>
    <row r="97" spans="1:11">
      <c r="A97" s="3">
        <v>40483</v>
      </c>
      <c r="B97" s="59">
        <v>972883</v>
      </c>
      <c r="C97" s="187">
        <f>+'Purchased Power Model '!C97</f>
        <v>389.2</v>
      </c>
      <c r="D97" s="187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12098</v>
      </c>
      <c r="I97" s="193">
        <f t="shared" si="3"/>
        <v>937533.43562814023</v>
      </c>
      <c r="J97" s="36">
        <f t="shared" si="4"/>
        <v>-35349.564371859771</v>
      </c>
      <c r="K97" s="5">
        <f t="shared" si="5"/>
        <v>-3.6334856680463913E-2</v>
      </c>
    </row>
    <row r="98" spans="1:11">
      <c r="A98" s="3">
        <v>40513</v>
      </c>
      <c r="B98" s="59">
        <v>1025341</v>
      </c>
      <c r="C98" s="187">
        <f>+'Purchased Power Model '!C98</f>
        <v>628.70000000000005</v>
      </c>
      <c r="D98" s="187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12109</v>
      </c>
      <c r="I98" s="193">
        <f t="shared" si="3"/>
        <v>992872.33276806178</v>
      </c>
      <c r="J98" s="36">
        <f t="shared" si="4"/>
        <v>-32468.66723193822</v>
      </c>
      <c r="K98" s="5">
        <f t="shared" si="5"/>
        <v>-3.1666213710305369E-2</v>
      </c>
    </row>
    <row r="99" spans="1:11">
      <c r="A99" s="3">
        <v>40544</v>
      </c>
      <c r="B99" s="105">
        <v>1116655</v>
      </c>
      <c r="C99" s="190">
        <f>+'Purchased Power Model '!C99</f>
        <v>760.9</v>
      </c>
      <c r="D99" s="190">
        <f>+'Purchased Power Model '!D99</f>
        <v>0</v>
      </c>
      <c r="E99" s="103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12109</v>
      </c>
      <c r="I99" s="193">
        <f t="shared" si="3"/>
        <v>1040902.9235680682</v>
      </c>
      <c r="J99" s="36">
        <f t="shared" si="4"/>
        <v>-75752.076431931811</v>
      </c>
      <c r="K99" s="5">
        <f t="shared" si="5"/>
        <v>-6.7838389146094191E-2</v>
      </c>
    </row>
    <row r="100" spans="1:11">
      <c r="A100" s="3">
        <v>40575</v>
      </c>
      <c r="B100" s="105">
        <v>1100542</v>
      </c>
      <c r="C100" s="190">
        <f>+'Purchased Power Model '!C100</f>
        <v>634.19999999999993</v>
      </c>
      <c r="D100" s="190">
        <f>+'Purchased Power Model '!D100</f>
        <v>0</v>
      </c>
      <c r="E100" s="103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12109</v>
      </c>
      <c r="I100" s="193">
        <f t="shared" si="3"/>
        <v>1116727.5971405827</v>
      </c>
      <c r="J100" s="36">
        <f t="shared" si="4"/>
        <v>16185.597140582744</v>
      </c>
      <c r="K100" s="5">
        <f t="shared" si="5"/>
        <v>1.4706932711866284E-2</v>
      </c>
    </row>
    <row r="101" spans="1:11">
      <c r="A101" s="3">
        <v>40603</v>
      </c>
      <c r="B101" s="105">
        <v>874357</v>
      </c>
      <c r="C101" s="190">
        <f>+'Purchased Power Model '!C101</f>
        <v>559.80000000000007</v>
      </c>
      <c r="D101" s="190">
        <f>+'Purchased Power Model '!D101</f>
        <v>0</v>
      </c>
      <c r="E101" s="103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12129</v>
      </c>
      <c r="I101" s="193">
        <f t="shared" si="3"/>
        <v>960134.83833629265</v>
      </c>
      <c r="J101" s="36">
        <f t="shared" si="4"/>
        <v>85777.838336292654</v>
      </c>
      <c r="K101" s="5">
        <f t="shared" si="5"/>
        <v>9.810390759871844E-2</v>
      </c>
    </row>
    <row r="102" spans="1:11">
      <c r="A102" s="3">
        <v>40634</v>
      </c>
      <c r="B102" s="105">
        <v>904402</v>
      </c>
      <c r="C102" s="190">
        <f>+'Purchased Power Model '!C102</f>
        <v>350.79999999999995</v>
      </c>
      <c r="D102" s="190">
        <f>+'Purchased Power Model '!D102</f>
        <v>0</v>
      </c>
      <c r="E102" s="103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12132</v>
      </c>
      <c r="I102" s="193">
        <f t="shared" si="3"/>
        <v>923121.36979690334</v>
      </c>
      <c r="J102" s="36">
        <f t="shared" si="4"/>
        <v>18719.369796903338</v>
      </c>
      <c r="K102" s="5">
        <f t="shared" si="5"/>
        <v>2.0698063247210133E-2</v>
      </c>
    </row>
    <row r="103" spans="1:11">
      <c r="A103" s="3">
        <v>40664</v>
      </c>
      <c r="B103" s="105">
        <v>770615</v>
      </c>
      <c r="C103" s="190">
        <f>+'Purchased Power Model '!C103</f>
        <v>157.69999999999996</v>
      </c>
      <c r="D103" s="190">
        <f>+'Purchased Power Model '!D103</f>
        <v>2.8</v>
      </c>
      <c r="E103" s="103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12132</v>
      </c>
      <c r="I103" s="193">
        <f t="shared" si="3"/>
        <v>796405.50077074929</v>
      </c>
      <c r="J103" s="36">
        <f t="shared" si="4"/>
        <v>25790.500770749291</v>
      </c>
      <c r="K103" s="5">
        <f t="shared" si="5"/>
        <v>3.3467426368224459E-2</v>
      </c>
    </row>
    <row r="104" spans="1:11">
      <c r="A104" s="3">
        <v>40695</v>
      </c>
      <c r="B104" s="105">
        <v>696486</v>
      </c>
      <c r="C104" s="190">
        <f>+'Purchased Power Model '!C104</f>
        <v>26.699999999999996</v>
      </c>
      <c r="D104" s="190">
        <f>+'Purchased Power Model '!D104</f>
        <v>36.900000000000006</v>
      </c>
      <c r="E104" s="103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12132</v>
      </c>
      <c r="I104" s="193">
        <f t="shared" si="3"/>
        <v>740967.00194510841</v>
      </c>
      <c r="J104" s="36">
        <f t="shared" si="4"/>
        <v>44481.001945108408</v>
      </c>
      <c r="K104" s="5">
        <f t="shared" si="5"/>
        <v>6.3864890242026989E-2</v>
      </c>
    </row>
    <row r="105" spans="1:11">
      <c r="A105" s="3">
        <v>40725</v>
      </c>
      <c r="B105" s="105">
        <v>10638</v>
      </c>
      <c r="C105" s="190">
        <f>+'Purchased Power Model '!C105</f>
        <v>0.2</v>
      </c>
      <c r="D105" s="190">
        <f>+'Purchased Power Model '!D105</f>
        <v>141.19999999999999</v>
      </c>
      <c r="E105" s="103">
        <f>+'Purchased Power Model '!E105</f>
        <v>7.0999999999999994E-2</v>
      </c>
      <c r="F105" s="57">
        <f>+'Purchased Power Model '!F105</f>
        <v>31</v>
      </c>
      <c r="G105" s="57">
        <f>+'Purchased Power Model '!G105</f>
        <v>0</v>
      </c>
      <c r="H105" s="61">
        <v>12132</v>
      </c>
      <c r="I105" s="193">
        <f t="shared" si="3"/>
        <v>533796.26647829334</v>
      </c>
      <c r="J105" s="36">
        <f t="shared" si="4"/>
        <v>523158.26647829334</v>
      </c>
      <c r="K105" s="5">
        <f t="shared" si="5"/>
        <v>49.178254040072694</v>
      </c>
    </row>
    <row r="106" spans="1:11">
      <c r="A106" s="3">
        <v>40756</v>
      </c>
      <c r="B106" s="105">
        <v>11607</v>
      </c>
      <c r="C106" s="190">
        <f>+'Purchased Power Model '!C106</f>
        <v>3.7</v>
      </c>
      <c r="D106" s="190">
        <f>+'Purchased Power Model '!D106</f>
        <v>80.499999999999957</v>
      </c>
      <c r="E106" s="103">
        <f>+'Purchased Power Model '!E106</f>
        <v>7.0999999999999994E-2</v>
      </c>
      <c r="F106" s="57">
        <f>+'Purchased Power Model '!F106</f>
        <v>31</v>
      </c>
      <c r="G106" s="57">
        <f>+'Purchased Power Model '!G106</f>
        <v>0</v>
      </c>
      <c r="H106" s="61">
        <v>12132</v>
      </c>
      <c r="I106" s="193">
        <f t="shared" si="3"/>
        <v>609446.46070680302</v>
      </c>
      <c r="J106" s="36">
        <f t="shared" si="4"/>
        <v>597839.46070680302</v>
      </c>
      <c r="K106" s="5">
        <f t="shared" si="5"/>
        <v>51.50680285231352</v>
      </c>
    </row>
    <row r="107" spans="1:11">
      <c r="A107" s="3">
        <v>40787</v>
      </c>
      <c r="B107" s="105">
        <v>2007578</v>
      </c>
      <c r="C107" s="190">
        <f>+'Purchased Power Model '!C107</f>
        <v>48.900000000000006</v>
      </c>
      <c r="D107" s="190">
        <f>+'Purchased Power Model '!D107</f>
        <v>34.6</v>
      </c>
      <c r="E107" s="103">
        <f>+'Purchased Power Model '!E107</f>
        <v>7.0999999999999994E-2</v>
      </c>
      <c r="F107" s="57">
        <f>+'Purchased Power Model '!F107</f>
        <v>30</v>
      </c>
      <c r="G107" s="57">
        <f>+'Purchased Power Model '!G107</f>
        <v>1</v>
      </c>
      <c r="H107" s="61">
        <v>12137</v>
      </c>
      <c r="I107" s="193">
        <f t="shared" si="3"/>
        <v>729534.93540023465</v>
      </c>
      <c r="J107" s="36">
        <f t="shared" si="4"/>
        <v>-1278043.0645997655</v>
      </c>
      <c r="K107" s="5">
        <f t="shared" si="5"/>
        <v>-0.63660941921049419</v>
      </c>
    </row>
    <row r="108" spans="1:11">
      <c r="A108" s="3">
        <v>40817</v>
      </c>
      <c r="B108" s="105">
        <v>11571</v>
      </c>
      <c r="C108" s="190">
        <f>+'Purchased Power Model '!C108</f>
        <v>225.29999999999998</v>
      </c>
      <c r="D108" s="190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12137</v>
      </c>
      <c r="I108" s="193">
        <f t="shared" si="3"/>
        <v>805948.63490333117</v>
      </c>
      <c r="J108" s="36">
        <f t="shared" si="4"/>
        <v>794377.63490333117</v>
      </c>
      <c r="K108" s="5">
        <f t="shared" si="5"/>
        <v>68.652461749488481</v>
      </c>
    </row>
    <row r="109" spans="1:11">
      <c r="A109" s="3">
        <v>40848</v>
      </c>
      <c r="B109" s="105">
        <v>1744221</v>
      </c>
      <c r="C109" s="190">
        <f>+'Purchased Power Model '!C109</f>
        <v>349.69999999999993</v>
      </c>
      <c r="D109" s="190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12146</v>
      </c>
      <c r="I109" s="193">
        <f t="shared" si="3"/>
        <v>901046.64855780406</v>
      </c>
      <c r="J109" s="36">
        <f t="shared" si="4"/>
        <v>-843174.35144219594</v>
      </c>
      <c r="K109" s="5">
        <f t="shared" si="5"/>
        <v>-0.48341027395163566</v>
      </c>
    </row>
    <row r="110" spans="1:11">
      <c r="A110" s="3">
        <v>40878</v>
      </c>
      <c r="B110" s="105">
        <v>1004345</v>
      </c>
      <c r="C110" s="190">
        <f>+'Purchased Power Model '!C110</f>
        <v>531.20000000000005</v>
      </c>
      <c r="D110" s="190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12146</v>
      </c>
      <c r="I110" s="193">
        <f t="shared" si="3"/>
        <v>931716.19662472163</v>
      </c>
      <c r="J110" s="36">
        <f t="shared" si="4"/>
        <v>-72628.803375278367</v>
      </c>
      <c r="K110" s="5">
        <f t="shared" si="5"/>
        <v>-7.2314596453687097E-2</v>
      </c>
    </row>
    <row r="111" spans="1:11">
      <c r="A111" s="3">
        <v>40909</v>
      </c>
      <c r="B111" s="105">
        <v>1086581</v>
      </c>
      <c r="C111" s="190">
        <f>+'Purchased Power Model '!C111</f>
        <v>611</v>
      </c>
      <c r="D111" s="190">
        <f>+'Purchased Power Model '!D111</f>
        <v>0</v>
      </c>
      <c r="E111" s="103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12154</v>
      </c>
      <c r="I111" s="193">
        <f t="shared" si="3"/>
        <v>972357.85403979616</v>
      </c>
      <c r="J111" s="36">
        <f t="shared" si="4"/>
        <v>-114223.14596020384</v>
      </c>
      <c r="K111" s="5">
        <f t="shared" si="5"/>
        <v>-0.10512161169779688</v>
      </c>
    </row>
    <row r="112" spans="1:11">
      <c r="A112" s="3">
        <v>40940</v>
      </c>
      <c r="B112" s="105">
        <v>1074749</v>
      </c>
      <c r="C112" s="190">
        <f>+'Purchased Power Model '!C112</f>
        <v>536.20000000000005</v>
      </c>
      <c r="D112" s="190">
        <f>+'Purchased Power Model '!D112</f>
        <v>0</v>
      </c>
      <c r="E112" s="103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12209</v>
      </c>
      <c r="I112" s="193">
        <f t="shared" si="3"/>
        <v>1029492.8565055243</v>
      </c>
      <c r="J112" s="36">
        <f t="shared" si="4"/>
        <v>-45256.143494475749</v>
      </c>
      <c r="K112" s="5">
        <f t="shared" si="5"/>
        <v>-4.2108569995855542E-2</v>
      </c>
    </row>
    <row r="113" spans="1:11">
      <c r="A113" s="3">
        <v>40969</v>
      </c>
      <c r="B113" s="105">
        <v>918424</v>
      </c>
      <c r="C113" s="190">
        <f>+'Purchased Power Model '!C113</f>
        <v>399.39999999999992</v>
      </c>
      <c r="D113" s="190">
        <f>+'Purchased Power Model '!D113</f>
        <v>0</v>
      </c>
      <c r="E113" s="103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12209</v>
      </c>
      <c r="I113" s="193">
        <f t="shared" si="3"/>
        <v>888844.84744740219</v>
      </c>
      <c r="J113" s="36">
        <f t="shared" si="4"/>
        <v>-29579.152552597807</v>
      </c>
      <c r="K113" s="5">
        <f t="shared" si="5"/>
        <v>-3.2206423778775167E-2</v>
      </c>
    </row>
    <row r="114" spans="1:11">
      <c r="A114" s="3">
        <v>41000</v>
      </c>
      <c r="B114" s="105">
        <v>894097</v>
      </c>
      <c r="C114" s="190">
        <f>+'Purchased Power Model '!C114</f>
        <v>336.89999999999992</v>
      </c>
      <c r="D114" s="190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12209</v>
      </c>
      <c r="I114" s="193">
        <f t="shared" si="3"/>
        <v>910366.46313923306</v>
      </c>
      <c r="J114" s="36">
        <f t="shared" si="4"/>
        <v>16269.463139233063</v>
      </c>
      <c r="K114" s="5">
        <f t="shared" si="5"/>
        <v>1.8196530286124505E-2</v>
      </c>
    </row>
    <row r="115" spans="1:11">
      <c r="A115" s="3">
        <v>41030</v>
      </c>
      <c r="B115" s="105">
        <v>760348</v>
      </c>
      <c r="C115" s="190">
        <f>+'Purchased Power Model '!C115</f>
        <v>109.30000000000001</v>
      </c>
      <c r="D115" s="190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12209</v>
      </c>
      <c r="I115" s="193">
        <f t="shared" si="3"/>
        <v>746057.68824505096</v>
      </c>
      <c r="J115" s="36">
        <f t="shared" si="4"/>
        <v>-14290.311754949042</v>
      </c>
      <c r="K115" s="5">
        <f t="shared" si="5"/>
        <v>-1.879443590954279E-2</v>
      </c>
    </row>
    <row r="116" spans="1:11">
      <c r="A116" s="3">
        <v>41061</v>
      </c>
      <c r="B116" s="105">
        <v>695893</v>
      </c>
      <c r="C116" s="190">
        <f>+'Purchased Power Model '!C116</f>
        <v>28.2</v>
      </c>
      <c r="D116" s="190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12209</v>
      </c>
      <c r="I116" s="193">
        <f t="shared" si="3"/>
        <v>701135.8645694087</v>
      </c>
      <c r="J116" s="36">
        <f t="shared" si="4"/>
        <v>5242.8645694087027</v>
      </c>
      <c r="K116" s="5">
        <f t="shared" si="5"/>
        <v>7.5340096385632599E-3</v>
      </c>
    </row>
    <row r="117" spans="1:11">
      <c r="A117" s="3">
        <v>41091</v>
      </c>
      <c r="B117" s="105">
        <v>621732</v>
      </c>
      <c r="C117" s="190">
        <f>+'Purchased Power Model '!C117</f>
        <v>0</v>
      </c>
      <c r="D117" s="190">
        <f>+'Purchased Power Model '!D117</f>
        <v>155.30000000000001</v>
      </c>
      <c r="E117" s="103">
        <f>+'Purchased Power Model '!E117</f>
        <v>9.0999999999999998E-2</v>
      </c>
      <c r="F117" s="57">
        <f>+'Purchased Power Model '!F117</f>
        <v>31</v>
      </c>
      <c r="G117" s="57">
        <f>+'Purchased Power Model '!G117</f>
        <v>0</v>
      </c>
      <c r="H117" s="61">
        <v>12214</v>
      </c>
      <c r="I117" s="193">
        <f t="shared" si="3"/>
        <v>543733.91967972065</v>
      </c>
      <c r="J117" s="36">
        <f t="shared" si="4"/>
        <v>-77998.080320279347</v>
      </c>
      <c r="K117" s="5">
        <f t="shared" si="5"/>
        <v>-0.12545289661828465</v>
      </c>
    </row>
    <row r="118" spans="1:11">
      <c r="A118" s="3">
        <v>41122</v>
      </c>
      <c r="B118" s="105">
        <v>660418</v>
      </c>
      <c r="C118" s="190">
        <f>+'Purchased Power Model '!C118</f>
        <v>4.4000000000000004</v>
      </c>
      <c r="D118" s="190">
        <f>+'Purchased Power Model '!D118</f>
        <v>102.79999999999998</v>
      </c>
      <c r="E118" s="103">
        <f>+'Purchased Power Model '!E118</f>
        <v>9.0999999999999998E-2</v>
      </c>
      <c r="F118" s="57">
        <f>+'Purchased Power Model '!F118</f>
        <v>31</v>
      </c>
      <c r="G118" s="57">
        <f>+'Purchased Power Model '!G118</f>
        <v>0</v>
      </c>
      <c r="H118" s="61">
        <v>12231</v>
      </c>
      <c r="I118" s="193">
        <f t="shared" si="3"/>
        <v>610527.22603130387</v>
      </c>
      <c r="J118" s="36">
        <f t="shared" si="4"/>
        <v>-49890.773968696129</v>
      </c>
      <c r="K118" s="5">
        <f t="shared" si="5"/>
        <v>-7.5544237087263114E-2</v>
      </c>
    </row>
    <row r="119" spans="1:11">
      <c r="A119" s="3">
        <v>41153</v>
      </c>
      <c r="B119" s="105">
        <v>749678</v>
      </c>
      <c r="C119" s="190">
        <f>+'Purchased Power Model '!C119</f>
        <v>84</v>
      </c>
      <c r="D119" s="190">
        <f>+'Purchased Power Model '!D119</f>
        <v>24.400000000000002</v>
      </c>
      <c r="E119" s="103">
        <f>+'Purchased Power Model '!E119</f>
        <v>9.0999999999999998E-2</v>
      </c>
      <c r="F119" s="57">
        <f>+'Purchased Power Model '!F119</f>
        <v>30</v>
      </c>
      <c r="G119" s="57">
        <f>+'Purchased Power Model '!G119</f>
        <v>1</v>
      </c>
      <c r="H119" s="61">
        <v>12231</v>
      </c>
      <c r="I119" s="193">
        <f t="shared" si="3"/>
        <v>784435.10610282375</v>
      </c>
      <c r="J119" s="36">
        <f t="shared" si="4"/>
        <v>34757.106102823745</v>
      </c>
      <c r="K119" s="5">
        <f t="shared" si="5"/>
        <v>4.6362713195296841E-2</v>
      </c>
    </row>
    <row r="120" spans="1:11">
      <c r="A120" s="3">
        <v>41183</v>
      </c>
      <c r="B120" s="105">
        <v>813505</v>
      </c>
      <c r="C120" s="190">
        <f>+'Purchased Power Model '!C120</f>
        <v>228.99999999999994</v>
      </c>
      <c r="D120" s="190">
        <f>+'Purchased Power Model '!D120</f>
        <v>0</v>
      </c>
      <c r="E120" s="103">
        <f>+'Purchased Power Model '!E120</f>
        <v>9.6000000000000002E-2</v>
      </c>
      <c r="F120" s="57">
        <f>+'Purchased Power Model '!F120</f>
        <v>31</v>
      </c>
      <c r="G120" s="57">
        <f>+'Purchased Power Model '!G120</f>
        <v>1</v>
      </c>
      <c r="H120" s="61">
        <v>12231</v>
      </c>
      <c r="I120" s="193">
        <f t="shared" si="3"/>
        <v>837647.13851643377</v>
      </c>
      <c r="J120" s="36">
        <f t="shared" si="4"/>
        <v>24142.13851643377</v>
      </c>
      <c r="K120" s="5">
        <f t="shared" si="5"/>
        <v>2.967669346400301E-2</v>
      </c>
    </row>
    <row r="121" spans="1:11">
      <c r="A121" s="3">
        <v>41214</v>
      </c>
      <c r="B121" s="105">
        <v>952553</v>
      </c>
      <c r="C121" s="190">
        <f>+'Purchased Power Model '!C121</f>
        <v>427.89999999999992</v>
      </c>
      <c r="D121" s="190">
        <f>+'Purchased Power Model '!D121</f>
        <v>0</v>
      </c>
      <c r="E121" s="103">
        <f>+'Purchased Power Model '!E121</f>
        <v>9.6000000000000002E-2</v>
      </c>
      <c r="F121" s="57">
        <f>+'Purchased Power Model '!F121</f>
        <v>30</v>
      </c>
      <c r="G121" s="57">
        <f>+'Purchased Power Model '!G121</f>
        <v>1</v>
      </c>
      <c r="H121" s="61">
        <v>12275</v>
      </c>
      <c r="I121" s="193">
        <f t="shared" si="3"/>
        <v>965403.54703697888</v>
      </c>
      <c r="J121" s="36">
        <f t="shared" si="4"/>
        <v>12850.547036978882</v>
      </c>
      <c r="K121" s="5">
        <f t="shared" si="5"/>
        <v>1.3490637305198642E-2</v>
      </c>
    </row>
    <row r="122" spans="1:11">
      <c r="A122" s="3">
        <v>41244</v>
      </c>
      <c r="B122" s="105">
        <v>911730</v>
      </c>
      <c r="C122" s="190">
        <f>+'Purchased Power Model '!C122</f>
        <v>451.09999999999997</v>
      </c>
      <c r="D122" s="190">
        <f>+'Purchased Power Model '!D122</f>
        <v>0</v>
      </c>
      <c r="E122" s="103">
        <f>+'Purchased Power Model '!E122</f>
        <v>9.6000000000000002E-2</v>
      </c>
      <c r="F122" s="57">
        <f>+'Purchased Power Model '!F122</f>
        <v>31</v>
      </c>
      <c r="G122" s="57">
        <f>+'Purchased Power Model '!G122</f>
        <v>0</v>
      </c>
      <c r="H122" s="61">
        <v>12280</v>
      </c>
      <c r="I122" s="193">
        <f t="shared" si="3"/>
        <v>930372.2577827737</v>
      </c>
      <c r="J122" s="36">
        <f t="shared" si="4"/>
        <v>18642.257782773697</v>
      </c>
      <c r="K122" s="5">
        <f t="shared" si="5"/>
        <v>2.0447125555563266E-2</v>
      </c>
    </row>
    <row r="123" spans="1:11">
      <c r="A123" s="3">
        <v>41275</v>
      </c>
      <c r="B123" s="105">
        <v>991686</v>
      </c>
      <c r="C123" s="190">
        <f>+'Purchased Power Model '!C123</f>
        <v>615.40000000000009</v>
      </c>
      <c r="D123" s="190">
        <f>+'Purchased Power Model '!D123</f>
        <v>0</v>
      </c>
      <c r="E123" s="103">
        <f>+'Purchased Power Model '!E123</f>
        <v>8.6000110000000005E-2</v>
      </c>
      <c r="F123" s="57">
        <f>+'Purchased Power Model '!F123</f>
        <v>31</v>
      </c>
      <c r="G123" s="57">
        <f>+'Purchased Power Model '!G123</f>
        <v>0</v>
      </c>
      <c r="H123" s="61">
        <v>12280</v>
      </c>
      <c r="I123" s="193">
        <f t="shared" si="3"/>
        <v>987084.94996628875</v>
      </c>
      <c r="J123" s="36">
        <f t="shared" si="4"/>
        <v>-4601.0500337112462</v>
      </c>
      <c r="K123" s="5">
        <f t="shared" si="5"/>
        <v>-4.6396238665376401E-3</v>
      </c>
    </row>
    <row r="124" spans="1:11">
      <c r="A124" s="3">
        <v>41306</v>
      </c>
      <c r="B124" s="105">
        <v>974438</v>
      </c>
      <c r="C124" s="190">
        <f>+'Purchased Power Model '!C124</f>
        <v>611.5</v>
      </c>
      <c r="D124" s="190">
        <f>+'Purchased Power Model '!D124</f>
        <v>0</v>
      </c>
      <c r="E124" s="103">
        <f>+'Purchased Power Model '!E124</f>
        <v>8.6000110000000005E-2</v>
      </c>
      <c r="F124" s="57">
        <f>+'Purchased Power Model '!F124</f>
        <v>28</v>
      </c>
      <c r="G124" s="57">
        <f>+'Purchased Power Model '!G124</f>
        <v>0</v>
      </c>
      <c r="H124" s="61">
        <v>12287</v>
      </c>
      <c r="I124" s="193">
        <f t="shared" si="3"/>
        <v>1114382.6886397814</v>
      </c>
      <c r="J124" s="36">
        <f t="shared" si="4"/>
        <v>139944.68863978144</v>
      </c>
      <c r="K124" s="5">
        <f t="shared" si="5"/>
        <v>0.14361579560708987</v>
      </c>
    </row>
    <row r="125" spans="1:11">
      <c r="A125" s="3">
        <v>41334</v>
      </c>
      <c r="B125" s="105">
        <v>807431</v>
      </c>
      <c r="C125" s="190">
        <f>+'Purchased Power Model '!C125</f>
        <v>545</v>
      </c>
      <c r="D125" s="190">
        <f>+'Purchased Power Model '!D125</f>
        <v>0</v>
      </c>
      <c r="E125" s="103">
        <f>+'Purchased Power Model '!E125</f>
        <v>8.6000110000000005E-2</v>
      </c>
      <c r="F125" s="57">
        <f>+'Purchased Power Model '!F125</f>
        <v>31</v>
      </c>
      <c r="G125" s="57">
        <f>+'Purchased Power Model '!G125</f>
        <v>1</v>
      </c>
      <c r="H125" s="61">
        <v>12287</v>
      </c>
      <c r="I125" s="193">
        <f t="shared" si="3"/>
        <v>960149.82457234024</v>
      </c>
      <c r="J125" s="36">
        <f t="shared" si="4"/>
        <v>152718.82457234024</v>
      </c>
      <c r="K125" s="5">
        <f t="shared" si="5"/>
        <v>0.18914164129484778</v>
      </c>
    </row>
    <row r="126" spans="1:11">
      <c r="A126" s="3">
        <v>41365</v>
      </c>
      <c r="B126" s="105">
        <v>811467</v>
      </c>
      <c r="C126" s="190">
        <f>+'Purchased Power Model '!C126</f>
        <v>366.49999999999994</v>
      </c>
      <c r="D126" s="190">
        <f>+'Purchased Power Model '!D126</f>
        <v>0</v>
      </c>
      <c r="E126" s="103">
        <f>+'Purchased Power Model '!E126</f>
        <v>7.8295169999999997E-2</v>
      </c>
      <c r="F126" s="57">
        <f>+'Purchased Power Model '!F126</f>
        <v>30</v>
      </c>
      <c r="G126" s="57">
        <f>+'Purchased Power Model '!G126</f>
        <v>1</v>
      </c>
      <c r="H126" s="61">
        <v>12287</v>
      </c>
      <c r="I126" s="193">
        <f t="shared" si="3"/>
        <v>919638.17828086473</v>
      </c>
      <c r="J126" s="36">
        <f t="shared" si="4"/>
        <v>108171.17828086473</v>
      </c>
      <c r="K126" s="5">
        <f t="shared" si="5"/>
        <v>0.13330323756956811</v>
      </c>
    </row>
    <row r="127" spans="1:11">
      <c r="A127" s="3">
        <v>41395</v>
      </c>
      <c r="B127" s="105">
        <v>688329</v>
      </c>
      <c r="C127" s="190">
        <f>+'Purchased Power Model '!C127</f>
        <v>133.4</v>
      </c>
      <c r="D127" s="190">
        <f>+'Purchased Power Model '!D127</f>
        <v>3</v>
      </c>
      <c r="E127" s="103">
        <f>+'Purchased Power Model '!E127</f>
        <v>7.8295169999999997E-2</v>
      </c>
      <c r="F127" s="57">
        <f>+'Purchased Power Model '!F127</f>
        <v>31</v>
      </c>
      <c r="G127" s="57">
        <f>+'Purchased Power Model '!G127</f>
        <v>1</v>
      </c>
      <c r="H127" s="61">
        <v>12287</v>
      </c>
      <c r="I127" s="193">
        <f t="shared" si="3"/>
        <v>776017.46909986448</v>
      </c>
      <c r="J127" s="36">
        <f t="shared" si="4"/>
        <v>87688.46909986448</v>
      </c>
      <c r="K127" s="5">
        <f t="shared" si="5"/>
        <v>0.12739325104690413</v>
      </c>
    </row>
    <row r="128" spans="1:11">
      <c r="A128" s="3">
        <v>41426</v>
      </c>
      <c r="B128" s="105">
        <v>631632</v>
      </c>
      <c r="C128" s="190">
        <f>+'Purchased Power Model '!C128</f>
        <v>42.900000000000006</v>
      </c>
      <c r="D128" s="190">
        <f>+'Purchased Power Model '!D128</f>
        <v>32.200000000000003</v>
      </c>
      <c r="E128" s="103">
        <f>+'Purchased Power Model '!E128</f>
        <v>7.8295169999999997E-2</v>
      </c>
      <c r="F128" s="57">
        <f>+'Purchased Power Model '!F128</f>
        <v>30</v>
      </c>
      <c r="G128" s="57">
        <f>+'Purchased Power Model '!G128</f>
        <v>0</v>
      </c>
      <c r="H128" s="61">
        <v>12287</v>
      </c>
      <c r="I128" s="193">
        <f t="shared" si="3"/>
        <v>743436.78236236598</v>
      </c>
      <c r="J128" s="36">
        <f t="shared" si="4"/>
        <v>111804.78236236598</v>
      </c>
      <c r="K128" s="5">
        <f t="shared" si="5"/>
        <v>0.17700936995333671</v>
      </c>
    </row>
    <row r="129" spans="1:11">
      <c r="A129" s="3">
        <v>41456</v>
      </c>
      <c r="B129" s="105">
        <v>563926</v>
      </c>
      <c r="C129" s="190">
        <f>+'Purchased Power Model '!C129</f>
        <v>4.4000000000000004</v>
      </c>
      <c r="D129" s="190">
        <f>+'Purchased Power Model '!D129</f>
        <v>109.99999999999999</v>
      </c>
      <c r="E129" s="103">
        <f>+'Purchased Power Model '!E129</f>
        <v>6.7434110000000005E-2</v>
      </c>
      <c r="F129" s="57">
        <f>+'Purchased Power Model '!F129</f>
        <v>31</v>
      </c>
      <c r="G129" s="57">
        <f>+'Purchased Power Model '!G129</f>
        <v>0</v>
      </c>
      <c r="H129" s="61">
        <v>12361</v>
      </c>
      <c r="I129" s="193">
        <f t="shared" si="3"/>
        <v>580156.12129133113</v>
      </c>
      <c r="J129" s="36">
        <f t="shared" si="4"/>
        <v>16230.121291331132</v>
      </c>
      <c r="K129" s="5">
        <f t="shared" si="5"/>
        <v>2.8780586976537934E-2</v>
      </c>
    </row>
    <row r="130" spans="1:11">
      <c r="A130" s="3">
        <v>41487</v>
      </c>
      <c r="B130" s="105">
        <v>603382</v>
      </c>
      <c r="C130" s="190">
        <f>+'Purchased Power Model '!C130</f>
        <v>11</v>
      </c>
      <c r="D130" s="190">
        <f>+'Purchased Power Model '!D130</f>
        <v>57.899999999999991</v>
      </c>
      <c r="E130" s="103">
        <f>+'Purchased Power Model '!E130</f>
        <v>6.7434110000000005E-2</v>
      </c>
      <c r="F130" s="57">
        <f>+'Purchased Power Model '!F130</f>
        <v>31</v>
      </c>
      <c r="G130" s="57">
        <f>+'Purchased Power Model '!G130</f>
        <v>0</v>
      </c>
      <c r="H130" s="61">
        <v>12361</v>
      </c>
      <c r="I130" s="193">
        <f t="shared" si="3"/>
        <v>646585.88521685766</v>
      </c>
      <c r="J130" s="36">
        <f t="shared" si="4"/>
        <v>43203.885216857656</v>
      </c>
      <c r="K130" s="5">
        <f t="shared" si="5"/>
        <v>7.1602873829278393E-2</v>
      </c>
    </row>
    <row r="131" spans="1:11">
      <c r="A131" s="3">
        <v>41518</v>
      </c>
      <c r="B131" s="105">
        <v>617200</v>
      </c>
      <c r="C131" s="190">
        <f>+'Purchased Power Model '!C131</f>
        <v>96.600000000000009</v>
      </c>
      <c r="D131" s="190">
        <f>+'Purchased Power Model '!D131</f>
        <v>15.700000000000001</v>
      </c>
      <c r="E131" s="103">
        <f>+'Purchased Power Model '!E131</f>
        <v>6.7434110000000005E-2</v>
      </c>
      <c r="F131" s="57">
        <f>+'Purchased Power Model '!F131</f>
        <v>30</v>
      </c>
      <c r="G131" s="57">
        <f>+'Purchased Power Model '!G131</f>
        <v>1</v>
      </c>
      <c r="H131" s="61">
        <v>12367</v>
      </c>
      <c r="I131" s="193">
        <f t="shared" si="3"/>
        <v>779025.4375231259</v>
      </c>
      <c r="J131" s="36">
        <f t="shared" si="4"/>
        <v>161825.4375231259</v>
      </c>
      <c r="K131" s="5">
        <f t="shared" si="5"/>
        <v>0.26219286701737832</v>
      </c>
    </row>
    <row r="132" spans="1:11">
      <c r="A132" s="3">
        <v>41548</v>
      </c>
      <c r="B132" s="105">
        <v>613482</v>
      </c>
      <c r="C132" s="190">
        <f>+'Purchased Power Model '!C132</f>
        <v>221</v>
      </c>
      <c r="D132" s="190">
        <f>+'Purchased Power Model '!D132</f>
        <v>3</v>
      </c>
      <c r="E132" s="103">
        <f>+'Purchased Power Model '!E132</f>
        <v>7.5499999999999998E-2</v>
      </c>
      <c r="F132" s="57">
        <f>+'Purchased Power Model '!F132</f>
        <v>31</v>
      </c>
      <c r="G132" s="57">
        <f>+'Purchased Power Model '!G132</f>
        <v>1</v>
      </c>
      <c r="H132" s="61">
        <v>12375</v>
      </c>
      <c r="I132" s="193">
        <f t="shared" ref="I132:I195" si="6">$N$18+C132*$N$19+D132*$N$20+E132*$N$21+F132*$N$22+G132*$N$23+H132*$N$24</f>
        <v>813322.11793569138</v>
      </c>
      <c r="J132" s="36">
        <f t="shared" ref="J132:J133" si="7">I132-B132</f>
        <v>199840.11793569138</v>
      </c>
      <c r="K132" s="5">
        <f t="shared" ref="K132:K133" si="8">J132/B132</f>
        <v>0.32574732092496828</v>
      </c>
    </row>
    <row r="133" spans="1:11">
      <c r="A133" s="3">
        <v>41579</v>
      </c>
      <c r="B133" s="105">
        <v>863651</v>
      </c>
      <c r="C133" s="190">
        <f>+'Purchased Power Model '!C133</f>
        <v>458.6</v>
      </c>
      <c r="D133" s="190">
        <f>+'Purchased Power Model '!D133</f>
        <v>0</v>
      </c>
      <c r="E133" s="103">
        <f>+'Purchased Power Model '!E133</f>
        <v>7.5499999999999998E-2</v>
      </c>
      <c r="F133" s="57">
        <f>+'Purchased Power Model '!F133</f>
        <v>30</v>
      </c>
      <c r="G133" s="57">
        <f>+'Purchased Power Model '!G133</f>
        <v>1</v>
      </c>
      <c r="H133" s="61">
        <v>12375</v>
      </c>
      <c r="I133" s="193">
        <f t="shared" si="6"/>
        <v>958817.12032869284</v>
      </c>
      <c r="J133" s="36">
        <f t="shared" si="7"/>
        <v>95166.120328692836</v>
      </c>
      <c r="K133" s="5">
        <f t="shared" si="8"/>
        <v>0.11019048241557393</v>
      </c>
    </row>
    <row r="134" spans="1:11">
      <c r="A134" s="3">
        <v>41609</v>
      </c>
      <c r="B134" s="105">
        <v>915660</v>
      </c>
      <c r="C134" s="190">
        <f>+'Purchased Power Model '!C134</f>
        <v>472.8</v>
      </c>
      <c r="D134" s="190">
        <f ca="1">+'Purchased Power Model '!D134</f>
        <v>0</v>
      </c>
      <c r="E134" s="103">
        <f>+'Purchased Power Model '!E134</f>
        <v>7.5499999999999998E-2</v>
      </c>
      <c r="F134" s="57">
        <f>+'Purchased Power Model '!F134</f>
        <v>31</v>
      </c>
      <c r="G134" s="57">
        <f>+'Purchased Power Model '!G134</f>
        <v>0</v>
      </c>
      <c r="H134" s="61">
        <v>12385</v>
      </c>
      <c r="I134" s="193">
        <f t="shared" ca="1" si="6"/>
        <v>920269.87743154028</v>
      </c>
      <c r="J134" s="36">
        <f t="shared" ref="J134" ca="1" si="9">I134-B134</f>
        <v>4609.8774315402843</v>
      </c>
      <c r="K134" s="5">
        <f t="shared" ref="K134" ca="1" si="10">J134/B134</f>
        <v>5.0344859790099868E-3</v>
      </c>
    </row>
    <row r="135" spans="1:11">
      <c r="A135" s="3">
        <v>41640</v>
      </c>
      <c r="C135" s="188">
        <f>+'Purchased Power Model '!C135</f>
        <v>552.13385193331999</v>
      </c>
      <c r="D135" s="188">
        <f ca="1">+'Purchased Power Model '!D135</f>
        <v>0</v>
      </c>
      <c r="E135" s="103">
        <f>+'Purchased Power Model '!E135</f>
        <v>7.5499999999999998E-2</v>
      </c>
      <c r="F135" s="57">
        <f>+'Purchased Power Model '!F135</f>
        <v>31</v>
      </c>
      <c r="G135" s="57">
        <f>+'Purchased Power Model '!G135</f>
        <v>0</v>
      </c>
      <c r="H135" s="192"/>
      <c r="I135" s="193">
        <f t="shared" ca="1" si="6"/>
        <v>377081.78990518325</v>
      </c>
      <c r="J135" s="36"/>
      <c r="K135" s="5"/>
    </row>
    <row r="136" spans="1:11">
      <c r="A136" s="3">
        <v>41671</v>
      </c>
      <c r="C136" s="188">
        <f>+'Purchased Power Model '!C136</f>
        <v>548.63479112321284</v>
      </c>
      <c r="D136" s="188">
        <f ca="1">+'Purchased Power Model '!D136</f>
        <v>0</v>
      </c>
      <c r="E136" s="103">
        <f>+'Purchased Power Model '!E136</f>
        <v>7.5499999999999998E-2</v>
      </c>
      <c r="F136" s="57">
        <f>+'Purchased Power Model '!F136</f>
        <v>28</v>
      </c>
      <c r="G136" s="57">
        <f>+'Purchased Power Model '!G136</f>
        <v>0</v>
      </c>
      <c r="H136" s="192"/>
      <c r="I136" s="193">
        <f t="shared" ca="1" si="6"/>
        <v>504220.8377078746</v>
      </c>
      <c r="J136" s="36"/>
      <c r="K136" s="5"/>
    </row>
    <row r="137" spans="1:11">
      <c r="A137" s="3">
        <v>41699</v>
      </c>
      <c r="C137" s="188">
        <f>+'Purchased Power Model '!C137</f>
        <v>488.97131833548809</v>
      </c>
      <c r="D137" s="188">
        <f ca="1">+'Purchased Power Model '!D137</f>
        <v>0</v>
      </c>
      <c r="E137" s="103">
        <f>+'Purchased Power Model '!E137</f>
        <v>7.5499999999999998E-2</v>
      </c>
      <c r="F137" s="57">
        <f>+'Purchased Power Model '!F137</f>
        <v>31</v>
      </c>
      <c r="G137" s="57">
        <f>+'Purchased Power Model '!G137</f>
        <v>1</v>
      </c>
      <c r="H137" s="192"/>
      <c r="I137" s="193">
        <f t="shared" ca="1" si="6"/>
        <v>352835.45287323999</v>
      </c>
      <c r="J137" s="36"/>
      <c r="K137" s="5"/>
    </row>
    <row r="138" spans="1:11">
      <c r="A138" s="3">
        <v>41730</v>
      </c>
      <c r="C138" s="188">
        <f>+'Purchased Power Model '!C138</f>
        <v>328.82199664212175</v>
      </c>
      <c r="D138" s="188">
        <f ca="1">+'Purchased Power Model '!D138</f>
        <v>0</v>
      </c>
      <c r="E138" s="103">
        <f>+'Purchased Power Model '!E138</f>
        <v>7.5499999999999998E-2</v>
      </c>
      <c r="F138" s="57">
        <f>+'Purchased Power Model '!F138</f>
        <v>30</v>
      </c>
      <c r="G138" s="57">
        <f>+'Purchased Power Model '!G138</f>
        <v>1</v>
      </c>
      <c r="H138" s="192"/>
      <c r="I138" s="193">
        <f t="shared" ca="1" si="6"/>
        <v>328997.20260416064</v>
      </c>
      <c r="J138" s="36"/>
      <c r="K138" s="5"/>
    </row>
    <row r="139" spans="1:11">
      <c r="A139" s="3">
        <v>41760</v>
      </c>
      <c r="C139" s="188">
        <f>+'Purchased Power Model '!C139</f>
        <v>119.68582360725524</v>
      </c>
      <c r="D139" s="188">
        <f ca="1">+'Purchased Power Model '!D139</f>
        <v>3.6853840478727715</v>
      </c>
      <c r="E139" s="103">
        <f>+'Purchased Power Model '!E139</f>
        <v>7.5499999999999998E-2</v>
      </c>
      <c r="F139" s="57">
        <f>+'Purchased Power Model '!F139</f>
        <v>31</v>
      </c>
      <c r="G139" s="57">
        <f>+'Purchased Power Model '!G139</f>
        <v>1</v>
      </c>
      <c r="H139" s="192"/>
      <c r="I139" s="193">
        <f t="shared" ca="1" si="6"/>
        <v>194519.92609168359</v>
      </c>
      <c r="J139" s="36"/>
      <c r="K139" s="5"/>
    </row>
    <row r="140" spans="1:11">
      <c r="A140" s="3">
        <v>41791</v>
      </c>
      <c r="C140" s="188">
        <f>+'Purchased Power Model '!C140</f>
        <v>38.489668911178789</v>
      </c>
      <c r="D140" s="188">
        <f ca="1">+'Purchased Power Model '!D140</f>
        <v>39.55645544716775</v>
      </c>
      <c r="E140" s="103">
        <f>+'Purchased Power Model '!E140</f>
        <v>7.5499999999999998E-2</v>
      </c>
      <c r="F140" s="57">
        <f>+'Purchased Power Model '!F140</f>
        <v>30</v>
      </c>
      <c r="G140" s="57">
        <f>+'Purchased Power Model '!G140</f>
        <v>0</v>
      </c>
      <c r="H140" s="192"/>
      <c r="I140" s="193">
        <f t="shared" ca="1" si="6"/>
        <v>157660.46150838537</v>
      </c>
      <c r="J140" s="36"/>
      <c r="K140" s="5"/>
    </row>
    <row r="141" spans="1:11">
      <c r="A141" s="3">
        <v>41821</v>
      </c>
      <c r="C141" s="188">
        <f>+'Purchased Power Model '!C141</f>
        <v>3.9476583498644913</v>
      </c>
      <c r="D141" s="188">
        <f ca="1">+'Purchased Power Model '!D141</f>
        <v>135.1307484220016</v>
      </c>
      <c r="E141" s="103">
        <f>+'Purchased Power Model '!E141</f>
        <v>7.5499999999999998E-2</v>
      </c>
      <c r="F141" s="57">
        <f>+'Purchased Power Model '!F141</f>
        <v>31</v>
      </c>
      <c r="G141" s="57">
        <f>+'Purchased Power Model '!G141</f>
        <v>0</v>
      </c>
      <c r="H141" s="192"/>
      <c r="I141" s="193">
        <f t="shared" ca="1" si="6"/>
        <v>-16410.667498318478</v>
      </c>
      <c r="J141" s="36"/>
      <c r="K141" s="5"/>
    </row>
    <row r="142" spans="1:11">
      <c r="A142" s="3">
        <v>41852</v>
      </c>
      <c r="C142" s="188">
        <f>+'Purchased Power Model '!C142</f>
        <v>9.8691458746612266</v>
      </c>
      <c r="D142" s="188">
        <f ca="1">+'Purchased Power Model '!D142</f>
        <v>71.127912123944469</v>
      </c>
      <c r="E142" s="103">
        <f>+'Purchased Power Model '!E142</f>
        <v>7.5499999999999998E-2</v>
      </c>
      <c r="F142" s="57">
        <f>+'Purchased Power Model '!F142</f>
        <v>31</v>
      </c>
      <c r="G142" s="57">
        <f>+'Purchased Power Model '!G142</f>
        <v>0</v>
      </c>
      <c r="H142" s="192"/>
      <c r="I142" s="193">
        <f t="shared" ca="1" si="6"/>
        <v>64285.09108286188</v>
      </c>
      <c r="J142" s="36"/>
      <c r="K142" s="5"/>
    </row>
    <row r="143" spans="1:11">
      <c r="A143" s="3">
        <v>41883</v>
      </c>
      <c r="C143" s="188">
        <f>+'Purchased Power Model '!C143</f>
        <v>86.669044681115878</v>
      </c>
      <c r="D143" s="188">
        <f ca="1">+'Purchased Power Model '!D143</f>
        <v>19.286843183867507</v>
      </c>
      <c r="E143" s="103">
        <f>+'Purchased Power Model '!E143</f>
        <v>7.5499999999999998E-2</v>
      </c>
      <c r="F143" s="57">
        <f>+'Purchased Power Model '!F143</f>
        <v>30</v>
      </c>
      <c r="G143" s="57">
        <f>+'Purchased Power Model '!G143</f>
        <v>1</v>
      </c>
      <c r="H143" s="192"/>
      <c r="I143" s="193">
        <f t="shared" ca="1" si="6"/>
        <v>204564.24546637342</v>
      </c>
      <c r="J143" s="36"/>
      <c r="K143" s="5"/>
    </row>
    <row r="144" spans="1:11">
      <c r="A144" s="3">
        <v>41913</v>
      </c>
      <c r="C144" s="188">
        <f>+'Purchased Power Model '!C144</f>
        <v>198.2801125727392</v>
      </c>
      <c r="D144" s="188">
        <f ca="1">+'Purchased Power Model '!D144</f>
        <v>3.6853840478727715</v>
      </c>
      <c r="E144" s="103">
        <f>+'Purchased Power Model '!E144</f>
        <v>7.5499999999999998E-2</v>
      </c>
      <c r="F144" s="57">
        <f>+'Purchased Power Model '!F144</f>
        <v>31</v>
      </c>
      <c r="G144" s="57">
        <f>+'Purchased Power Model '!G144</f>
        <v>1</v>
      </c>
      <c r="H144" s="192"/>
      <c r="I144" s="193">
        <f t="shared" ca="1" si="6"/>
        <v>227255.20216058849</v>
      </c>
      <c r="J144" s="36"/>
      <c r="K144" s="5"/>
    </row>
    <row r="145" spans="1:11">
      <c r="A145" s="3">
        <v>41944</v>
      </c>
      <c r="C145" s="188">
        <f>+'Purchased Power Model '!C145</f>
        <v>411.45366346542176</v>
      </c>
      <c r="D145" s="188">
        <f ca="1">+'Purchased Power Model '!D145</f>
        <v>0</v>
      </c>
      <c r="E145" s="103">
        <f>+'Purchased Power Model '!E145</f>
        <v>7.5499999999999998E-2</v>
      </c>
      <c r="F145" s="57">
        <f>+'Purchased Power Model '!F145</f>
        <v>30</v>
      </c>
      <c r="G145" s="57">
        <f>+'Purchased Power Model '!G145</f>
        <v>1</v>
      </c>
      <c r="H145" s="192"/>
      <c r="I145" s="193">
        <f t="shared" ca="1" si="6"/>
        <v>363414.08532044082</v>
      </c>
      <c r="J145" s="36"/>
      <c r="K145" s="5"/>
    </row>
    <row r="146" spans="1:11">
      <c r="A146" s="3">
        <v>41974</v>
      </c>
      <c r="C146" s="188">
        <f>+'Purchased Power Model '!C146</f>
        <v>424.19383359452985</v>
      </c>
      <c r="D146" s="188">
        <f ca="1">+'Purchased Power Model '!D146</f>
        <v>0</v>
      </c>
      <c r="E146" s="103">
        <f>+'Purchased Power Model '!E146</f>
        <v>7.5499999999999998E-2</v>
      </c>
      <c r="F146" s="57">
        <f>+'Purchased Power Model '!F146</f>
        <v>31</v>
      </c>
      <c r="G146" s="57">
        <f>+'Purchased Power Model '!G146</f>
        <v>0</v>
      </c>
      <c r="H146" s="192"/>
      <c r="I146" s="193">
        <f t="shared" ca="1" si="6"/>
        <v>323793.54370169179</v>
      </c>
      <c r="J146" s="36"/>
      <c r="K146" s="5"/>
    </row>
    <row r="147" spans="1:11">
      <c r="A147" s="3">
        <v>42005</v>
      </c>
      <c r="C147" s="188">
        <f>+'Purchased Power Model '!C147</f>
        <v>545.6611483841823</v>
      </c>
      <c r="D147" s="188">
        <f ca="1">+'Purchased Power Model '!D147</f>
        <v>0</v>
      </c>
      <c r="E147" s="103">
        <f>+'Purchased Power Model '!E147</f>
        <v>7.5499999999999998E-2</v>
      </c>
      <c r="F147" s="57">
        <f>+'Purchased Power Model '!F147</f>
        <v>31</v>
      </c>
      <c r="G147" s="57">
        <f>+'Purchased Power Model '!G147</f>
        <v>0</v>
      </c>
      <c r="H147" s="192"/>
      <c r="I147" s="193">
        <f t="shared" ca="1" si="6"/>
        <v>374385.84672175092</v>
      </c>
      <c r="J147" s="36"/>
      <c r="K147" s="5"/>
    </row>
    <row r="148" spans="1:11">
      <c r="A148" s="3">
        <v>42036</v>
      </c>
      <c r="C148" s="188">
        <f>+'Purchased Power Model '!C148</f>
        <v>542.20310730732444</v>
      </c>
      <c r="D148" s="188">
        <f ca="1">+'Purchased Power Model '!D148</f>
        <v>0</v>
      </c>
      <c r="E148" s="103">
        <f>+'Purchased Power Model '!E148</f>
        <v>7.5499999999999998E-2</v>
      </c>
      <c r="F148" s="57">
        <f>+'Purchased Power Model '!F148</f>
        <v>28</v>
      </c>
      <c r="G148" s="57">
        <f>+'Purchased Power Model '!G148</f>
        <v>0</v>
      </c>
      <c r="H148" s="192"/>
      <c r="I148" s="193">
        <f t="shared" ca="1" si="6"/>
        <v>501541.97963723936</v>
      </c>
      <c r="J148" s="36"/>
      <c r="K148" s="5"/>
    </row>
    <row r="149" spans="1:11">
      <c r="A149" s="3">
        <v>42064</v>
      </c>
      <c r="C149" s="188">
        <f>+'Purchased Power Model '!C149</f>
        <v>483.23907356090245</v>
      </c>
      <c r="D149" s="188">
        <f ca="1">+'Purchased Power Model '!D149</f>
        <v>0</v>
      </c>
      <c r="E149" s="103">
        <f>+'Purchased Power Model '!E149</f>
        <v>7.5499999999999998E-2</v>
      </c>
      <c r="F149" s="57">
        <f>+'Purchased Power Model '!F149</f>
        <v>31</v>
      </c>
      <c r="G149" s="57">
        <f>+'Purchased Power Model '!G149</f>
        <v>1</v>
      </c>
      <c r="H149" s="192"/>
      <c r="I149" s="193">
        <f t="shared" ca="1" si="6"/>
        <v>350447.91787978774</v>
      </c>
      <c r="J149" s="36"/>
      <c r="K149" s="5"/>
    </row>
    <row r="150" spans="1:11">
      <c r="A150" s="3">
        <v>42095</v>
      </c>
      <c r="C150" s="188">
        <f>+'Purchased Power Model '!C150</f>
        <v>324.96719350471687</v>
      </c>
      <c r="D150" s="188">
        <f ca="1">+'Purchased Power Model '!D150</f>
        <v>0</v>
      </c>
      <c r="E150" s="103">
        <f>+'Purchased Power Model '!E150</f>
        <v>7.5499999999999998E-2</v>
      </c>
      <c r="F150" s="57">
        <f>+'Purchased Power Model '!F150</f>
        <v>30</v>
      </c>
      <c r="G150" s="57">
        <f>+'Purchased Power Model '!G150</f>
        <v>1</v>
      </c>
      <c r="H150" s="192"/>
      <c r="I150" s="193">
        <f t="shared" ca="1" si="6"/>
        <v>327391.64008104079</v>
      </c>
      <c r="J150" s="36"/>
      <c r="K150" s="5"/>
    </row>
    <row r="151" spans="1:11">
      <c r="A151" s="3">
        <v>42125</v>
      </c>
      <c r="C151" s="188">
        <f>+'Purchased Power Model '!C151</f>
        <v>118.28273837252181</v>
      </c>
      <c r="D151" s="188">
        <f ca="1">+'Purchased Power Model '!D151</f>
        <v>3.7719239281908306</v>
      </c>
      <c r="E151" s="103">
        <f>+'Purchased Power Model '!E151</f>
        <v>7.5499999999999998E-2</v>
      </c>
      <c r="F151" s="57">
        <f>+'Purchased Power Model '!F151</f>
        <v>31</v>
      </c>
      <c r="G151" s="57">
        <f>+'Purchased Power Model '!G151</f>
        <v>1</v>
      </c>
      <c r="H151" s="192"/>
      <c r="I151" s="193">
        <f t="shared" ca="1" si="6"/>
        <v>193829.7516322993</v>
      </c>
      <c r="J151" s="36"/>
      <c r="K151" s="5"/>
    </row>
    <row r="152" spans="1:11">
      <c r="A152" s="3">
        <v>42156</v>
      </c>
      <c r="C152" s="188">
        <f>+'Purchased Power Model '!C152</f>
        <v>38.038451845436171</v>
      </c>
      <c r="D152" s="188">
        <f ca="1">+'Purchased Power Model '!D152</f>
        <v>40.485316829248255</v>
      </c>
      <c r="E152" s="103">
        <f>+'Purchased Power Model '!E152</f>
        <v>7.5499999999999998E-2</v>
      </c>
      <c r="F152" s="57">
        <f>+'Purchased Power Model '!F152</f>
        <v>30</v>
      </c>
      <c r="G152" s="57">
        <f>+'Purchased Power Model '!G152</f>
        <v>0</v>
      </c>
      <c r="H152" s="192"/>
      <c r="I152" s="193">
        <f t="shared" ca="1" si="6"/>
        <v>156337.19635381689</v>
      </c>
      <c r="J152" s="36"/>
      <c r="K152" s="5"/>
    </row>
    <row r="153" spans="1:11">
      <c r="A153" s="3">
        <v>42186</v>
      </c>
      <c r="C153" s="188">
        <f>+'Purchased Power Model '!C153</f>
        <v>3.9013796764549924</v>
      </c>
      <c r="D153" s="188">
        <f ca="1">+'Purchased Power Model '!D153</f>
        <v>138.30387736699711</v>
      </c>
      <c r="E153" s="103">
        <f>+'Purchased Power Model '!E153</f>
        <v>7.5499999999999998E-2</v>
      </c>
      <c r="F153" s="57">
        <f>+'Purchased Power Model '!F153</f>
        <v>31</v>
      </c>
      <c r="G153" s="57">
        <f>+'Purchased Power Model '!G153</f>
        <v>0</v>
      </c>
      <c r="H153" s="192"/>
      <c r="I153" s="193">
        <f t="shared" ca="1" si="6"/>
        <v>-20308.39582130732</v>
      </c>
      <c r="J153" s="36"/>
      <c r="K153" s="5"/>
    </row>
    <row r="154" spans="1:11">
      <c r="A154" s="3">
        <v>42217</v>
      </c>
      <c r="C154" s="188">
        <f>+'Purchased Power Model '!C154</f>
        <v>9.753449191137479</v>
      </c>
      <c r="D154" s="188">
        <f ca="1">+'Purchased Power Model '!D154</f>
        <v>72.798131814083021</v>
      </c>
      <c r="E154" s="103">
        <f>+'Purchased Power Model '!E154</f>
        <v>7.5499999999999998E-2</v>
      </c>
      <c r="F154" s="57">
        <f>+'Purchased Power Model '!F154</f>
        <v>31</v>
      </c>
      <c r="G154" s="57">
        <f>+'Purchased Power Model '!G154</f>
        <v>0</v>
      </c>
      <c r="H154" s="192"/>
      <c r="I154" s="193">
        <f t="shared" ca="1" si="6"/>
        <v>62195.425778053934</v>
      </c>
      <c r="J154" s="36"/>
      <c r="K154" s="5"/>
    </row>
    <row r="155" spans="1:11">
      <c r="A155" s="3">
        <v>42248</v>
      </c>
      <c r="C155" s="188">
        <f>+'Purchased Power Model '!C155</f>
        <v>85.653017442170963</v>
      </c>
      <c r="D155" s="188">
        <f ca="1">+'Purchased Power Model '!D155</f>
        <v>19.739735224198682</v>
      </c>
      <c r="E155" s="103">
        <f>+'Purchased Power Model '!E155</f>
        <v>7.5499999999999998E-2</v>
      </c>
      <c r="F155" s="57">
        <f>+'Purchased Power Model '!F155</f>
        <v>30</v>
      </c>
      <c r="G155" s="57">
        <f>+'Purchased Power Model '!G155</f>
        <v>1</v>
      </c>
      <c r="H155" s="192"/>
      <c r="I155" s="193">
        <f t="shared" ca="1" si="6"/>
        <v>203587.49937264973</v>
      </c>
      <c r="J155" s="36"/>
      <c r="K155" s="5"/>
    </row>
    <row r="156" spans="1:11">
      <c r="A156" s="3">
        <v>42278</v>
      </c>
      <c r="C156" s="188">
        <f>+'Purchased Power Model '!C156</f>
        <v>195.95566102194391</v>
      </c>
      <c r="D156" s="188">
        <f ca="1">+'Purchased Power Model '!D156</f>
        <v>3.7719239281908306</v>
      </c>
      <c r="E156" s="103">
        <f>+'Purchased Power Model '!E156</f>
        <v>7.5499999999999998E-2</v>
      </c>
      <c r="F156" s="57">
        <f>+'Purchased Power Model '!F156</f>
        <v>31</v>
      </c>
      <c r="G156" s="57">
        <f>+'Purchased Power Model '!G156</f>
        <v>1</v>
      </c>
      <c r="H156" s="192"/>
      <c r="I156" s="193">
        <f t="shared" ca="1" si="6"/>
        <v>226181.26978299071</v>
      </c>
      <c r="J156" s="36"/>
      <c r="K156" s="5"/>
    </row>
    <row r="157" spans="1:11">
      <c r="A157" s="3">
        <v>42309</v>
      </c>
      <c r="C157" s="188">
        <f>+'Purchased Power Model '!C157</f>
        <v>406.63016355051349</v>
      </c>
      <c r="D157" s="188">
        <f ca="1">+'Purchased Power Model '!D157</f>
        <v>0</v>
      </c>
      <c r="E157" s="103">
        <f>+'Purchased Power Model '!E157</f>
        <v>7.5499999999999998E-2</v>
      </c>
      <c r="F157" s="57">
        <f>+'Purchased Power Model '!F157</f>
        <v>30</v>
      </c>
      <c r="G157" s="57">
        <f>+'Purchased Power Model '!G157</f>
        <v>1</v>
      </c>
      <c r="H157" s="192"/>
      <c r="I157" s="193">
        <f t="shared" ca="1" si="6"/>
        <v>361405.05128741846</v>
      </c>
      <c r="J157" s="36"/>
      <c r="K157" s="5"/>
    </row>
    <row r="158" spans="1:11">
      <c r="A158" s="3">
        <v>42339</v>
      </c>
      <c r="C158" s="188">
        <f>+'Purchased Power Model '!C158</f>
        <v>419.22097977907276</v>
      </c>
      <c r="D158" s="188">
        <f ca="1">+'Purchased Power Model '!D158</f>
        <v>0</v>
      </c>
      <c r="E158" s="103">
        <f>+'Purchased Power Model '!E158</f>
        <v>7.5499999999999998E-2</v>
      </c>
      <c r="F158" s="57">
        <f>+'Purchased Power Model '!F158</f>
        <v>31</v>
      </c>
      <c r="G158" s="57">
        <f>+'Purchased Power Model '!G158</f>
        <v>0</v>
      </c>
      <c r="H158" s="192"/>
      <c r="I158" s="193">
        <f t="shared" ca="1" si="6"/>
        <v>321722.30233489489</v>
      </c>
      <c r="J158" s="36"/>
      <c r="K158" s="5"/>
    </row>
    <row r="159" spans="1:11">
      <c r="A159" s="3">
        <v>42370</v>
      </c>
      <c r="C159" s="188">
        <f>+'Purchased Power Model '!C159</f>
        <v>539.18844483504199</v>
      </c>
      <c r="D159" s="188">
        <f ca="1">+'Purchased Power Model '!D159</f>
        <v>0</v>
      </c>
      <c r="E159" s="103">
        <f>+'Purchased Power Model '!E159</f>
        <v>7.5499999999999998E-2</v>
      </c>
      <c r="F159" s="57">
        <f>+'Purchased Power Model '!F159</f>
        <v>31</v>
      </c>
      <c r="G159" s="57">
        <f>+'Purchased Power Model '!G159</f>
        <v>0</v>
      </c>
      <c r="H159" s="192"/>
      <c r="I159" s="193">
        <f t="shared" ca="1" si="6"/>
        <v>371689.90353831765</v>
      </c>
      <c r="J159" s="36"/>
      <c r="K159" s="5"/>
    </row>
    <row r="160" spans="1:11">
      <c r="A160" s="3">
        <v>42401</v>
      </c>
      <c r="C160" s="188">
        <f>+'Purchased Power Model '!C160</f>
        <v>535.77142349143355</v>
      </c>
      <c r="D160" s="188">
        <f ca="1">+'Purchased Power Model '!D160</f>
        <v>0</v>
      </c>
      <c r="E160" s="103">
        <f>+'Purchased Power Model '!E160</f>
        <v>7.5499999999999998E-2</v>
      </c>
      <c r="F160" s="57">
        <f>+'Purchased Power Model '!F160</f>
        <v>29</v>
      </c>
      <c r="G160" s="57">
        <f>+'Purchased Power Model '!G160</f>
        <v>0</v>
      </c>
      <c r="H160" s="192"/>
      <c r="I160" s="193">
        <f t="shared" ca="1" si="6"/>
        <v>455997.64148979797</v>
      </c>
      <c r="J160" s="36"/>
      <c r="K160" s="5"/>
    </row>
    <row r="161" spans="1:11">
      <c r="A161" s="3">
        <v>42430</v>
      </c>
      <c r="C161" s="188">
        <f>+'Purchased Power Model '!C161</f>
        <v>477.50682878631443</v>
      </c>
      <c r="D161" s="188">
        <f ca="1">+'Purchased Power Model '!D161</f>
        <v>0</v>
      </c>
      <c r="E161" s="103">
        <f>+'Purchased Power Model '!E161</f>
        <v>7.5499999999999998E-2</v>
      </c>
      <c r="F161" s="57">
        <f>+'Purchased Power Model '!F161</f>
        <v>31</v>
      </c>
      <c r="G161" s="57">
        <f>+'Purchased Power Model '!G161</f>
        <v>1</v>
      </c>
      <c r="H161" s="192"/>
      <c r="I161" s="193">
        <f t="shared" ca="1" si="6"/>
        <v>348060.38288633456</v>
      </c>
      <c r="J161" s="36"/>
      <c r="K161" s="5"/>
    </row>
    <row r="162" spans="1:11">
      <c r="A162" s="3">
        <v>42461</v>
      </c>
      <c r="C162" s="188">
        <f>+'Purchased Power Model '!C162</f>
        <v>321.11239036731047</v>
      </c>
      <c r="D162" s="188">
        <f ca="1">+'Purchased Power Model '!D162</f>
        <v>0</v>
      </c>
      <c r="E162" s="103">
        <f>+'Purchased Power Model '!E162</f>
        <v>7.5499999999999998E-2</v>
      </c>
      <c r="F162" s="57">
        <f>+'Purchased Power Model '!F162</f>
        <v>30</v>
      </c>
      <c r="G162" s="57">
        <f>+'Purchased Power Model '!G162</f>
        <v>1</v>
      </c>
      <c r="H162" s="192"/>
      <c r="I162" s="193">
        <f t="shared" ca="1" si="6"/>
        <v>325786.07755792048</v>
      </c>
      <c r="J162" s="36"/>
      <c r="K162" s="5"/>
    </row>
    <row r="163" spans="1:11">
      <c r="A163" s="3">
        <v>42491</v>
      </c>
      <c r="C163" s="188">
        <f>+'Purchased Power Model '!C163</f>
        <v>116.8796531377878</v>
      </c>
      <c r="D163" s="188">
        <f ca="1">+'Purchased Power Model '!D163</f>
        <v>3.8584638085088909</v>
      </c>
      <c r="E163" s="103">
        <f>+'Purchased Power Model '!E163</f>
        <v>7.5499999999999998E-2</v>
      </c>
      <c r="F163" s="57">
        <f>+'Purchased Power Model '!F163</f>
        <v>31</v>
      </c>
      <c r="G163" s="57">
        <f>+'Purchased Power Model '!G163</f>
        <v>1</v>
      </c>
      <c r="H163" s="192"/>
      <c r="I163" s="193">
        <f t="shared" ca="1" si="6"/>
        <v>193139.57717291478</v>
      </c>
      <c r="J163" s="36"/>
      <c r="K163" s="5"/>
    </row>
    <row r="164" spans="1:11">
      <c r="A164" s="3">
        <v>42522</v>
      </c>
      <c r="C164" s="188">
        <f>+'Purchased Power Model '!C164</f>
        <v>37.587234779693375</v>
      </c>
      <c r="D164" s="188">
        <f ca="1">+'Purchased Power Model '!D164</f>
        <v>41.414178211328768</v>
      </c>
      <c r="E164" s="103">
        <f>+'Purchased Power Model '!E164</f>
        <v>7.5499999999999998E-2</v>
      </c>
      <c r="F164" s="57">
        <f>+'Purchased Power Model '!F164</f>
        <v>30</v>
      </c>
      <c r="G164" s="57">
        <f>+'Purchased Power Model '!G164</f>
        <v>0</v>
      </c>
      <c r="H164" s="192"/>
      <c r="I164" s="193">
        <f t="shared" ca="1" si="6"/>
        <v>155013.93119924888</v>
      </c>
      <c r="J164" s="36"/>
      <c r="K164" s="5"/>
    </row>
    <row r="165" spans="1:11">
      <c r="A165" s="3">
        <v>42552</v>
      </c>
      <c r="C165" s="188">
        <f>+'Purchased Power Model '!C165</f>
        <v>3.8551010030454749</v>
      </c>
      <c r="D165" s="188">
        <f ca="1">+'Purchased Power Model '!D165</f>
        <v>141.47700631199265</v>
      </c>
      <c r="E165" s="103">
        <f>+'Purchased Power Model '!E165</f>
        <v>7.5499999999999998E-2</v>
      </c>
      <c r="F165" s="57">
        <f>+'Purchased Power Model '!F165</f>
        <v>31</v>
      </c>
      <c r="G165" s="57">
        <f>+'Purchased Power Model '!G165</f>
        <v>0</v>
      </c>
      <c r="H165" s="192"/>
      <c r="I165" s="193">
        <f t="shared" ca="1" si="6"/>
        <v>-24206.124144296395</v>
      </c>
      <c r="J165" s="36"/>
      <c r="K165" s="5"/>
    </row>
    <row r="166" spans="1:11">
      <c r="A166" s="3">
        <v>42583</v>
      </c>
      <c r="C166" s="188">
        <f>+'Purchased Power Model '!C166</f>
        <v>9.6377525076136852</v>
      </c>
      <c r="D166" s="188">
        <f ca="1">+'Purchased Power Model '!D166</f>
        <v>74.468351504221573</v>
      </c>
      <c r="E166" s="103">
        <f>+'Purchased Power Model '!E166</f>
        <v>7.5499999999999998E-2</v>
      </c>
      <c r="F166" s="57">
        <f>+'Purchased Power Model '!F166</f>
        <v>31</v>
      </c>
      <c r="G166" s="57">
        <f>+'Purchased Power Model '!G166</f>
        <v>0</v>
      </c>
      <c r="H166" s="192"/>
      <c r="I166" s="193">
        <f t="shared" ca="1" si="6"/>
        <v>60105.76047324622</v>
      </c>
      <c r="J166" s="36"/>
      <c r="K166" s="5"/>
    </row>
    <row r="167" spans="1:11">
      <c r="A167" s="3">
        <v>42614</v>
      </c>
      <c r="C167" s="188">
        <f>+'Purchased Power Model '!C167</f>
        <v>84.636990203225636</v>
      </c>
      <c r="D167" s="188">
        <f ca="1">+'Purchased Power Model '!D167</f>
        <v>20.192627264529865</v>
      </c>
      <c r="E167" s="103">
        <f>+'Purchased Power Model '!E167</f>
        <v>7.5499999999999998E-2</v>
      </c>
      <c r="F167" s="57">
        <f>+'Purchased Power Model '!F167</f>
        <v>30</v>
      </c>
      <c r="G167" s="57">
        <f>+'Purchased Power Model '!G167</f>
        <v>1</v>
      </c>
      <c r="H167" s="192"/>
      <c r="I167" s="193">
        <f t="shared" ca="1" si="6"/>
        <v>202610.75327892581</v>
      </c>
      <c r="J167" s="36"/>
      <c r="K167" s="5"/>
    </row>
    <row r="168" spans="1:11">
      <c r="A168" s="3">
        <v>42644</v>
      </c>
      <c r="C168" s="188">
        <f>+'Purchased Power Model '!C168</f>
        <v>193.63120947114768</v>
      </c>
      <c r="D168" s="188">
        <f ca="1">+'Purchased Power Model '!D168</f>
        <v>3.8584638085088909</v>
      </c>
      <c r="E168" s="103">
        <f>+'Purchased Power Model '!E168</f>
        <v>7.5499999999999998E-2</v>
      </c>
      <c r="F168" s="57">
        <f>+'Purchased Power Model '!F168</f>
        <v>31</v>
      </c>
      <c r="G168" s="57">
        <f>+'Purchased Power Model '!G168</f>
        <v>1</v>
      </c>
      <c r="H168" s="192"/>
      <c r="I168" s="193">
        <f t="shared" ca="1" si="6"/>
        <v>225107.33740539246</v>
      </c>
      <c r="J168" s="36"/>
      <c r="K168" s="5"/>
    </row>
    <row r="169" spans="1:11">
      <c r="A169" s="3">
        <v>42675</v>
      </c>
      <c r="C169" s="188">
        <f>+'Purchased Power Model '!C169</f>
        <v>401.80666363560329</v>
      </c>
      <c r="D169" s="188">
        <f ca="1">+'Purchased Power Model '!D169</f>
        <v>0</v>
      </c>
      <c r="E169" s="103">
        <f>+'Purchased Power Model '!E169</f>
        <v>7.5499999999999998E-2</v>
      </c>
      <c r="F169" s="57">
        <f>+'Purchased Power Model '!F169</f>
        <v>30</v>
      </c>
      <c r="G169" s="57">
        <f>+'Purchased Power Model '!G169</f>
        <v>1</v>
      </c>
      <c r="H169" s="192"/>
      <c r="I169" s="193">
        <f t="shared" ca="1" si="6"/>
        <v>359396.01725439518</v>
      </c>
      <c r="J169" s="36"/>
      <c r="K169" s="5"/>
    </row>
    <row r="170" spans="1:11">
      <c r="A170" s="3">
        <v>42705</v>
      </c>
      <c r="C170" s="188">
        <f>+'Purchased Power Model '!C170</f>
        <v>414.24812596361369</v>
      </c>
      <c r="D170" s="188">
        <f ca="1">+'Purchased Power Model '!D170</f>
        <v>0</v>
      </c>
      <c r="E170" s="103">
        <f>+'Purchased Power Model '!E170</f>
        <v>7.5499999999999998E-2</v>
      </c>
      <c r="F170" s="57">
        <f>+'Purchased Power Model '!F170</f>
        <v>31</v>
      </c>
      <c r="G170" s="57">
        <f>+'Purchased Power Model '!G170</f>
        <v>0</v>
      </c>
      <c r="H170" s="192"/>
      <c r="I170" s="193">
        <f t="shared" ca="1" si="6"/>
        <v>319651.0609680973</v>
      </c>
      <c r="J170" s="36"/>
      <c r="K170" s="5"/>
    </row>
    <row r="171" spans="1:11">
      <c r="A171" s="3">
        <v>42736</v>
      </c>
      <c r="C171" s="188">
        <f>+'Purchased Power Model '!C171</f>
        <v>532.7157412859018</v>
      </c>
      <c r="D171" s="188">
        <f ca="1">+'Purchased Power Model '!D171</f>
        <v>0</v>
      </c>
      <c r="E171" s="103">
        <f>+'Purchased Power Model '!E171</f>
        <v>7.5499999999999998E-2</v>
      </c>
      <c r="F171" s="57">
        <f>+'Purchased Power Model '!F171</f>
        <v>31</v>
      </c>
      <c r="G171" s="57">
        <f>+'Purchased Power Model '!G171</f>
        <v>0</v>
      </c>
      <c r="H171" s="192"/>
      <c r="I171" s="193">
        <f t="shared" ca="1" si="6"/>
        <v>368993.96035488416</v>
      </c>
      <c r="J171" s="36"/>
      <c r="K171" s="5"/>
    </row>
    <row r="172" spans="1:11">
      <c r="A172" s="3">
        <v>42767</v>
      </c>
      <c r="C172" s="188">
        <f>+'Purchased Power Model '!C172</f>
        <v>529.33973967554266</v>
      </c>
      <c r="D172" s="188">
        <f ca="1">+'Purchased Power Model '!D172</f>
        <v>0</v>
      </c>
      <c r="E172" s="103">
        <f>+'Purchased Power Model '!E172</f>
        <v>7.5499999999999998E-2</v>
      </c>
      <c r="F172" s="57">
        <f>+'Purchased Power Model '!F172</f>
        <v>28</v>
      </c>
      <c r="G172" s="57">
        <f>+'Purchased Power Model '!G172</f>
        <v>0</v>
      </c>
      <c r="H172" s="192"/>
      <c r="I172" s="193">
        <f t="shared" ca="1" si="6"/>
        <v>496184.26349596726</v>
      </c>
      <c r="J172" s="36"/>
      <c r="K172" s="5"/>
    </row>
    <row r="173" spans="1:11">
      <c r="A173" s="3">
        <v>42795</v>
      </c>
      <c r="C173" s="188">
        <f>+'Purchased Power Model '!C173</f>
        <v>471.77458401172646</v>
      </c>
      <c r="D173" s="188">
        <f ca="1">+'Purchased Power Model '!D173</f>
        <v>0</v>
      </c>
      <c r="E173" s="103">
        <f>+'Purchased Power Model '!E173</f>
        <v>7.5499999999999998E-2</v>
      </c>
      <c r="F173" s="57">
        <f>+'Purchased Power Model '!F173</f>
        <v>31</v>
      </c>
      <c r="G173" s="57">
        <f>+'Purchased Power Model '!G173</f>
        <v>1</v>
      </c>
      <c r="H173" s="192"/>
      <c r="I173" s="193">
        <f t="shared" ca="1" si="6"/>
        <v>345672.84789288114</v>
      </c>
      <c r="J173" s="36"/>
      <c r="K173" s="5"/>
    </row>
    <row r="174" spans="1:11">
      <c r="A174" s="3">
        <v>42826</v>
      </c>
      <c r="C174" s="188">
        <f>+'Purchased Power Model '!C174</f>
        <v>317.25758722990406</v>
      </c>
      <c r="D174" s="188">
        <f ca="1">+'Purchased Power Model '!D174</f>
        <v>0</v>
      </c>
      <c r="E174" s="103">
        <f>+'Purchased Power Model '!E174</f>
        <v>7.5499999999999998E-2</v>
      </c>
      <c r="F174" s="57">
        <f>+'Purchased Power Model '!F174</f>
        <v>30</v>
      </c>
      <c r="G174" s="57">
        <f>+'Purchased Power Model '!G174</f>
        <v>1</v>
      </c>
      <c r="H174" s="192"/>
      <c r="I174" s="193">
        <f t="shared" ca="1" si="6"/>
        <v>324180.51503479993</v>
      </c>
      <c r="J174" s="36"/>
      <c r="K174" s="5"/>
    </row>
    <row r="175" spans="1:11">
      <c r="A175" s="3">
        <v>42856</v>
      </c>
      <c r="C175" s="188">
        <f>+'Purchased Power Model '!C175</f>
        <v>115.47656790305378</v>
      </c>
      <c r="D175" s="188">
        <f ca="1">+'Purchased Power Model '!D175</f>
        <v>3.9450036888269517</v>
      </c>
      <c r="E175" s="103">
        <f>+'Purchased Power Model '!E175</f>
        <v>7.5499999999999998E-2</v>
      </c>
      <c r="F175" s="57">
        <f>+'Purchased Power Model '!F175</f>
        <v>31</v>
      </c>
      <c r="G175" s="57">
        <f>+'Purchased Power Model '!G175</f>
        <v>1</v>
      </c>
      <c r="H175" s="192"/>
      <c r="I175" s="193">
        <f t="shared" ca="1" si="6"/>
        <v>192449.40271353003</v>
      </c>
      <c r="J175" s="36"/>
      <c r="K175" s="5"/>
    </row>
    <row r="176" spans="1:11">
      <c r="A176" s="3">
        <v>42887</v>
      </c>
      <c r="C176" s="188">
        <f>+'Purchased Power Model '!C176</f>
        <v>37.136017713950579</v>
      </c>
      <c r="D176" s="188">
        <f ca="1">+'Purchased Power Model '!D176</f>
        <v>42.343039593409287</v>
      </c>
      <c r="E176" s="103">
        <f>+'Purchased Power Model '!E176</f>
        <v>7.5499999999999998E-2</v>
      </c>
      <c r="F176" s="57">
        <f>+'Purchased Power Model '!F176</f>
        <v>30</v>
      </c>
      <c r="G176" s="57">
        <f>+'Purchased Power Model '!G176</f>
        <v>0</v>
      </c>
      <c r="H176" s="192"/>
      <c r="I176" s="193">
        <f t="shared" ca="1" si="6"/>
        <v>153690.66604468063</v>
      </c>
      <c r="J176" s="36"/>
      <c r="K176" s="5"/>
    </row>
    <row r="177" spans="1:11">
      <c r="A177" s="3">
        <v>42917</v>
      </c>
      <c r="C177" s="188">
        <f>+'Purchased Power Model '!C177</f>
        <v>3.8088223296359573</v>
      </c>
      <c r="D177" s="188">
        <f ca="1">+'Purchased Power Model '!D177</f>
        <v>144.65013525698822</v>
      </c>
      <c r="E177" s="103">
        <f>+'Purchased Power Model '!E177</f>
        <v>7.5499999999999998E-2</v>
      </c>
      <c r="F177" s="57">
        <f>+'Purchased Power Model '!F177</f>
        <v>31</v>
      </c>
      <c r="G177" s="57">
        <f>+'Purchased Power Model '!G177</f>
        <v>0</v>
      </c>
      <c r="H177" s="192"/>
      <c r="I177" s="193">
        <f t="shared" ca="1" si="6"/>
        <v>-28103.852467285469</v>
      </c>
      <c r="J177" s="36"/>
      <c r="K177" s="5"/>
    </row>
    <row r="178" spans="1:11">
      <c r="A178" s="3">
        <v>42948</v>
      </c>
      <c r="C178" s="188">
        <f>+'Purchased Power Model '!C178</f>
        <v>9.5220558240898914</v>
      </c>
      <c r="D178" s="188">
        <f ca="1">+'Purchased Power Model '!D178</f>
        <v>76.138571194360154</v>
      </c>
      <c r="E178" s="103">
        <f>+'Purchased Power Model '!E178</f>
        <v>7.5499999999999998E-2</v>
      </c>
      <c r="F178" s="57">
        <f>+'Purchased Power Model '!F178</f>
        <v>31</v>
      </c>
      <c r="G178" s="57">
        <f>+'Purchased Power Model '!G178</f>
        <v>0</v>
      </c>
      <c r="H178" s="192"/>
      <c r="I178" s="193">
        <f t="shared" ca="1" si="6"/>
        <v>58016.095168438507</v>
      </c>
      <c r="J178" s="36"/>
      <c r="K178" s="5"/>
    </row>
    <row r="179" spans="1:11">
      <c r="A179" s="3">
        <v>42979</v>
      </c>
      <c r="C179" s="188">
        <f>+'Purchased Power Model '!C179</f>
        <v>83.620962964280309</v>
      </c>
      <c r="D179" s="188">
        <f ca="1">+'Purchased Power Model '!D179</f>
        <v>20.64551930486105</v>
      </c>
      <c r="E179" s="103">
        <f>+'Purchased Power Model '!E179</f>
        <v>7.5499999999999998E-2</v>
      </c>
      <c r="F179" s="57">
        <f>+'Purchased Power Model '!F179</f>
        <v>30</v>
      </c>
      <c r="G179" s="57">
        <f>+'Purchased Power Model '!G179</f>
        <v>1</v>
      </c>
      <c r="H179" s="192"/>
      <c r="I179" s="193">
        <f t="shared" ca="1" si="6"/>
        <v>201634.00718520235</v>
      </c>
      <c r="J179" s="36"/>
      <c r="K179" s="5"/>
    </row>
    <row r="180" spans="1:11">
      <c r="A180" s="3">
        <v>43009</v>
      </c>
      <c r="C180" s="188">
        <f>+'Purchased Power Model '!C180</f>
        <v>191.30675792035146</v>
      </c>
      <c r="D180" s="188">
        <f ca="1">+'Purchased Power Model '!D180</f>
        <v>3.9450036888269517</v>
      </c>
      <c r="E180" s="103">
        <f>+'Purchased Power Model '!E180</f>
        <v>7.5499999999999998E-2</v>
      </c>
      <c r="F180" s="57">
        <f>+'Purchased Power Model '!F180</f>
        <v>31</v>
      </c>
      <c r="G180" s="57">
        <f>+'Purchased Power Model '!G180</f>
        <v>1</v>
      </c>
      <c r="H180" s="192"/>
      <c r="I180" s="193">
        <f t="shared" ca="1" si="6"/>
        <v>224033.40502779375</v>
      </c>
      <c r="J180" s="36"/>
      <c r="K180" s="5"/>
    </row>
    <row r="181" spans="1:11">
      <c r="A181" s="3">
        <v>43040</v>
      </c>
      <c r="C181" s="188">
        <f>+'Purchased Power Model '!C181</f>
        <v>396.98316372069308</v>
      </c>
      <c r="D181" s="188">
        <f ca="1">+'Purchased Power Model '!D181</f>
        <v>0</v>
      </c>
      <c r="E181" s="103">
        <f>+'Purchased Power Model '!E181</f>
        <v>7.5499999999999998E-2</v>
      </c>
      <c r="F181" s="57">
        <f>+'Purchased Power Model '!F181</f>
        <v>30</v>
      </c>
      <c r="G181" s="57">
        <f>+'Purchased Power Model '!G181</f>
        <v>1</v>
      </c>
      <c r="H181" s="192"/>
      <c r="I181" s="193">
        <f t="shared" ca="1" si="6"/>
        <v>357386.98322137189</v>
      </c>
      <c r="J181" s="36"/>
      <c r="K181" s="5"/>
    </row>
    <row r="182" spans="1:11">
      <c r="A182" s="3">
        <v>43070</v>
      </c>
      <c r="C182" s="188">
        <f>+'Purchased Power Model '!C182</f>
        <v>409.27527214815461</v>
      </c>
      <c r="D182" s="188">
        <f ca="1">+'Purchased Power Model '!D182</f>
        <v>0</v>
      </c>
      <c r="E182" s="103">
        <f>+'Purchased Power Model '!E182</f>
        <v>7.5499999999999998E-2</v>
      </c>
      <c r="F182" s="57">
        <f>+'Purchased Power Model '!F182</f>
        <v>31</v>
      </c>
      <c r="G182" s="57">
        <f>+'Purchased Power Model '!G182</f>
        <v>0</v>
      </c>
      <c r="H182" s="192"/>
      <c r="I182" s="193">
        <f t="shared" ca="1" si="6"/>
        <v>317579.81960129971</v>
      </c>
      <c r="J182" s="36"/>
      <c r="K182" s="5"/>
    </row>
    <row r="183" spans="1:11">
      <c r="A183" s="3">
        <v>43101</v>
      </c>
      <c r="C183" s="188">
        <f>+'Purchased Power Model '!C183</f>
        <v>526.24303773676161</v>
      </c>
      <c r="D183" s="188">
        <f ca="1">+'Purchased Power Model '!D183</f>
        <v>0</v>
      </c>
      <c r="E183" s="103">
        <f>+'Purchased Power Model '!E183</f>
        <v>7.5499999999999998E-2</v>
      </c>
      <c r="F183" s="57">
        <f>+'Purchased Power Model '!F183</f>
        <v>31</v>
      </c>
      <c r="G183" s="57">
        <f>+'Purchased Power Model '!G183</f>
        <v>0</v>
      </c>
      <c r="H183" s="192"/>
      <c r="I183" s="193">
        <f t="shared" ca="1" si="6"/>
        <v>366298.01717145089</v>
      </c>
      <c r="J183" s="36"/>
      <c r="K183" s="5"/>
    </row>
    <row r="184" spans="1:11">
      <c r="A184" s="3">
        <v>43132</v>
      </c>
      <c r="C184" s="188">
        <f>+'Purchased Power Model '!C184</f>
        <v>522.90805585965177</v>
      </c>
      <c r="D184" s="188">
        <f ca="1">+'Purchased Power Model '!D184</f>
        <v>0</v>
      </c>
      <c r="E184" s="103">
        <f>+'Purchased Power Model '!E184</f>
        <v>7.5499999999999998E-2</v>
      </c>
      <c r="F184" s="57">
        <f>+'Purchased Power Model '!F184</f>
        <v>28</v>
      </c>
      <c r="G184" s="57">
        <f>+'Purchased Power Model '!G184</f>
        <v>0</v>
      </c>
      <c r="H184" s="192"/>
      <c r="I184" s="193">
        <f t="shared" ca="1" si="6"/>
        <v>493505.40542533109</v>
      </c>
      <c r="J184" s="36"/>
      <c r="K184" s="5"/>
    </row>
    <row r="185" spans="1:11">
      <c r="A185" s="3">
        <v>43160</v>
      </c>
      <c r="C185" s="188">
        <f>+'Purchased Power Model '!C185</f>
        <v>466.04233923713849</v>
      </c>
      <c r="D185" s="188">
        <f ca="1">+'Purchased Power Model '!D185</f>
        <v>0</v>
      </c>
      <c r="E185" s="103">
        <f>+'Purchased Power Model '!E185</f>
        <v>7.5499999999999998E-2</v>
      </c>
      <c r="F185" s="57">
        <f>+'Purchased Power Model '!F185</f>
        <v>31</v>
      </c>
      <c r="G185" s="57">
        <f>+'Purchased Power Model '!G185</f>
        <v>1</v>
      </c>
      <c r="H185" s="192"/>
      <c r="I185" s="193">
        <f t="shared" ca="1" si="6"/>
        <v>343285.31289942772</v>
      </c>
      <c r="J185" s="36"/>
      <c r="K185" s="5"/>
    </row>
    <row r="186" spans="1:11">
      <c r="A186" s="3">
        <v>43191</v>
      </c>
      <c r="C186" s="188">
        <f>+'Purchased Power Model '!C186</f>
        <v>313.40278409249765</v>
      </c>
      <c r="D186" s="188">
        <f ca="1">+'Purchased Power Model '!D186</f>
        <v>0</v>
      </c>
      <c r="E186" s="103">
        <f>+'Purchased Power Model '!E186</f>
        <v>7.5499999999999998E-2</v>
      </c>
      <c r="F186" s="57">
        <f>+'Purchased Power Model '!F186</f>
        <v>30</v>
      </c>
      <c r="G186" s="57">
        <f>+'Purchased Power Model '!G186</f>
        <v>1</v>
      </c>
      <c r="H186" s="192"/>
      <c r="I186" s="193">
        <f t="shared" ca="1" si="6"/>
        <v>322574.95251167961</v>
      </c>
      <c r="J186" s="36"/>
      <c r="K186" s="5"/>
    </row>
    <row r="187" spans="1:11">
      <c r="A187" s="3">
        <v>43221</v>
      </c>
      <c r="C187" s="188">
        <f>+'Purchased Power Model '!C187</f>
        <v>114.07348266831977</v>
      </c>
      <c r="D187" s="188">
        <f ca="1">+'Purchased Power Model '!D187</f>
        <v>4.0315435691450112</v>
      </c>
      <c r="E187" s="103">
        <f>+'Purchased Power Model '!E187</f>
        <v>7.5499999999999998E-2</v>
      </c>
      <c r="F187" s="57">
        <f>+'Purchased Power Model '!F187</f>
        <v>31</v>
      </c>
      <c r="G187" s="57">
        <f>+'Purchased Power Model '!G187</f>
        <v>1</v>
      </c>
      <c r="H187" s="192"/>
      <c r="I187" s="193">
        <f t="shared" ca="1" si="6"/>
        <v>191759.22825414551</v>
      </c>
      <c r="J187" s="36"/>
      <c r="K187" s="5"/>
    </row>
    <row r="188" spans="1:11">
      <c r="A188" s="3">
        <v>43252</v>
      </c>
      <c r="C188" s="188">
        <f>+'Purchased Power Model '!C188</f>
        <v>36.684800648207784</v>
      </c>
      <c r="D188" s="188">
        <f ca="1">+'Purchased Power Model '!D188</f>
        <v>43.271900975489793</v>
      </c>
      <c r="E188" s="103">
        <f>+'Purchased Power Model '!E188</f>
        <v>7.5499999999999998E-2</v>
      </c>
      <c r="F188" s="57">
        <f>+'Purchased Power Model '!F188</f>
        <v>30</v>
      </c>
      <c r="G188" s="57">
        <f>+'Purchased Power Model '!G188</f>
        <v>0</v>
      </c>
      <c r="H188" s="192"/>
      <c r="I188" s="193">
        <f t="shared" ca="1" si="6"/>
        <v>152367.40089011216</v>
      </c>
      <c r="J188" s="36"/>
      <c r="K188" s="5"/>
    </row>
    <row r="189" spans="1:11">
      <c r="A189" s="3">
        <v>43282</v>
      </c>
      <c r="C189" s="188">
        <f>+'Purchased Power Model '!C189</f>
        <v>3.7625436562264398</v>
      </c>
      <c r="D189" s="188">
        <f ca="1">+'Purchased Power Model '!D189</f>
        <v>147.82326420198373</v>
      </c>
      <c r="E189" s="103">
        <f>+'Purchased Power Model '!E189</f>
        <v>7.5499999999999998E-2</v>
      </c>
      <c r="F189" s="57">
        <f>+'Purchased Power Model '!F189</f>
        <v>31</v>
      </c>
      <c r="G189" s="57">
        <f>+'Purchased Power Model '!G189</f>
        <v>0</v>
      </c>
      <c r="H189" s="192"/>
      <c r="I189" s="193">
        <f t="shared" ca="1" si="6"/>
        <v>-32001.580790274777</v>
      </c>
      <c r="J189" s="36"/>
      <c r="K189" s="5"/>
    </row>
    <row r="190" spans="1:11">
      <c r="A190" s="3">
        <v>43313</v>
      </c>
      <c r="C190" s="188">
        <f>+'Purchased Power Model '!C190</f>
        <v>9.4063591405660976</v>
      </c>
      <c r="D190" s="188">
        <f ca="1">+'Purchased Power Model '!D190</f>
        <v>77.808790884498691</v>
      </c>
      <c r="E190" s="103">
        <f>+'Purchased Power Model '!E190</f>
        <v>7.5499999999999998E-2</v>
      </c>
      <c r="F190" s="57">
        <f>+'Purchased Power Model '!F190</f>
        <v>31</v>
      </c>
      <c r="G190" s="57">
        <f>+'Purchased Power Model '!G190</f>
        <v>0</v>
      </c>
      <c r="H190" s="192"/>
      <c r="I190" s="193">
        <f t="shared" ca="1" si="6"/>
        <v>55926.429863630794</v>
      </c>
      <c r="J190" s="36"/>
      <c r="K190" s="5"/>
    </row>
    <row r="191" spans="1:11">
      <c r="A191" s="3">
        <v>43344</v>
      </c>
      <c r="C191" s="188">
        <f>+'Purchased Power Model '!C191</f>
        <v>82.604935725334997</v>
      </c>
      <c r="D191" s="188">
        <f ca="1">+'Purchased Power Model '!D191</f>
        <v>21.098411345192229</v>
      </c>
      <c r="E191" s="103">
        <f>+'Purchased Power Model '!E191</f>
        <v>7.5499999999999998E-2</v>
      </c>
      <c r="F191" s="57">
        <f>+'Purchased Power Model '!F191</f>
        <v>30</v>
      </c>
      <c r="G191" s="57">
        <f>+'Purchased Power Model '!G191</f>
        <v>1</v>
      </c>
      <c r="H191" s="192"/>
      <c r="I191" s="193">
        <f t="shared" ca="1" si="6"/>
        <v>200657.26109147843</v>
      </c>
      <c r="J191" s="36"/>
      <c r="K191" s="5"/>
    </row>
    <row r="192" spans="1:11">
      <c r="A192" s="3">
        <v>43374</v>
      </c>
      <c r="C192" s="188">
        <f>+'Purchased Power Model '!C192</f>
        <v>188.98230636955523</v>
      </c>
      <c r="D192" s="188">
        <f ca="1">+'Purchased Power Model '!D192</f>
        <v>4.0315435691450112</v>
      </c>
      <c r="E192" s="103">
        <f>+'Purchased Power Model '!E192</f>
        <v>7.5499999999999998E-2</v>
      </c>
      <c r="F192" s="57">
        <f>+'Purchased Power Model '!F192</f>
        <v>31</v>
      </c>
      <c r="G192" s="57">
        <f>+'Purchased Power Model '!G192</f>
        <v>1</v>
      </c>
      <c r="H192" s="192"/>
      <c r="I192" s="193">
        <f t="shared" ca="1" si="6"/>
        <v>222959.4726501955</v>
      </c>
      <c r="J192" s="36"/>
      <c r="K192" s="5"/>
    </row>
    <row r="193" spans="1:11">
      <c r="A193" s="3">
        <v>43405</v>
      </c>
      <c r="C193" s="188">
        <f>+'Purchased Power Model '!C193</f>
        <v>392.15966380578294</v>
      </c>
      <c r="D193" s="188">
        <f ca="1">+'Purchased Power Model '!D193</f>
        <v>0</v>
      </c>
      <c r="E193" s="103">
        <f>+'Purchased Power Model '!E193</f>
        <v>7.5499999999999998E-2</v>
      </c>
      <c r="F193" s="57">
        <f>+'Purchased Power Model '!F193</f>
        <v>30</v>
      </c>
      <c r="G193" s="57">
        <f>+'Purchased Power Model '!G193</f>
        <v>1</v>
      </c>
      <c r="H193" s="192"/>
      <c r="I193" s="193">
        <f t="shared" ca="1" si="6"/>
        <v>355377.9491883486</v>
      </c>
      <c r="J193" s="36"/>
      <c r="K193" s="5"/>
    </row>
    <row r="194" spans="1:11">
      <c r="A194" s="3">
        <v>43435</v>
      </c>
      <c r="C194" s="188">
        <f>+'Purchased Power Model '!C194</f>
        <v>404.30241833269554</v>
      </c>
      <c r="D194" s="188">
        <f ca="1">+'Purchased Power Model '!D194</f>
        <v>0</v>
      </c>
      <c r="E194" s="103">
        <f>+'Purchased Power Model '!E194</f>
        <v>7.5499999999999998E-2</v>
      </c>
      <c r="F194" s="57">
        <f>+'Purchased Power Model '!F194</f>
        <v>31</v>
      </c>
      <c r="G194" s="57">
        <f>+'Purchased Power Model '!G194</f>
        <v>0</v>
      </c>
      <c r="H194" s="192"/>
      <c r="I194" s="193">
        <f t="shared" ca="1" si="6"/>
        <v>315508.57823450188</v>
      </c>
      <c r="J194" s="36"/>
      <c r="K194" s="5"/>
    </row>
    <row r="195" spans="1:11">
      <c r="A195" s="3">
        <v>43466</v>
      </c>
      <c r="C195" s="188">
        <f>+'Purchased Power Model '!C195</f>
        <v>519.7703341876213</v>
      </c>
      <c r="D195" s="188">
        <f ca="1">+'Purchased Power Model '!D195</f>
        <v>0</v>
      </c>
      <c r="E195" s="103">
        <f>+'Purchased Power Model '!E195</f>
        <v>7.5499999999999998E-2</v>
      </c>
      <c r="F195" s="57">
        <f>+'Purchased Power Model '!F195</f>
        <v>31</v>
      </c>
      <c r="G195" s="57">
        <f>+'Purchased Power Model '!G195</f>
        <v>0</v>
      </c>
      <c r="H195" s="192"/>
      <c r="I195" s="193">
        <f t="shared" ca="1" si="6"/>
        <v>363602.07398801763</v>
      </c>
      <c r="J195" s="36"/>
      <c r="K195" s="5"/>
    </row>
    <row r="196" spans="1:11">
      <c r="A196" s="3">
        <v>43497</v>
      </c>
      <c r="C196" s="188">
        <f>+'Purchased Power Model '!C196</f>
        <v>516.47637204376076</v>
      </c>
      <c r="D196" s="188">
        <f ca="1">+'Purchased Power Model '!D196</f>
        <v>0</v>
      </c>
      <c r="E196" s="103">
        <f>+'Purchased Power Model '!E196</f>
        <v>7.5499999999999998E-2</v>
      </c>
      <c r="F196" s="57">
        <f>+'Purchased Power Model '!F196</f>
        <v>28</v>
      </c>
      <c r="G196" s="57">
        <f>+'Purchased Power Model '!G196</f>
        <v>0</v>
      </c>
      <c r="H196" s="192"/>
      <c r="I196" s="193">
        <f t="shared" ref="I196:I206" ca="1" si="11">$N$18+C196*$N$19+D196*$N$20+E196*$N$21+F196*$N$22+G196*$N$23+H196*$N$24</f>
        <v>490826.54735469492</v>
      </c>
      <c r="J196" s="36"/>
      <c r="K196" s="5"/>
    </row>
    <row r="197" spans="1:11">
      <c r="A197" s="3">
        <v>43525</v>
      </c>
      <c r="C197" s="188">
        <f>+'Purchased Power Model '!C197</f>
        <v>460.31009446255047</v>
      </c>
      <c r="D197" s="188">
        <f ca="1">+'Purchased Power Model '!D197</f>
        <v>0</v>
      </c>
      <c r="E197" s="103">
        <f>+'Purchased Power Model '!E197</f>
        <v>7.5499999999999998E-2</v>
      </c>
      <c r="F197" s="57">
        <f>+'Purchased Power Model '!F197</f>
        <v>31</v>
      </c>
      <c r="G197" s="57">
        <f>+'Purchased Power Model '!G197</f>
        <v>1</v>
      </c>
      <c r="H197" s="192"/>
      <c r="I197" s="193">
        <f t="shared" ca="1" si="11"/>
        <v>340897.77790597454</v>
      </c>
      <c r="J197" s="36"/>
      <c r="K197" s="5"/>
    </row>
    <row r="198" spans="1:11">
      <c r="A198" s="3">
        <v>43556</v>
      </c>
      <c r="C198" s="188">
        <f>+'Purchased Power Model '!C198</f>
        <v>309.54798095509119</v>
      </c>
      <c r="D198" s="188">
        <f ca="1">+'Purchased Power Model '!D198</f>
        <v>0</v>
      </c>
      <c r="E198" s="103">
        <f>+'Purchased Power Model '!E198</f>
        <v>7.5499999999999998E-2</v>
      </c>
      <c r="F198" s="57">
        <f>+'Purchased Power Model '!F198</f>
        <v>30</v>
      </c>
      <c r="G198" s="57">
        <f>+'Purchased Power Model '!G198</f>
        <v>1</v>
      </c>
      <c r="H198" s="192"/>
      <c r="I198" s="193">
        <f t="shared" ca="1" si="11"/>
        <v>320969.38998855907</v>
      </c>
      <c r="J198" s="36"/>
      <c r="K198" s="5"/>
    </row>
    <row r="199" spans="1:11">
      <c r="A199" s="3">
        <v>43586</v>
      </c>
      <c r="C199" s="188">
        <f>+'Purchased Power Model '!C199</f>
        <v>112.67039743358573</v>
      </c>
      <c r="D199" s="188">
        <f ca="1">+'Purchased Power Model '!D199</f>
        <v>4.1180834494630707</v>
      </c>
      <c r="E199" s="103">
        <f>+'Purchased Power Model '!E199</f>
        <v>7.5499999999999998E-2</v>
      </c>
      <c r="F199" s="57">
        <f>+'Purchased Power Model '!F199</f>
        <v>31</v>
      </c>
      <c r="G199" s="57">
        <f>+'Purchased Power Model '!G199</f>
        <v>1</v>
      </c>
      <c r="H199" s="192"/>
      <c r="I199" s="193">
        <f t="shared" ca="1" si="11"/>
        <v>191069.05379476075</v>
      </c>
      <c r="J199" s="36"/>
      <c r="K199" s="5"/>
    </row>
    <row r="200" spans="1:11">
      <c r="A200" s="3">
        <v>43617</v>
      </c>
      <c r="C200" s="188">
        <f>+'Purchased Power Model '!C200</f>
        <v>36.233583582464981</v>
      </c>
      <c r="D200" s="188">
        <f ca="1">+'Purchased Power Model '!D200</f>
        <v>44.200762357570305</v>
      </c>
      <c r="E200" s="103">
        <f>+'Purchased Power Model '!E200</f>
        <v>7.5499999999999998E-2</v>
      </c>
      <c r="F200" s="57">
        <f>+'Purchased Power Model '!F200</f>
        <v>30</v>
      </c>
      <c r="G200" s="57">
        <f>+'Purchased Power Model '!G200</f>
        <v>0</v>
      </c>
      <c r="H200" s="192"/>
      <c r="I200" s="193">
        <f t="shared" ca="1" si="11"/>
        <v>151044.13573554391</v>
      </c>
      <c r="J200" s="36"/>
      <c r="K200" s="5"/>
    </row>
    <row r="201" spans="1:11">
      <c r="A201" s="3">
        <v>43647</v>
      </c>
      <c r="C201" s="188">
        <f>+'Purchased Power Model '!C201</f>
        <v>3.7162649828169214</v>
      </c>
      <c r="D201" s="188">
        <f ca="1">+'Purchased Power Model '!D201</f>
        <v>150.99639314697927</v>
      </c>
      <c r="E201" s="103">
        <f>+'Purchased Power Model '!E201</f>
        <v>7.5499999999999998E-2</v>
      </c>
      <c r="F201" s="57">
        <f>+'Purchased Power Model '!F201</f>
        <v>31</v>
      </c>
      <c r="G201" s="57">
        <f>+'Purchased Power Model '!G201</f>
        <v>0</v>
      </c>
      <c r="H201" s="192"/>
      <c r="I201" s="193">
        <f t="shared" ca="1" si="11"/>
        <v>-35899.309113263618</v>
      </c>
      <c r="J201" s="36"/>
      <c r="K201" s="5"/>
    </row>
    <row r="202" spans="1:11">
      <c r="A202" s="3">
        <v>43678</v>
      </c>
      <c r="C202" s="188">
        <f>+'Purchased Power Model '!C202</f>
        <v>9.290662457042302</v>
      </c>
      <c r="D202" s="188">
        <f ca="1">+'Purchased Power Model '!D202</f>
        <v>79.479010574637257</v>
      </c>
      <c r="E202" s="103">
        <f>+'Purchased Power Model '!E202</f>
        <v>7.5499999999999998E-2</v>
      </c>
      <c r="F202" s="57">
        <f>+'Purchased Power Model '!F202</f>
        <v>31</v>
      </c>
      <c r="G202" s="57">
        <f>+'Purchased Power Model '!G202</f>
        <v>0</v>
      </c>
      <c r="H202" s="192"/>
      <c r="I202" s="193">
        <f t="shared" ca="1" si="11"/>
        <v>53836.764558822848</v>
      </c>
      <c r="J202" s="36"/>
      <c r="K202" s="5"/>
    </row>
    <row r="203" spans="1:11">
      <c r="A203" s="3">
        <v>43709</v>
      </c>
      <c r="C203" s="188">
        <f>+'Purchased Power Model '!C203</f>
        <v>81.58890848638967</v>
      </c>
      <c r="D203" s="188">
        <f ca="1">+'Purchased Power Model '!D203</f>
        <v>21.551303385523408</v>
      </c>
      <c r="E203" s="103">
        <f>+'Purchased Power Model '!E203</f>
        <v>7.5499999999999998E-2</v>
      </c>
      <c r="F203" s="57">
        <f>+'Purchased Power Model '!F203</f>
        <v>30</v>
      </c>
      <c r="G203" s="57">
        <f>+'Purchased Power Model '!G203</f>
        <v>1</v>
      </c>
      <c r="H203" s="192"/>
      <c r="I203" s="193">
        <f t="shared" ca="1" si="11"/>
        <v>199680.51499775451</v>
      </c>
      <c r="J203" s="36"/>
      <c r="K203" s="5"/>
    </row>
    <row r="204" spans="1:11">
      <c r="A204" s="3">
        <v>43739</v>
      </c>
      <c r="C204" s="188">
        <f>+'Purchased Power Model '!C204</f>
        <v>186.65785481875898</v>
      </c>
      <c r="D204" s="188">
        <f ca="1">+'Purchased Power Model '!D204</f>
        <v>4.1180834494630707</v>
      </c>
      <c r="E204" s="103">
        <f>+'Purchased Power Model '!E204</f>
        <v>7.5499999999999998E-2</v>
      </c>
      <c r="F204" s="57">
        <f>+'Purchased Power Model '!F204</f>
        <v>31</v>
      </c>
      <c r="G204" s="57">
        <f>+'Purchased Power Model '!G204</f>
        <v>1</v>
      </c>
      <c r="H204" s="192"/>
      <c r="I204" s="193">
        <f t="shared" ca="1" si="11"/>
        <v>221885.54027259702</v>
      </c>
      <c r="J204" s="36"/>
      <c r="K204" s="5"/>
    </row>
    <row r="205" spans="1:11">
      <c r="A205" s="3">
        <v>43770</v>
      </c>
      <c r="C205" s="188">
        <f>+'Purchased Power Model '!C205</f>
        <v>387.33616389087268</v>
      </c>
      <c r="D205" s="188">
        <f ca="1">+'Purchased Power Model '!D205</f>
        <v>0</v>
      </c>
      <c r="E205" s="103">
        <f>+'Purchased Power Model '!E205</f>
        <v>7.5499999999999998E-2</v>
      </c>
      <c r="F205" s="57">
        <f>+'Purchased Power Model '!F205</f>
        <v>30</v>
      </c>
      <c r="G205" s="57">
        <f>+'Purchased Power Model '!G205</f>
        <v>1</v>
      </c>
      <c r="H205" s="192"/>
      <c r="I205" s="193">
        <f t="shared" ca="1" si="11"/>
        <v>353368.91515532532</v>
      </c>
      <c r="J205" s="36"/>
      <c r="K205" s="5"/>
    </row>
    <row r="206" spans="1:11">
      <c r="A206" s="3">
        <v>43800</v>
      </c>
      <c r="C206" s="188">
        <f>+'Purchased Power Model '!C206</f>
        <v>399.32956451723641</v>
      </c>
      <c r="D206" s="188">
        <f ca="1">+'Purchased Power Model '!D206</f>
        <v>0</v>
      </c>
      <c r="E206" s="103">
        <f>+'Purchased Power Model '!E206</f>
        <v>7.5499999999999998E-2</v>
      </c>
      <c r="F206" s="57">
        <f>+'Purchased Power Model '!F206</f>
        <v>31</v>
      </c>
      <c r="G206" s="57">
        <f>+'Purchased Power Model '!G206</f>
        <v>0</v>
      </c>
      <c r="H206" s="192"/>
      <c r="I206" s="193">
        <f t="shared" ca="1" si="11"/>
        <v>313437.33686770429</v>
      </c>
      <c r="J206" s="36"/>
      <c r="K206" s="5"/>
    </row>
    <row r="207" spans="1:11">
      <c r="A207" s="3"/>
      <c r="I207" s="11"/>
      <c r="J207" s="11"/>
      <c r="K207" s="11"/>
    </row>
    <row r="208" spans="1:11">
      <c r="A208" s="3"/>
      <c r="C208" s="18"/>
      <c r="D208" s="63" t="s">
        <v>60</v>
      </c>
      <c r="I208" s="47">
        <f ca="1">SUM(I3:I206)</f>
        <v>123318356.82068855</v>
      </c>
    </row>
    <row r="209" spans="1:11">
      <c r="A209" s="3"/>
      <c r="C209" s="23"/>
      <c r="D209" s="23"/>
      <c r="F209" s="180"/>
      <c r="G209" s="180"/>
      <c r="H209"/>
      <c r="I209" s="180"/>
      <c r="J209" s="36"/>
      <c r="K209" s="5" t="s">
        <v>196</v>
      </c>
    </row>
    <row r="210" spans="1:11">
      <c r="A210" s="16">
        <v>2003</v>
      </c>
      <c r="B210" s="6">
        <f>SUM(B3:B14)</f>
        <v>8359780.5</v>
      </c>
      <c r="C210" s="107"/>
      <c r="D210" s="23" t="s">
        <v>195</v>
      </c>
      <c r="E210" s="108" t="s">
        <v>107</v>
      </c>
      <c r="F210" s="180"/>
      <c r="G210" s="180"/>
      <c r="H210"/>
      <c r="I210" s="6">
        <f>SUM(I3:I14)</f>
        <v>8801623.5991990399</v>
      </c>
      <c r="J210" s="36">
        <f>I210-B210</f>
        <v>441843.09919903986</v>
      </c>
      <c r="K210" s="5">
        <f>J210/B210</f>
        <v>5.2853433077464158E-2</v>
      </c>
    </row>
    <row r="211" spans="1:11">
      <c r="A211">
        <v>2004</v>
      </c>
      <c r="B211" s="6">
        <f>SUM(B15:B26)</f>
        <v>8743099.0634733941</v>
      </c>
      <c r="C211" s="107">
        <f>+B211-B210</f>
        <v>383318.56347339414</v>
      </c>
      <c r="D211" s="109">
        <f>+C211/B210</f>
        <v>4.5852706715612229E-2</v>
      </c>
      <c r="E211" s="109">
        <f>RATE(1,0,-B$210,B211)</f>
        <v>4.5852706715612278E-2</v>
      </c>
      <c r="F211" s="180"/>
      <c r="G211" s="180"/>
      <c r="H211"/>
      <c r="I211" s="6">
        <f>SUM(I15:I26)</f>
        <v>8924429.765618246</v>
      </c>
      <c r="J211" s="36">
        <f t="shared" ref="J211:J226" si="12">I211-B211</f>
        <v>181330.70214485191</v>
      </c>
      <c r="K211" s="5">
        <f t="shared" ref="K211:K226" si="13">J211/B211</f>
        <v>2.0739865902058553E-2</v>
      </c>
    </row>
    <row r="212" spans="1:11">
      <c r="A212" s="16">
        <v>2005</v>
      </c>
      <c r="B212" s="6">
        <f>SUM(B27:B38)</f>
        <v>9182978</v>
      </c>
      <c r="C212" s="107">
        <f t="shared" ref="C212:C226" si="14">+B212-B211</f>
        <v>439878.93652660586</v>
      </c>
      <c r="D212" s="109">
        <f t="shared" ref="D212:D226" si="15">+C212/B211</f>
        <v>5.0311558102357129E-2</v>
      </c>
      <c r="E212" s="109">
        <f>RATE(2,0,-B$210,B212)</f>
        <v>4.807976124722594E-2</v>
      </c>
      <c r="F212" s="180"/>
      <c r="G212" s="180"/>
      <c r="H212"/>
      <c r="I212" s="6">
        <f>SUM(I27:I38)</f>
        <v>8965768.0540007316</v>
      </c>
      <c r="J212" s="36">
        <f t="shared" si="12"/>
        <v>-217209.94599926844</v>
      </c>
      <c r="K212" s="5">
        <f t="shared" si="13"/>
        <v>-2.3653540931848953E-2</v>
      </c>
    </row>
    <row r="213" spans="1:11">
      <c r="A213">
        <v>2006</v>
      </c>
      <c r="B213" s="6">
        <f>SUM(B39:B50)</f>
        <v>9398525</v>
      </c>
      <c r="C213" s="107">
        <f t="shared" si="14"/>
        <v>215547</v>
      </c>
      <c r="D213" s="109">
        <f t="shared" si="15"/>
        <v>2.347245087595767E-2</v>
      </c>
      <c r="E213" s="109">
        <f>RATE(3,0,-B$210,B213)</f>
        <v>3.9812280247915298E-2</v>
      </c>
      <c r="F213" s="180"/>
      <c r="G213" s="180"/>
      <c r="H213"/>
      <c r="I213" s="6">
        <f>SUM(I39:I50)</f>
        <v>9236315.0500635393</v>
      </c>
      <c r="J213" s="36">
        <f t="shared" si="12"/>
        <v>-162209.9499364607</v>
      </c>
      <c r="K213" s="5">
        <f t="shared" si="13"/>
        <v>-1.7259085860436688E-2</v>
      </c>
    </row>
    <row r="214" spans="1:11">
      <c r="A214" s="16">
        <v>2007</v>
      </c>
      <c r="B214" s="6">
        <f>SUM(B51:B62)</f>
        <v>9704521</v>
      </c>
      <c r="C214" s="107">
        <f t="shared" si="14"/>
        <v>305996</v>
      </c>
      <c r="D214" s="109">
        <f t="shared" si="15"/>
        <v>3.2557874772903193E-2</v>
      </c>
      <c r="E214" s="109">
        <f>RATE(4,0,-B$210,B214)</f>
        <v>3.7993914653316314E-2</v>
      </c>
      <c r="F214" s="180"/>
      <c r="G214" s="180"/>
      <c r="H214"/>
      <c r="I214" s="6">
        <f>SUM(I51:I62)</f>
        <v>9309904.9037542734</v>
      </c>
      <c r="J214" s="36">
        <f t="shared" si="12"/>
        <v>-394616.09624572657</v>
      </c>
      <c r="K214" s="5">
        <f t="shared" si="13"/>
        <v>-4.0663119410605283E-2</v>
      </c>
    </row>
    <row r="215" spans="1:11">
      <c r="A215">
        <v>2008</v>
      </c>
      <c r="B215" s="6">
        <f>SUM(B63:B74)</f>
        <v>9725840</v>
      </c>
      <c r="C215" s="107">
        <f t="shared" si="14"/>
        <v>21319</v>
      </c>
      <c r="D215" s="109">
        <f t="shared" si="15"/>
        <v>2.1968111563672229E-3</v>
      </c>
      <c r="E215" s="109">
        <f>RATE(5,0,-B$210,B215)</f>
        <v>3.073363744783051E-2</v>
      </c>
      <c r="F215" s="180"/>
      <c r="G215" s="180"/>
      <c r="H215"/>
      <c r="I215" s="6">
        <f>SUM(I63:I74)</f>
        <v>9311389.8769058585</v>
      </c>
      <c r="J215" s="36">
        <f t="shared" si="12"/>
        <v>-414450.12309414148</v>
      </c>
      <c r="K215" s="5">
        <f t="shared" si="13"/>
        <v>-4.2613298501120882E-2</v>
      </c>
    </row>
    <row r="216" spans="1:11">
      <c r="A216" s="16">
        <v>2009</v>
      </c>
      <c r="B216" s="6">
        <f>SUM(B75:B86)</f>
        <v>10202758</v>
      </c>
      <c r="C216" s="107">
        <f t="shared" si="14"/>
        <v>476918</v>
      </c>
      <c r="D216" s="109">
        <f t="shared" si="15"/>
        <v>4.9036175795612515E-2</v>
      </c>
      <c r="E216" s="109">
        <f>RATE(6,0,-B$210,B216)</f>
        <v>3.3761733300014092E-2</v>
      </c>
      <c r="F216" s="180"/>
      <c r="G216" s="180"/>
      <c r="H216"/>
      <c r="I216" s="6">
        <f>SUM(I75:I86)</f>
        <v>10247090.820439169</v>
      </c>
      <c r="J216" s="36">
        <f t="shared" si="12"/>
        <v>44332.820439169183</v>
      </c>
      <c r="K216" s="5">
        <f t="shared" si="13"/>
        <v>4.3451800424129617E-3</v>
      </c>
    </row>
    <row r="217" spans="1:11">
      <c r="A217">
        <v>2010</v>
      </c>
      <c r="B217" s="6">
        <f>SUM(B87:B98)</f>
        <v>10427904</v>
      </c>
      <c r="C217" s="107">
        <f t="shared" si="14"/>
        <v>225146</v>
      </c>
      <c r="D217" s="109">
        <f t="shared" si="15"/>
        <v>2.2067170465084048E-2</v>
      </c>
      <c r="E217" s="109">
        <f>RATE(7,0,-B$210,B217)</f>
        <v>3.2082924510561987E-2</v>
      </c>
      <c r="F217" s="180"/>
      <c r="G217" s="180"/>
      <c r="H217"/>
      <c r="I217" s="6">
        <f>SUM(I87:I98)</f>
        <v>10214882.897518404</v>
      </c>
      <c r="J217" s="36">
        <f t="shared" si="12"/>
        <v>-213021.10248159617</v>
      </c>
      <c r="K217" s="5">
        <f t="shared" si="13"/>
        <v>-2.0427988451139956E-2</v>
      </c>
    </row>
    <row r="218" spans="1:11">
      <c r="A218">
        <v>2011</v>
      </c>
      <c r="B218" s="6">
        <f>SUM(B99:B110)</f>
        <v>10253017</v>
      </c>
      <c r="C218" s="107">
        <f t="shared" si="14"/>
        <v>-174887</v>
      </c>
      <c r="D218" s="109">
        <f t="shared" si="15"/>
        <v>-1.677105964918741E-2</v>
      </c>
      <c r="E218" s="109">
        <f>RATE(8,0,-B$210,B218)</f>
        <v>2.5845836997099254E-2</v>
      </c>
      <c r="F218" s="180"/>
      <c r="G218" s="180"/>
      <c r="H218"/>
      <c r="I218" s="6">
        <f>SUM(I99:I110)</f>
        <v>10089748.374228893</v>
      </c>
      <c r="J218" s="36">
        <f t="shared" si="12"/>
        <v>-163268.62577110715</v>
      </c>
      <c r="K218" s="5">
        <f t="shared" si="13"/>
        <v>-1.5923959335199304E-2</v>
      </c>
    </row>
    <row r="219" spans="1:11">
      <c r="A219">
        <v>2012</v>
      </c>
      <c r="B219" s="6">
        <f>SUM(B111:B122)</f>
        <v>10139708</v>
      </c>
      <c r="C219" s="107">
        <f t="shared" si="14"/>
        <v>-113309</v>
      </c>
      <c r="D219" s="109">
        <f t="shared" si="15"/>
        <v>-1.1051283734338878E-2</v>
      </c>
      <c r="E219" s="109">
        <f>RATE(9,0,-B$210,B219)</f>
        <v>2.1679097434702633E-2</v>
      </c>
      <c r="F219" s="180"/>
      <c r="G219" s="180"/>
      <c r="H219"/>
      <c r="I219" s="6">
        <f>SUM(I111:I122)</f>
        <v>9920374.7690964509</v>
      </c>
      <c r="J219" s="36">
        <f t="shared" si="12"/>
        <v>-219333.23090354912</v>
      </c>
      <c r="K219" s="5">
        <f t="shared" si="13"/>
        <v>-2.1631119052299051E-2</v>
      </c>
    </row>
    <row r="220" spans="1:11">
      <c r="A220">
        <v>2013</v>
      </c>
      <c r="B220" s="6">
        <f>SUM(B123:B134)</f>
        <v>9082284</v>
      </c>
      <c r="C220" s="107">
        <f t="shared" si="14"/>
        <v>-1057424</v>
      </c>
      <c r="D220" s="109">
        <f t="shared" si="15"/>
        <v>-0.1042854488511898</v>
      </c>
      <c r="E220" s="109">
        <f>RATE(10,0,-B$210,B220)</f>
        <v>8.3238050230215084E-3</v>
      </c>
      <c r="F220" s="180"/>
      <c r="G220" s="180"/>
      <c r="H220"/>
      <c r="I220" s="6">
        <f ca="1">SUM(I123:I134)</f>
        <v>10198886.452648744</v>
      </c>
      <c r="J220" s="36">
        <f t="shared" ca="1" si="12"/>
        <v>1116602.452648744</v>
      </c>
      <c r="K220" s="5">
        <f t="shared" ca="1" si="13"/>
        <v>0.1229429131096037</v>
      </c>
    </row>
    <row r="221" spans="1:11">
      <c r="A221">
        <v>2014</v>
      </c>
      <c r="B221" s="6">
        <f ca="1">+I221</f>
        <v>3082217.1709241653</v>
      </c>
      <c r="C221" s="107">
        <f t="shared" ca="1" si="14"/>
        <v>-6000066.8290758347</v>
      </c>
      <c r="D221" s="109">
        <f t="shared" ca="1" si="15"/>
        <v>-0.66063413443973285</v>
      </c>
      <c r="E221" s="109">
        <f ca="1">RATE(11,0,-B$210,B221)</f>
        <v>-8.6715231553444891E-2</v>
      </c>
      <c r="F221" s="103"/>
      <c r="G221" s="180"/>
      <c r="H221"/>
      <c r="I221" s="6">
        <f ca="1">SUM(I135:I146)</f>
        <v>3082217.1709241653</v>
      </c>
      <c r="J221" s="36">
        <f t="shared" ca="1" si="12"/>
        <v>0</v>
      </c>
      <c r="K221" s="5">
        <f t="shared" ca="1" si="13"/>
        <v>0</v>
      </c>
    </row>
    <row r="222" spans="1:11">
      <c r="A222">
        <v>2015</v>
      </c>
      <c r="B222" s="6">
        <f t="shared" ref="B222:B226" ca="1" si="16">+I222</f>
        <v>3058717.4850406353</v>
      </c>
      <c r="C222" s="107">
        <f t="shared" ca="1" si="14"/>
        <v>-23499.68588352995</v>
      </c>
      <c r="D222" s="109">
        <f t="shared" ca="1" si="15"/>
        <v>-7.6242797247423862E-3</v>
      </c>
      <c r="E222" s="109">
        <f ca="1">RATE(12,0,-B$210,B222)</f>
        <v>-8.0372306754876277E-2</v>
      </c>
      <c r="F222" s="103"/>
      <c r="G222" s="180"/>
      <c r="H222"/>
      <c r="I222" s="6">
        <f ca="1">SUM(I147:I158)</f>
        <v>3058717.4850406353</v>
      </c>
      <c r="J222" s="36">
        <f t="shared" ca="1" si="12"/>
        <v>0</v>
      </c>
      <c r="K222" s="5">
        <f t="shared" ca="1" si="13"/>
        <v>0</v>
      </c>
    </row>
    <row r="223" spans="1:11">
      <c r="A223">
        <v>2016</v>
      </c>
      <c r="B223" s="6">
        <f t="shared" ca="1" si="16"/>
        <v>2992352.319080295</v>
      </c>
      <c r="C223" s="107">
        <f t="shared" ca="1" si="14"/>
        <v>-66365.165960340295</v>
      </c>
      <c r="D223" s="109">
        <f t="shared" ca="1" si="15"/>
        <v>-2.1697056457457897E-2</v>
      </c>
      <c r="E223" s="109">
        <f ca="1">RATE(13,0,-B$210,B223)</f>
        <v>-7.598654279884634E-2</v>
      </c>
      <c r="F223" s="103"/>
      <c r="G223" s="180"/>
      <c r="H223"/>
      <c r="I223" s="6">
        <f ca="1">SUM(I159:I170)</f>
        <v>2992352.319080295</v>
      </c>
      <c r="J223" s="36">
        <f t="shared" ca="1" si="12"/>
        <v>0</v>
      </c>
      <c r="K223" s="5">
        <f t="shared" ca="1" si="13"/>
        <v>0</v>
      </c>
    </row>
    <row r="224" spans="1:11">
      <c r="A224">
        <v>2017</v>
      </c>
      <c r="B224" s="6">
        <f t="shared" ca="1" si="16"/>
        <v>3011718.1132735643</v>
      </c>
      <c r="C224" s="107">
        <f t="shared" ca="1" si="14"/>
        <v>19365.794193269219</v>
      </c>
      <c r="D224" s="109">
        <f t="shared" ca="1" si="15"/>
        <v>6.4717627231880674E-3</v>
      </c>
      <c r="E224" s="109">
        <f ca="1">RATE(14,0,-B$210,B224)</f>
        <v>-7.0327551637673208E-2</v>
      </c>
      <c r="F224" s="103"/>
      <c r="G224" s="180"/>
      <c r="H224"/>
      <c r="I224" s="6">
        <f ca="1">SUM(I171:I182)</f>
        <v>3011718.1132735643</v>
      </c>
      <c r="J224" s="36">
        <f t="shared" ca="1" si="12"/>
        <v>0</v>
      </c>
      <c r="K224" s="5">
        <f t="shared" ca="1" si="13"/>
        <v>0</v>
      </c>
    </row>
    <row r="225" spans="1:11">
      <c r="A225">
        <v>2018</v>
      </c>
      <c r="B225" s="6">
        <f t="shared" ca="1" si="16"/>
        <v>2988218.4273900278</v>
      </c>
      <c r="C225" s="107">
        <f t="shared" ca="1" si="14"/>
        <v>-23499.685883536469</v>
      </c>
      <c r="D225" s="109">
        <f t="shared" ca="1" si="15"/>
        <v>-7.8027507886498926E-3</v>
      </c>
      <c r="E225" s="109">
        <f ca="1">RATE(15,0,-B$210,B225)</f>
        <v>-6.6284651853450977E-2</v>
      </c>
      <c r="F225" s="103"/>
      <c r="G225" s="180"/>
      <c r="H225"/>
      <c r="I225" s="6">
        <f ca="1">SUM(I183:I194)</f>
        <v>2988218.4273900278</v>
      </c>
      <c r="J225" s="36">
        <f t="shared" ca="1" si="12"/>
        <v>0</v>
      </c>
      <c r="K225" s="5">
        <f t="shared" ca="1" si="13"/>
        <v>0</v>
      </c>
    </row>
    <row r="226" spans="1:11">
      <c r="A226">
        <v>2019</v>
      </c>
      <c r="B226" s="6">
        <f t="shared" ca="1" si="16"/>
        <v>2964718.7415064909</v>
      </c>
      <c r="C226" s="107">
        <f t="shared" ca="1" si="14"/>
        <v>-23499.685883536935</v>
      </c>
      <c r="D226" s="109">
        <f t="shared" ca="1" si="15"/>
        <v>-7.8641124986509273E-3</v>
      </c>
      <c r="E226" s="109">
        <f ca="1">RATE(16,0,-B$210,B226)</f>
        <v>-6.273631771894049E-2</v>
      </c>
      <c r="F226" s="103"/>
      <c r="G226" s="180"/>
      <c r="H226"/>
      <c r="I226" s="6">
        <f ca="1">SUM(I195:I206)</f>
        <v>2964718.7415064909</v>
      </c>
      <c r="J226" s="36">
        <f t="shared" ca="1" si="12"/>
        <v>0</v>
      </c>
      <c r="K226" s="5">
        <f t="shared" ca="1" si="13"/>
        <v>0</v>
      </c>
    </row>
    <row r="227" spans="1:11">
      <c r="C227" s="101"/>
      <c r="D227" s="180"/>
      <c r="F227" s="180"/>
      <c r="G227" s="180"/>
      <c r="H227"/>
      <c r="J227" s="180"/>
      <c r="K227" s="180"/>
    </row>
    <row r="228" spans="1:11">
      <c r="A228" t="s">
        <v>9</v>
      </c>
      <c r="B228" s="6">
        <f ca="1">SUM(B210:B226)</f>
        <v>123318356.82068858</v>
      </c>
      <c r="C228" s="101"/>
      <c r="D228" s="180"/>
      <c r="F228" s="180"/>
      <c r="G228" s="180"/>
      <c r="H228"/>
      <c r="I228" s="6">
        <f ca="1">SUM(I210:I226)</f>
        <v>123318356.82068852</v>
      </c>
      <c r="J228" s="184">
        <f ca="1">I228-B228</f>
        <v>0</v>
      </c>
      <c r="K228" s="180"/>
    </row>
    <row r="229" spans="1:11">
      <c r="C229" s="180"/>
      <c r="D229" s="180"/>
      <c r="F229" s="180"/>
      <c r="G229" s="180"/>
      <c r="H229"/>
      <c r="I229" s="180"/>
      <c r="J229" s="62"/>
      <c r="K229" s="180"/>
    </row>
    <row r="230" spans="1:11">
      <c r="C230" s="180"/>
      <c r="D230" s="180"/>
      <c r="F230" s="180"/>
      <c r="G230" s="180"/>
      <c r="H230"/>
      <c r="I230" s="6">
        <f ca="1">SUM(I210:I226)</f>
        <v>123318356.82068852</v>
      </c>
      <c r="J230" s="184">
        <f ca="1">I208-I230</f>
        <v>0</v>
      </c>
      <c r="K230" s="180"/>
    </row>
    <row r="231" spans="1:11">
      <c r="C231" s="180"/>
      <c r="D231" s="180"/>
      <c r="F231" s="180"/>
      <c r="G231" s="180"/>
      <c r="H231"/>
      <c r="I231" s="23"/>
      <c r="J231" s="185" t="s">
        <v>69</v>
      </c>
      <c r="K231" s="18"/>
    </row>
    <row r="243" spans="9:11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244"/>
  <sheetViews>
    <sheetView workbookViewId="0"/>
  </sheetViews>
  <sheetFormatPr defaultRowHeight="13.2"/>
  <cols>
    <col min="1" max="1" width="11.8867187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4" customWidth="1"/>
    <col min="6" max="6" width="10.109375" style="1" customWidth="1"/>
    <col min="7" max="8" width="12.44140625" style="1" customWidth="1"/>
    <col min="9" max="9" width="12.5546875" style="6" customWidth="1"/>
    <col min="10" max="10" width="21.33203125" style="6" customWidth="1"/>
    <col min="11" max="11" width="11.5546875" style="6" customWidth="1"/>
    <col min="12" max="12" width="9.33203125" style="6" customWidth="1"/>
    <col min="13" max="13" width="27.33203125" style="6" bestFit="1" customWidth="1"/>
    <col min="14" max="14" width="13.5546875" style="6" bestFit="1" customWidth="1"/>
    <col min="15" max="15" width="20.88671875" style="6" bestFit="1" customWidth="1"/>
    <col min="16" max="16" width="19" style="6" bestFit="1" customWidth="1"/>
    <col min="17" max="17" width="9.88671875" style="6" bestFit="1" customWidth="1"/>
    <col min="18" max="18" width="14" bestFit="1" customWidth="1"/>
    <col min="19" max="19" width="13.5546875" bestFit="1" customWidth="1"/>
    <col min="20" max="20" width="13.88671875" bestFit="1" customWidth="1"/>
    <col min="21" max="21" width="13.5546875" bestFit="1" customWidth="1"/>
  </cols>
  <sheetData>
    <row r="2" spans="1:18" ht="42" customHeight="1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80"/>
      <c r="M2" t="s">
        <v>18</v>
      </c>
      <c r="N2"/>
      <c r="O2"/>
      <c r="P2"/>
      <c r="Q2"/>
    </row>
    <row r="3" spans="1:18" ht="13.8" thickBot="1">
      <c r="A3" s="3">
        <v>37622</v>
      </c>
      <c r="B3" s="59">
        <v>0</v>
      </c>
      <c r="C3" s="186">
        <f>+'Purchased Power Model '!C3</f>
        <v>786</v>
      </c>
      <c r="D3" s="186">
        <f>+'Purchased Power Model '!D3</f>
        <v>0</v>
      </c>
      <c r="E3" s="103">
        <f>+'Purchased Power Model '!E3</f>
        <v>4.7E-2</v>
      </c>
      <c r="F3" s="57">
        <f>+'Purchased Power Model '!F3</f>
        <v>31</v>
      </c>
      <c r="G3" s="57">
        <f>+'Purchased Power Model '!G3</f>
        <v>0</v>
      </c>
      <c r="H3" s="61">
        <v>0</v>
      </c>
      <c r="I3" s="193">
        <f>$N$18+C3*$N$19+D3*$N$20+E3*$N$21+F3*$N$22+G3*$N$23+H3*$N$24</f>
        <v>17574.058469753971</v>
      </c>
      <c r="J3" s="36">
        <f>I3-B3</f>
        <v>17574.058469753971</v>
      </c>
      <c r="K3" s="5" t="e">
        <f>J3/B3</f>
        <v>#DIV/0!</v>
      </c>
      <c r="M3"/>
      <c r="N3"/>
      <c r="O3"/>
      <c r="P3"/>
      <c r="Q3"/>
    </row>
    <row r="4" spans="1:18">
      <c r="A4" s="3">
        <v>37653</v>
      </c>
      <c r="B4" s="59">
        <v>0</v>
      </c>
      <c r="C4" s="186">
        <f>+'Purchased Power Model '!C4</f>
        <v>686.5</v>
      </c>
      <c r="D4" s="186">
        <f>+'Purchased Power Model '!D4</f>
        <v>0</v>
      </c>
      <c r="E4" s="103">
        <f>+'Purchased Power Model '!E4</f>
        <v>4.7E-2</v>
      </c>
      <c r="F4" s="57">
        <f>+'Purchased Power Model '!F4</f>
        <v>28</v>
      </c>
      <c r="G4" s="57">
        <f>+'Purchased Power Model '!G4</f>
        <v>0</v>
      </c>
      <c r="H4" s="61">
        <v>0</v>
      </c>
      <c r="I4" s="193">
        <f t="shared" ref="I4:I67" si="0">$N$18+C4*$N$19+D4*$N$20+E4*$N$21+F4*$N$22+G4*$N$23+H4*$N$24</f>
        <v>19397.696433719568</v>
      </c>
      <c r="J4" s="36">
        <f t="shared" ref="J4:J67" si="1">I4-B4</f>
        <v>19397.696433719568</v>
      </c>
      <c r="K4" s="5" t="e">
        <f t="shared" ref="K4:K67" si="2">J4/B4</f>
        <v>#DIV/0!</v>
      </c>
      <c r="M4" s="53" t="s">
        <v>19</v>
      </c>
      <c r="N4" s="53"/>
      <c r="O4"/>
      <c r="P4"/>
      <c r="Q4"/>
    </row>
    <row r="5" spans="1:18">
      <c r="A5" s="3">
        <v>37681</v>
      </c>
      <c r="B5" s="59">
        <v>0</v>
      </c>
      <c r="C5" s="186">
        <f>+'Purchased Power Model '!C5</f>
        <v>572.5</v>
      </c>
      <c r="D5" s="186">
        <f>+'Purchased Power Model '!D5</f>
        <v>0</v>
      </c>
      <c r="E5" s="103">
        <f>+'Purchased Power Model '!E5</f>
        <v>4.7E-2</v>
      </c>
      <c r="F5" s="57">
        <f>+'Purchased Power Model '!F5</f>
        <v>31</v>
      </c>
      <c r="G5" s="57">
        <f>+'Purchased Power Model '!G5</f>
        <v>1</v>
      </c>
      <c r="H5" s="61">
        <v>0</v>
      </c>
      <c r="I5" s="193">
        <f t="shared" si="0"/>
        <v>15524.105715541034</v>
      </c>
      <c r="J5" s="36">
        <f t="shared" si="1"/>
        <v>15524.105715541034</v>
      </c>
      <c r="K5" s="5" t="e">
        <f t="shared" si="2"/>
        <v>#DIV/0!</v>
      </c>
      <c r="M5" s="35" t="s">
        <v>20</v>
      </c>
      <c r="N5" s="95">
        <v>0.98398390761884102</v>
      </c>
      <c r="O5"/>
      <c r="P5"/>
      <c r="Q5"/>
    </row>
    <row r="6" spans="1:18">
      <c r="A6" s="3">
        <v>37712</v>
      </c>
      <c r="B6" s="59">
        <v>0</v>
      </c>
      <c r="C6" s="186">
        <f>+'Purchased Power Model '!C6</f>
        <v>403.9</v>
      </c>
      <c r="D6" s="186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0</v>
      </c>
      <c r="I6" s="193">
        <f t="shared" si="0"/>
        <v>1538.0035177197688</v>
      </c>
      <c r="J6" s="36">
        <f t="shared" si="1"/>
        <v>1538.0035177197688</v>
      </c>
      <c r="K6" s="5" t="e">
        <f t="shared" si="2"/>
        <v>#DIV/0!</v>
      </c>
      <c r="M6" s="35" t="s">
        <v>21</v>
      </c>
      <c r="N6" s="95">
        <v>0.96822433045284384</v>
      </c>
      <c r="O6"/>
      <c r="P6"/>
      <c r="Q6"/>
    </row>
    <row r="7" spans="1:18">
      <c r="A7" s="3">
        <v>37742</v>
      </c>
      <c r="B7" s="59">
        <v>0</v>
      </c>
      <c r="C7" s="186">
        <f>+'Purchased Power Model '!C7</f>
        <v>192</v>
      </c>
      <c r="D7" s="186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0</v>
      </c>
      <c r="I7" s="193">
        <f t="shared" si="0"/>
        <v>4275.0017233763019</v>
      </c>
      <c r="J7" s="36">
        <f t="shared" si="1"/>
        <v>4275.0017233763019</v>
      </c>
      <c r="K7" s="5" t="e">
        <f t="shared" si="2"/>
        <v>#DIV/0!</v>
      </c>
      <c r="M7" s="35" t="s">
        <v>22</v>
      </c>
      <c r="N7" s="95">
        <v>0.96669909831458045</v>
      </c>
      <c r="O7"/>
      <c r="P7"/>
      <c r="Q7"/>
    </row>
    <row r="8" spans="1:18">
      <c r="A8" s="3">
        <v>37773</v>
      </c>
      <c r="B8" s="59">
        <v>0</v>
      </c>
      <c r="C8" s="186">
        <f>+'Purchased Power Model '!C8</f>
        <v>55.1</v>
      </c>
      <c r="D8" s="186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0</v>
      </c>
      <c r="I8" s="193">
        <f t="shared" si="0"/>
        <v>8128.8939662025641</v>
      </c>
      <c r="J8" s="36">
        <f t="shared" si="1"/>
        <v>8128.8939662025641</v>
      </c>
      <c r="K8" s="5" t="e">
        <f t="shared" si="2"/>
        <v>#DIV/0!</v>
      </c>
      <c r="M8" s="35" t="s">
        <v>23</v>
      </c>
      <c r="N8" s="67">
        <v>22458.162100513975</v>
      </c>
      <c r="O8"/>
      <c r="P8"/>
      <c r="Q8"/>
    </row>
    <row r="9" spans="1:18" ht="13.8" thickBot="1">
      <c r="A9" s="3">
        <v>37803</v>
      </c>
      <c r="B9" s="59">
        <v>0</v>
      </c>
      <c r="C9" s="186">
        <f>+'Purchased Power Model '!C9</f>
        <v>5.7</v>
      </c>
      <c r="D9" s="186">
        <f>+'Purchased Power Model '!D9</f>
        <v>59.1</v>
      </c>
      <c r="E9" s="103">
        <f>+'Purchased Power Model '!E9</f>
        <v>5.2000000000000005E-2</v>
      </c>
      <c r="F9" s="57">
        <f>+'Purchased Power Model '!F9</f>
        <v>31</v>
      </c>
      <c r="G9" s="57">
        <f>+'Purchased Power Model '!G9</f>
        <v>0</v>
      </c>
      <c r="H9" s="61">
        <v>0</v>
      </c>
      <c r="I9" s="193">
        <f t="shared" si="0"/>
        <v>13115.081608965</v>
      </c>
      <c r="J9" s="36">
        <f t="shared" si="1"/>
        <v>13115.081608965</v>
      </c>
      <c r="K9" s="5" t="e">
        <f t="shared" si="2"/>
        <v>#DIV/0!</v>
      </c>
      <c r="M9" s="51" t="s">
        <v>24</v>
      </c>
      <c r="N9" s="68">
        <v>132</v>
      </c>
      <c r="O9"/>
      <c r="P9"/>
      <c r="Q9"/>
    </row>
    <row r="10" spans="1:18">
      <c r="A10" s="3">
        <v>37834</v>
      </c>
      <c r="B10" s="59">
        <v>0</v>
      </c>
      <c r="C10" s="186">
        <f>+'Purchased Power Model '!C10</f>
        <v>10.4</v>
      </c>
      <c r="D10" s="186">
        <f>+'Purchased Power Model '!D10</f>
        <v>106.5</v>
      </c>
      <c r="E10" s="103">
        <f>+'Purchased Power Model '!E10</f>
        <v>5.2000000000000005E-2</v>
      </c>
      <c r="F10" s="57">
        <f>+'Purchased Power Model '!F10</f>
        <v>31</v>
      </c>
      <c r="G10" s="57">
        <f>+'Purchased Power Model '!G10</f>
        <v>0</v>
      </c>
      <c r="H10" s="61">
        <v>0</v>
      </c>
      <c r="I10" s="193">
        <f t="shared" si="0"/>
        <v>8259.2367030648711</v>
      </c>
      <c r="J10" s="36">
        <f t="shared" si="1"/>
        <v>8259.2367030648711</v>
      </c>
      <c r="K10" s="5" t="e">
        <f t="shared" si="2"/>
        <v>#DIV/0!</v>
      </c>
      <c r="M10"/>
      <c r="N10"/>
      <c r="O10"/>
      <c r="P10"/>
      <c r="Q10"/>
    </row>
    <row r="11" spans="1:18" ht="13.8" thickBot="1">
      <c r="A11" s="3">
        <v>37865</v>
      </c>
      <c r="B11" s="59">
        <v>0</v>
      </c>
      <c r="C11" s="186">
        <f>+'Purchased Power Model '!C11</f>
        <v>55.2</v>
      </c>
      <c r="D11" s="186">
        <f>+'Purchased Power Model '!D11</f>
        <v>12.1</v>
      </c>
      <c r="E11" s="103">
        <f>+'Purchased Power Model '!E11</f>
        <v>5.2000000000000005E-2</v>
      </c>
      <c r="F11" s="57">
        <f>+'Purchased Power Model '!F11</f>
        <v>30</v>
      </c>
      <c r="G11" s="57">
        <f>+'Purchased Power Model '!G11</f>
        <v>1</v>
      </c>
      <c r="H11" s="61">
        <v>0</v>
      </c>
      <c r="I11" s="193">
        <f t="shared" si="0"/>
        <v>12381.933624712241</v>
      </c>
      <c r="J11" s="36">
        <f t="shared" si="1"/>
        <v>12381.933624712241</v>
      </c>
      <c r="K11" s="5" t="e">
        <f t="shared" si="2"/>
        <v>#DIV/0!</v>
      </c>
      <c r="M11" t="s">
        <v>25</v>
      </c>
      <c r="N11"/>
      <c r="O11"/>
      <c r="P11"/>
      <c r="Q11"/>
    </row>
    <row r="12" spans="1:18">
      <c r="A12" s="3">
        <v>37895</v>
      </c>
      <c r="B12" s="59">
        <v>0</v>
      </c>
      <c r="C12" s="186">
        <f>+'Purchased Power Model '!C12</f>
        <v>289.7</v>
      </c>
      <c r="D12" s="186">
        <f>+'Purchased Power Model '!D12</f>
        <v>0</v>
      </c>
      <c r="E12" s="103">
        <f>+'Purchased Power Model '!E12</f>
        <v>4.7E-2</v>
      </c>
      <c r="F12" s="57">
        <f>+'Purchased Power Model '!F12</f>
        <v>31</v>
      </c>
      <c r="G12" s="57">
        <f>+'Purchased Power Model '!G12</f>
        <v>1</v>
      </c>
      <c r="H12" s="61">
        <v>0</v>
      </c>
      <c r="I12" s="193">
        <f t="shared" si="0"/>
        <v>19383.999749665742</v>
      </c>
      <c r="J12" s="36">
        <f t="shared" si="1"/>
        <v>19383.999749665742</v>
      </c>
      <c r="K12" s="5" t="e">
        <f t="shared" si="2"/>
        <v>#DIV/0!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>
      <c r="A13" s="3">
        <v>37926</v>
      </c>
      <c r="B13" s="59">
        <v>0</v>
      </c>
      <c r="C13" s="186">
        <f>+'Purchased Power Model '!C13</f>
        <v>387.6</v>
      </c>
      <c r="D13" s="186">
        <f>+'Purchased Power Model '!D13</f>
        <v>0</v>
      </c>
      <c r="E13" s="103">
        <f>+'Purchased Power Model '!E13</f>
        <v>4.7E-2</v>
      </c>
      <c r="F13" s="57">
        <f>+'Purchased Power Model '!F13</f>
        <v>30</v>
      </c>
      <c r="G13" s="57">
        <f>+'Purchased Power Model '!G13</f>
        <v>1</v>
      </c>
      <c r="H13" s="61">
        <v>0</v>
      </c>
      <c r="I13" s="193">
        <f t="shared" si="0"/>
        <v>18202.970143338112</v>
      </c>
      <c r="J13" s="36">
        <f t="shared" si="1"/>
        <v>18202.970143338112</v>
      </c>
      <c r="K13" s="5" t="e">
        <f t="shared" si="2"/>
        <v>#DIV/0!</v>
      </c>
      <c r="M13" s="35" t="s">
        <v>26</v>
      </c>
      <c r="N13" s="67">
        <v>6</v>
      </c>
      <c r="O13" s="67">
        <v>1921054645704.0076</v>
      </c>
      <c r="P13" s="67">
        <v>320175774284.00128</v>
      </c>
      <c r="Q13" s="67">
        <v>634.8045691950764</v>
      </c>
      <c r="R13" s="67">
        <v>4.6198059332237696E-91</v>
      </c>
    </row>
    <row r="14" spans="1:18">
      <c r="A14" s="3">
        <v>37956</v>
      </c>
      <c r="B14" s="59">
        <v>0</v>
      </c>
      <c r="C14" s="186">
        <f>+'Purchased Power Model '!C14</f>
        <v>548.20000000000005</v>
      </c>
      <c r="D14" s="186">
        <f>+'Purchased Power Model '!D14</f>
        <v>0</v>
      </c>
      <c r="E14" s="103">
        <f>+'Purchased Power Model '!E14</f>
        <v>4.7E-2</v>
      </c>
      <c r="F14" s="57">
        <f>+'Purchased Power Model '!F14</f>
        <v>31</v>
      </c>
      <c r="G14" s="57">
        <f>+'Purchased Power Model '!G14</f>
        <v>0</v>
      </c>
      <c r="H14" s="61">
        <v>0</v>
      </c>
      <c r="I14" s="193">
        <f t="shared" si="0"/>
        <v>20819.754372564636</v>
      </c>
      <c r="J14" s="36">
        <f t="shared" si="1"/>
        <v>20819.754372564636</v>
      </c>
      <c r="K14" s="5" t="e">
        <f t="shared" si="2"/>
        <v>#DIV/0!</v>
      </c>
      <c r="M14" s="35" t="s">
        <v>27</v>
      </c>
      <c r="N14" s="67">
        <v>125</v>
      </c>
      <c r="O14" s="67">
        <v>63046130616.620285</v>
      </c>
      <c r="P14" s="67">
        <v>504369044.9329623</v>
      </c>
      <c r="Q14" s="67"/>
      <c r="R14" s="67"/>
    </row>
    <row r="15" spans="1:18" ht="13.8" thickBot="1">
      <c r="A15" s="3">
        <v>37987</v>
      </c>
      <c r="B15" s="59">
        <v>0</v>
      </c>
      <c r="C15" s="186">
        <f>+'Purchased Power Model '!C15</f>
        <v>828.8</v>
      </c>
      <c r="D15" s="186">
        <f>+'Purchased Power Model '!D15</f>
        <v>0</v>
      </c>
      <c r="E15" s="103">
        <f>+'Purchased Power Model '!E15</f>
        <v>0.05</v>
      </c>
      <c r="F15" s="57">
        <f>+'Purchased Power Model '!F15</f>
        <v>31</v>
      </c>
      <c r="G15" s="57">
        <f>+'Purchased Power Model '!G15</f>
        <v>0</v>
      </c>
      <c r="H15" s="61">
        <v>0</v>
      </c>
      <c r="I15" s="193">
        <f t="shared" si="0"/>
        <v>11509.057664767835</v>
      </c>
      <c r="J15" s="36">
        <f t="shared" si="1"/>
        <v>11509.057664767835</v>
      </c>
      <c r="K15" s="5" t="e">
        <f t="shared" si="2"/>
        <v>#DIV/0!</v>
      </c>
      <c r="M15" s="51" t="s">
        <v>9</v>
      </c>
      <c r="N15" s="68">
        <v>131</v>
      </c>
      <c r="O15" s="68">
        <v>1984100776320.6279</v>
      </c>
      <c r="P15" s="68"/>
      <c r="Q15" s="68"/>
      <c r="R15" s="68"/>
    </row>
    <row r="16" spans="1:18" ht="13.8" thickBot="1">
      <c r="A16" s="3">
        <v>38018</v>
      </c>
      <c r="B16" s="59">
        <v>0</v>
      </c>
      <c r="C16" s="186">
        <f>+'Purchased Power Model '!C16</f>
        <v>615.6</v>
      </c>
      <c r="D16" s="186">
        <f>+'Purchased Power Model '!D16</f>
        <v>0</v>
      </c>
      <c r="E16" s="103">
        <f>+'Purchased Power Model '!E16</f>
        <v>0.05</v>
      </c>
      <c r="F16" s="57">
        <f>+'Purchased Power Model '!F16</f>
        <v>29</v>
      </c>
      <c r="G16" s="57">
        <f>+'Purchased Power Model '!G16</f>
        <v>0</v>
      </c>
      <c r="H16" s="61">
        <v>0</v>
      </c>
      <c r="I16" s="193">
        <f t="shared" si="0"/>
        <v>14729.377023389097</v>
      </c>
      <c r="J16" s="36">
        <f t="shared" si="1"/>
        <v>14729.377023389097</v>
      </c>
      <c r="K16" s="5" t="e">
        <f t="shared" si="2"/>
        <v>#DIV/0!</v>
      </c>
      <c r="M16"/>
      <c r="N16"/>
      <c r="O16"/>
      <c r="P16"/>
      <c r="Q16"/>
    </row>
    <row r="17" spans="1:21">
      <c r="A17" s="3">
        <v>38047</v>
      </c>
      <c r="B17" s="59">
        <v>0</v>
      </c>
      <c r="C17" s="186">
        <f>+'Purchased Power Model '!C17</f>
        <v>487.1</v>
      </c>
      <c r="D17" s="186">
        <f>+'Purchased Power Model '!D17</f>
        <v>0</v>
      </c>
      <c r="E17" s="103">
        <f>+'Purchased Power Model '!E17</f>
        <v>0.05</v>
      </c>
      <c r="F17" s="57">
        <f>+'Purchased Power Model '!F17</f>
        <v>31</v>
      </c>
      <c r="G17" s="57">
        <f>+'Purchased Power Model '!G17</f>
        <v>1</v>
      </c>
      <c r="H17" s="61">
        <v>0</v>
      </c>
      <c r="I17" s="193">
        <f t="shared" si="0"/>
        <v>11208.887142431788</v>
      </c>
      <c r="J17" s="36">
        <f t="shared" si="1"/>
        <v>11208.887142431788</v>
      </c>
      <c r="K17" s="5" t="e">
        <f t="shared" si="2"/>
        <v>#DIV/0!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>
      <c r="A18" s="3">
        <v>38078</v>
      </c>
      <c r="B18" s="59">
        <v>0</v>
      </c>
      <c r="C18" s="186">
        <f>+'Purchased Power Model '!C18</f>
        <v>345</v>
      </c>
      <c r="D18" s="186">
        <f>+'Purchased Power Model '!D18</f>
        <v>0</v>
      </c>
      <c r="E18" s="103">
        <f>+'Purchased Power Model '!E18</f>
        <v>5.4000000000000006E-2</v>
      </c>
      <c r="F18" s="57">
        <f>+'Purchased Power Model '!F18</f>
        <v>30</v>
      </c>
      <c r="G18" s="57">
        <f>+'Purchased Power Model '!G18</f>
        <v>1</v>
      </c>
      <c r="H18" s="61">
        <v>0</v>
      </c>
      <c r="I18" s="193">
        <f t="shared" si="0"/>
        <v>5995.8073859528058</v>
      </c>
      <c r="J18" s="36">
        <f t="shared" si="1"/>
        <v>5995.8073859528058</v>
      </c>
      <c r="K18" s="5" t="e">
        <f t="shared" si="2"/>
        <v>#DIV/0!</v>
      </c>
      <c r="M18" s="35" t="s">
        <v>28</v>
      </c>
      <c r="N18" s="67">
        <v>118979.36038772968</v>
      </c>
      <c r="O18" s="67">
        <v>77247.017317976366</v>
      </c>
      <c r="P18" s="67">
        <v>1.5402453650471455</v>
      </c>
      <c r="Q18" s="67">
        <v>0.12602826071955792</v>
      </c>
      <c r="R18" s="67">
        <v>-33902.0739673551</v>
      </c>
      <c r="S18" s="67">
        <v>271860.7947428145</v>
      </c>
      <c r="T18" s="67">
        <v>-33902.0739673551</v>
      </c>
      <c r="U18" s="67">
        <v>271860.7947428145</v>
      </c>
    </row>
    <row r="19" spans="1:21">
      <c r="A19" s="3">
        <v>38108</v>
      </c>
      <c r="B19" s="59">
        <v>0</v>
      </c>
      <c r="C19" s="186">
        <f>+'Purchased Power Model '!C19</f>
        <v>177.5</v>
      </c>
      <c r="D19" s="186">
        <f>+'Purchased Power Model '!D19</f>
        <v>0</v>
      </c>
      <c r="E19" s="103">
        <f>+'Purchased Power Model '!E19</f>
        <v>5.4000000000000006E-2</v>
      </c>
      <c r="F19" s="57">
        <f>+'Purchased Power Model '!F19</f>
        <v>31</v>
      </c>
      <c r="G19" s="57">
        <f>+'Purchased Power Model '!G19</f>
        <v>1</v>
      </c>
      <c r="H19" s="61">
        <v>0</v>
      </c>
      <c r="I19" s="193">
        <f t="shared" si="0"/>
        <v>8126.7967687128212</v>
      </c>
      <c r="J19" s="36">
        <f t="shared" si="1"/>
        <v>8126.7967687128212</v>
      </c>
      <c r="K19" s="5" t="e">
        <f t="shared" si="2"/>
        <v>#DIV/0!</v>
      </c>
      <c r="M19" s="35" t="s">
        <v>3</v>
      </c>
      <c r="N19" s="67">
        <v>-13.648847362534289</v>
      </c>
      <c r="O19" s="67">
        <v>12.632275551132992</v>
      </c>
      <c r="P19" s="67">
        <v>-1.0804741637630062</v>
      </c>
      <c r="Q19" s="67">
        <v>0.28201133318032018</v>
      </c>
      <c r="R19" s="67">
        <v>-38.649688462666404</v>
      </c>
      <c r="S19" s="67">
        <v>11.351993737597825</v>
      </c>
      <c r="T19" s="67">
        <v>-38.649688462666404</v>
      </c>
      <c r="U19" s="67">
        <v>11.351993737597825</v>
      </c>
    </row>
    <row r="20" spans="1:21">
      <c r="A20" s="3">
        <v>38139</v>
      </c>
      <c r="B20" s="59">
        <v>0</v>
      </c>
      <c r="C20" s="186">
        <f>+'Purchased Power Model '!C20</f>
        <v>73.2</v>
      </c>
      <c r="D20" s="186">
        <f>+'Purchased Power Model '!D20</f>
        <v>15.6</v>
      </c>
      <c r="E20" s="103">
        <f>+'Purchased Power Model '!E20</f>
        <v>5.4000000000000006E-2</v>
      </c>
      <c r="F20" s="57">
        <f>+'Purchased Power Model '!F20</f>
        <v>30</v>
      </c>
      <c r="G20" s="57">
        <f>+'Purchased Power Model '!G20</f>
        <v>0</v>
      </c>
      <c r="H20" s="61">
        <v>0</v>
      </c>
      <c r="I20" s="193">
        <f t="shared" si="0"/>
        <v>13092.532114498548</v>
      </c>
      <c r="J20" s="36">
        <f t="shared" si="1"/>
        <v>13092.532114498548</v>
      </c>
      <c r="K20" s="5" t="e">
        <f t="shared" si="2"/>
        <v>#DIV/0!</v>
      </c>
      <c r="M20" s="35" t="s">
        <v>4</v>
      </c>
      <c r="N20" s="67">
        <v>-101.09061863494104</v>
      </c>
      <c r="O20" s="67">
        <v>92.40867451254266</v>
      </c>
      <c r="P20" s="67">
        <v>-1.0939516140470122</v>
      </c>
      <c r="Q20" s="67">
        <v>0.27607979734425053</v>
      </c>
      <c r="R20" s="67">
        <v>-283.97885428261077</v>
      </c>
      <c r="S20" s="67">
        <v>81.797617012728679</v>
      </c>
      <c r="T20" s="67">
        <v>-283.97885428261077</v>
      </c>
      <c r="U20" s="67">
        <v>81.797617012728679</v>
      </c>
    </row>
    <row r="21" spans="1:21">
      <c r="A21" s="3">
        <v>38169</v>
      </c>
      <c r="B21" s="59">
        <v>0</v>
      </c>
      <c r="C21" s="186">
        <f>+'Purchased Power Model '!C21</f>
        <v>2</v>
      </c>
      <c r="D21" s="186">
        <f>+'Purchased Power Model '!D21</f>
        <v>69.3</v>
      </c>
      <c r="E21" s="103">
        <f>+'Purchased Power Model '!E21</f>
        <v>5.5E-2</v>
      </c>
      <c r="F21" s="57">
        <f>+'Purchased Power Model '!F21</f>
        <v>31</v>
      </c>
      <c r="G21" s="57">
        <f>+'Purchased Power Model '!G21</f>
        <v>0</v>
      </c>
      <c r="H21" s="61">
        <v>0</v>
      </c>
      <c r="I21" s="193">
        <f t="shared" si="0"/>
        <v>6653.6278962603074</v>
      </c>
      <c r="J21" s="36">
        <f t="shared" si="1"/>
        <v>6653.6278962603074</v>
      </c>
      <c r="K21" s="5" t="e">
        <f t="shared" si="2"/>
        <v>#DIV/0!</v>
      </c>
      <c r="M21" s="35" t="s">
        <v>218</v>
      </c>
      <c r="N21" s="67">
        <v>-1826943.3792898932</v>
      </c>
      <c r="O21" s="67">
        <v>172195.11971371688</v>
      </c>
      <c r="P21" s="67">
        <v>-10.609727977931541</v>
      </c>
      <c r="Q21" s="67">
        <v>3.8142230936990912E-19</v>
      </c>
      <c r="R21" s="67">
        <v>-2167738.8922404274</v>
      </c>
      <c r="S21" s="67">
        <v>-1486147.8663393587</v>
      </c>
      <c r="T21" s="67">
        <v>-2167738.8922404274</v>
      </c>
      <c r="U21" s="67">
        <v>-1486147.8663393587</v>
      </c>
    </row>
    <row r="22" spans="1:21">
      <c r="A22" s="3">
        <v>38200</v>
      </c>
      <c r="B22" s="59">
        <v>0</v>
      </c>
      <c r="C22" s="186">
        <f>+'Purchased Power Model '!C22</f>
        <v>19.600000000000001</v>
      </c>
      <c r="D22" s="186">
        <f>+'Purchased Power Model '!D22</f>
        <v>53.6</v>
      </c>
      <c r="E22" s="103">
        <f>+'Purchased Power Model '!E22</f>
        <v>5.5E-2</v>
      </c>
      <c r="F22" s="57">
        <f>+'Purchased Power Model '!F22</f>
        <v>31</v>
      </c>
      <c r="G22" s="57">
        <f>+'Purchased Power Model '!G22</f>
        <v>0</v>
      </c>
      <c r="H22" s="61">
        <v>0</v>
      </c>
      <c r="I22" s="193">
        <f t="shared" si="0"/>
        <v>8000.530895248271</v>
      </c>
      <c r="J22" s="36">
        <f t="shared" si="1"/>
        <v>8000.530895248271</v>
      </c>
      <c r="K22" s="5" t="e">
        <f t="shared" si="2"/>
        <v>#DIV/0!</v>
      </c>
      <c r="M22" s="35" t="s">
        <v>5</v>
      </c>
      <c r="N22" s="67">
        <v>-155.19255046447657</v>
      </c>
      <c r="O22" s="67">
        <v>2524.5891900178212</v>
      </c>
      <c r="P22" s="67">
        <v>-6.1472397599619387E-2</v>
      </c>
      <c r="Q22" s="67">
        <v>0.95108117741161791</v>
      </c>
      <c r="R22" s="67">
        <v>-5151.6678828194481</v>
      </c>
      <c r="S22" s="67">
        <v>4841.2827818904943</v>
      </c>
      <c r="T22" s="67">
        <v>-5151.6678828194481</v>
      </c>
      <c r="U22" s="67">
        <v>4841.2827818904943</v>
      </c>
    </row>
    <row r="23" spans="1:21">
      <c r="A23" s="3">
        <v>38231</v>
      </c>
      <c r="B23" s="59">
        <v>0</v>
      </c>
      <c r="C23" s="186">
        <f>+'Purchased Power Model '!C23</f>
        <v>41.7</v>
      </c>
      <c r="D23" s="186">
        <f>+'Purchased Power Model '!D23</f>
        <v>26.7</v>
      </c>
      <c r="E23" s="103">
        <f>+'Purchased Power Model '!E23</f>
        <v>5.5E-2</v>
      </c>
      <c r="F23" s="57">
        <f>+'Purchased Power Model '!F23</f>
        <v>30</v>
      </c>
      <c r="G23" s="57">
        <f>+'Purchased Power Model '!G23</f>
        <v>1</v>
      </c>
      <c r="H23" s="61">
        <v>0</v>
      </c>
      <c r="I23" s="193">
        <f t="shared" si="0"/>
        <v>5609.4398941666414</v>
      </c>
      <c r="J23" s="36">
        <f t="shared" si="1"/>
        <v>5609.4398941666414</v>
      </c>
      <c r="K23" s="5" t="e">
        <f t="shared" si="2"/>
        <v>#DIV/0!</v>
      </c>
      <c r="M23" s="35" t="s">
        <v>17</v>
      </c>
      <c r="N23" s="67">
        <v>-4963.9816661140076</v>
      </c>
      <c r="O23" s="67">
        <v>5148.3372323870681</v>
      </c>
      <c r="P23" s="67">
        <v>-0.96419124118107113</v>
      </c>
      <c r="Q23" s="67">
        <v>0.33681167893584218</v>
      </c>
      <c r="R23" s="67">
        <v>-15153.180006175451</v>
      </c>
      <c r="S23" s="67">
        <v>5225.2166739474351</v>
      </c>
      <c r="T23" s="67">
        <v>-15153.180006175451</v>
      </c>
      <c r="U23" s="67">
        <v>5225.2166739474351</v>
      </c>
    </row>
    <row r="24" spans="1:21" ht="13.8" thickBot="1">
      <c r="A24" s="3">
        <v>38261</v>
      </c>
      <c r="B24" s="59">
        <v>0</v>
      </c>
      <c r="C24" s="186">
        <f>+'Purchased Power Model '!C24</f>
        <v>235</v>
      </c>
      <c r="D24" s="186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0</v>
      </c>
      <c r="I24" s="193">
        <f t="shared" si="0"/>
        <v>34.214528207547119</v>
      </c>
      <c r="J24" s="36">
        <f t="shared" si="1"/>
        <v>34.214528207547119</v>
      </c>
      <c r="K24" s="5" t="e">
        <f t="shared" si="2"/>
        <v>#DIV/0!</v>
      </c>
      <c r="M24" s="51" t="s">
        <v>59</v>
      </c>
      <c r="N24" s="68">
        <v>987.51551186686868</v>
      </c>
      <c r="O24" s="68">
        <v>19.755071200001225</v>
      </c>
      <c r="P24" s="68">
        <v>49.987950024032685</v>
      </c>
      <c r="Q24" s="68">
        <v>1.7250462345275E-84</v>
      </c>
      <c r="R24" s="68">
        <v>948.41777417156254</v>
      </c>
      <c r="S24" s="68">
        <v>1026.6132495621748</v>
      </c>
      <c r="T24" s="68">
        <v>948.41777417156254</v>
      </c>
      <c r="U24" s="68">
        <v>1026.6132495621748</v>
      </c>
    </row>
    <row r="25" spans="1:21">
      <c r="A25" s="3">
        <v>38292</v>
      </c>
      <c r="B25" s="59">
        <v>0</v>
      </c>
      <c r="C25" s="186">
        <f>+'Purchased Power Model '!C25</f>
        <v>385.7</v>
      </c>
      <c r="D25" s="186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0</v>
      </c>
      <c r="I25" s="193">
        <f t="shared" si="0"/>
        <v>-1867.4742188619011</v>
      </c>
      <c r="J25" s="36">
        <f t="shared" si="1"/>
        <v>-1867.4742188619011</v>
      </c>
      <c r="K25" s="5" t="e">
        <f t="shared" si="2"/>
        <v>#DIV/0!</v>
      </c>
      <c r="M25"/>
      <c r="N25"/>
      <c r="O25"/>
      <c r="P25"/>
      <c r="Q25"/>
    </row>
    <row r="26" spans="1:21">
      <c r="A26" s="3">
        <v>38322</v>
      </c>
      <c r="B26" s="59">
        <v>0</v>
      </c>
      <c r="C26" s="186">
        <f>+'Purchased Power Model '!C26</f>
        <v>627.5</v>
      </c>
      <c r="D26" s="186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0</v>
      </c>
      <c r="I26" s="193">
        <f t="shared" si="0"/>
        <v>-358.97639547316339</v>
      </c>
      <c r="J26" s="36">
        <f t="shared" si="1"/>
        <v>-358.97639547316339</v>
      </c>
      <c r="K26" s="5" t="e">
        <f t="shared" si="2"/>
        <v>#DIV/0!</v>
      </c>
      <c r="M26"/>
      <c r="N26"/>
      <c r="O26"/>
      <c r="P26"/>
      <c r="Q26"/>
    </row>
    <row r="27" spans="1:21">
      <c r="A27" s="3">
        <v>38353</v>
      </c>
      <c r="B27" s="59">
        <v>0</v>
      </c>
      <c r="C27" s="186">
        <f>+'Purchased Power Model '!C27</f>
        <v>745.5</v>
      </c>
      <c r="D27" s="186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0</v>
      </c>
      <c r="I27" s="193">
        <f t="shared" si="0"/>
        <v>-27546.747694310721</v>
      </c>
      <c r="J27" s="36">
        <f t="shared" si="1"/>
        <v>-27546.747694310721</v>
      </c>
      <c r="K27" s="5" t="e">
        <f t="shared" si="2"/>
        <v>#DIV/0!</v>
      </c>
      <c r="M27"/>
      <c r="N27"/>
      <c r="O27"/>
      <c r="P27"/>
      <c r="Q27"/>
    </row>
    <row r="28" spans="1:21">
      <c r="A28" s="3">
        <v>38384</v>
      </c>
      <c r="B28" s="59">
        <v>0</v>
      </c>
      <c r="C28" s="186">
        <f>+'Purchased Power Model '!C28</f>
        <v>589.5</v>
      </c>
      <c r="D28" s="186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0</v>
      </c>
      <c r="I28" s="193">
        <f t="shared" si="0"/>
        <v>-24951.949854361956</v>
      </c>
      <c r="J28" s="36">
        <f t="shared" si="1"/>
        <v>-24951.949854361956</v>
      </c>
      <c r="K28" s="5" t="e">
        <f t="shared" si="2"/>
        <v>#DIV/0!</v>
      </c>
    </row>
    <row r="29" spans="1:21">
      <c r="A29" s="3">
        <v>38412</v>
      </c>
      <c r="B29" s="59">
        <v>0</v>
      </c>
      <c r="C29" s="186">
        <f>+'Purchased Power Model '!C29</f>
        <v>578.29999999999995</v>
      </c>
      <c r="D29" s="186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0</v>
      </c>
      <c r="I29" s="193">
        <f t="shared" si="0"/>
        <v>-30228.642081408998</v>
      </c>
      <c r="J29" s="36">
        <f t="shared" si="1"/>
        <v>-30228.642081408998</v>
      </c>
      <c r="K29" s="5" t="e">
        <f t="shared" si="2"/>
        <v>#DIV/0!</v>
      </c>
    </row>
    <row r="30" spans="1:21">
      <c r="A30" s="3">
        <v>38443</v>
      </c>
      <c r="B30" s="59">
        <v>0</v>
      </c>
      <c r="C30" s="186">
        <f>+'Purchased Power Model '!C30</f>
        <v>325.3</v>
      </c>
      <c r="D30" s="186">
        <f>+'Purchased Power Model '!D30</f>
        <v>0</v>
      </c>
      <c r="E30" s="103">
        <f>+'Purchased Power Model '!E30</f>
        <v>6.4000000000000001E-2</v>
      </c>
      <c r="F30" s="57">
        <f>+'Purchased Power Model '!F30</f>
        <v>30</v>
      </c>
      <c r="G30" s="57">
        <f>+'Purchased Power Model '!G30</f>
        <v>1</v>
      </c>
      <c r="H30" s="61">
        <v>0</v>
      </c>
      <c r="I30" s="193">
        <f t="shared" si="0"/>
        <v>-12004.744113904195</v>
      </c>
      <c r="J30" s="36">
        <f t="shared" si="1"/>
        <v>-12004.744113904195</v>
      </c>
      <c r="K30" s="5" t="e">
        <f t="shared" si="2"/>
        <v>#DIV/0!</v>
      </c>
    </row>
    <row r="31" spans="1:21">
      <c r="A31" s="3">
        <v>38473</v>
      </c>
      <c r="B31" s="59">
        <v>0</v>
      </c>
      <c r="C31" s="186">
        <f>+'Purchased Power Model '!C31</f>
        <v>216.1</v>
      </c>
      <c r="D31" s="186">
        <f>+'Purchased Power Model '!D31</f>
        <v>0.3</v>
      </c>
      <c r="E31" s="103">
        <f>+'Purchased Power Model '!E31</f>
        <v>6.4000000000000001E-2</v>
      </c>
      <c r="F31" s="57">
        <f>+'Purchased Power Model '!F31</f>
        <v>31</v>
      </c>
      <c r="G31" s="57">
        <f>+'Purchased Power Model '!G31</f>
        <v>1</v>
      </c>
      <c r="H31" s="61">
        <v>0</v>
      </c>
      <c r="I31" s="193">
        <f t="shared" si="0"/>
        <v>-10699.809717970424</v>
      </c>
      <c r="J31" s="36">
        <f t="shared" si="1"/>
        <v>-10699.809717970424</v>
      </c>
      <c r="K31" s="5" t="e">
        <f t="shared" si="2"/>
        <v>#DIV/0!</v>
      </c>
    </row>
    <row r="32" spans="1:21">
      <c r="A32" s="3">
        <v>38504</v>
      </c>
      <c r="B32" s="59">
        <v>0</v>
      </c>
      <c r="C32" s="186">
        <f>+'Purchased Power Model '!C32</f>
        <v>13.7</v>
      </c>
      <c r="D32" s="186">
        <f>+'Purchased Power Model '!D32</f>
        <v>89.9</v>
      </c>
      <c r="E32" s="103">
        <f>+'Purchased Power Model '!E32</f>
        <v>6.4000000000000001E-2</v>
      </c>
      <c r="F32" s="57">
        <f>+'Purchased Power Model '!F32</f>
        <v>30</v>
      </c>
      <c r="G32" s="57">
        <f>+'Purchased Power Model '!G32</f>
        <v>0</v>
      </c>
      <c r="H32" s="61">
        <v>0</v>
      </c>
      <c r="I32" s="193">
        <f t="shared" si="0"/>
        <v>-11875.82822490571</v>
      </c>
      <c r="J32" s="36">
        <f t="shared" si="1"/>
        <v>-11875.82822490571</v>
      </c>
      <c r="K32" s="5" t="e">
        <f t="shared" si="2"/>
        <v>#DIV/0!</v>
      </c>
    </row>
    <row r="33" spans="1:11">
      <c r="A33" s="3">
        <v>38534</v>
      </c>
      <c r="B33" s="59">
        <v>0</v>
      </c>
      <c r="C33" s="186">
        <f>+'Purchased Power Model '!C33</f>
        <v>2.2000000000000002</v>
      </c>
      <c r="D33" s="186">
        <f>+'Purchased Power Model '!D33</f>
        <v>153</v>
      </c>
      <c r="E33" s="103">
        <f>+'Purchased Power Model '!E33</f>
        <v>5.7999999999999996E-2</v>
      </c>
      <c r="F33" s="57">
        <f>+'Purchased Power Model '!F33</f>
        <v>31</v>
      </c>
      <c r="G33" s="57">
        <f>+'Purchased Power Model '!G33</f>
        <v>0</v>
      </c>
      <c r="H33" s="61">
        <v>0</v>
      </c>
      <c r="I33" s="193">
        <f t="shared" si="0"/>
        <v>-7291.216790826441</v>
      </c>
      <c r="J33" s="36">
        <f t="shared" si="1"/>
        <v>-7291.216790826441</v>
      </c>
      <c r="K33" s="5" t="e">
        <f t="shared" si="2"/>
        <v>#DIV/0!</v>
      </c>
    </row>
    <row r="34" spans="1:11">
      <c r="A34" s="3">
        <v>38565</v>
      </c>
      <c r="B34" s="59">
        <v>0</v>
      </c>
      <c r="C34" s="186">
        <f>+'Purchased Power Model '!C34</f>
        <v>0</v>
      </c>
      <c r="D34" s="186">
        <f>+'Purchased Power Model '!D34</f>
        <v>108</v>
      </c>
      <c r="E34" s="103">
        <f>+'Purchased Power Model '!E34</f>
        <v>5.7999999999999996E-2</v>
      </c>
      <c r="F34" s="57">
        <f>+'Purchased Power Model '!F34</f>
        <v>31</v>
      </c>
      <c r="G34" s="57">
        <f>+'Purchased Power Model '!G34</f>
        <v>0</v>
      </c>
      <c r="H34" s="61">
        <v>0</v>
      </c>
      <c r="I34" s="193">
        <f t="shared" si="0"/>
        <v>-2712.1114880565174</v>
      </c>
      <c r="J34" s="36">
        <f t="shared" si="1"/>
        <v>-2712.1114880565174</v>
      </c>
      <c r="K34" s="5" t="e">
        <f t="shared" si="2"/>
        <v>#DIV/0!</v>
      </c>
    </row>
    <row r="35" spans="1:11">
      <c r="A35" s="3">
        <v>38596</v>
      </c>
      <c r="B35" s="59">
        <v>0</v>
      </c>
      <c r="C35" s="186">
        <f>+'Purchased Power Model '!C35</f>
        <v>36.700000000000003</v>
      </c>
      <c r="D35" s="186">
        <f>+'Purchased Power Model '!D35</f>
        <v>32.799999999999997</v>
      </c>
      <c r="E35" s="103">
        <f>+'Purchased Power Model '!E35</f>
        <v>5.7999999999999996E-2</v>
      </c>
      <c r="F35" s="57">
        <f>+'Purchased Power Model '!F35</f>
        <v>30</v>
      </c>
      <c r="G35" s="57">
        <f>+'Purchased Power Model '!G35</f>
        <v>1</v>
      </c>
      <c r="H35" s="61">
        <v>0</v>
      </c>
      <c r="I35" s="193">
        <f t="shared" si="0"/>
        <v>-419.79878056349389</v>
      </c>
      <c r="J35" s="36">
        <f t="shared" si="1"/>
        <v>-419.79878056349389</v>
      </c>
      <c r="K35" s="5" t="e">
        <f t="shared" si="2"/>
        <v>#DIV/0!</v>
      </c>
    </row>
    <row r="36" spans="1:11">
      <c r="A36" s="3">
        <v>38626</v>
      </c>
      <c r="B36" s="59">
        <v>0</v>
      </c>
      <c r="C36" s="186">
        <f>+'Purchased Power Model '!C36</f>
        <v>223.8</v>
      </c>
      <c r="D36" s="186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0</v>
      </c>
      <c r="I36" s="193">
        <f t="shared" si="0"/>
        <v>-16305.954104258595</v>
      </c>
      <c r="J36" s="36">
        <f t="shared" si="1"/>
        <v>-16305.954104258595</v>
      </c>
      <c r="K36" s="5" t="e">
        <f t="shared" si="2"/>
        <v>#DIV/0!</v>
      </c>
    </row>
    <row r="37" spans="1:11">
      <c r="A37" s="3">
        <v>38657</v>
      </c>
      <c r="B37" s="59">
        <v>0</v>
      </c>
      <c r="C37" s="186">
        <f>+'Purchased Power Model '!C37</f>
        <v>398.5</v>
      </c>
      <c r="D37" s="186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0</v>
      </c>
      <c r="I37" s="193">
        <f t="shared" si="0"/>
        <v>-18484.669878711389</v>
      </c>
      <c r="J37" s="36">
        <f t="shared" si="1"/>
        <v>-18484.669878711389</v>
      </c>
      <c r="K37" s="5" t="e">
        <f t="shared" si="2"/>
        <v>#DIV/0!</v>
      </c>
    </row>
    <row r="38" spans="1:11">
      <c r="A38" s="3">
        <v>38687</v>
      </c>
      <c r="B38" s="59">
        <v>0</v>
      </c>
      <c r="C38" s="186">
        <f>+'Purchased Power Model '!C38</f>
        <v>641.1</v>
      </c>
      <c r="D38" s="186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0</v>
      </c>
      <c r="I38" s="193">
        <f t="shared" si="0"/>
        <v>-16987.091133212674</v>
      </c>
      <c r="J38" s="36">
        <f t="shared" si="1"/>
        <v>-16987.091133212674</v>
      </c>
      <c r="K38" s="5" t="e">
        <f t="shared" si="2"/>
        <v>#DIV/0!</v>
      </c>
    </row>
    <row r="39" spans="1:11">
      <c r="A39" s="3">
        <v>38718</v>
      </c>
      <c r="B39" s="59">
        <v>0</v>
      </c>
      <c r="C39" s="186">
        <f>+'Purchased Power Model '!C39</f>
        <v>558.20000000000005</v>
      </c>
      <c r="D39" s="186">
        <f>+'Purchased Power Model '!D39</f>
        <v>0</v>
      </c>
      <c r="E39" s="103">
        <f>+'Purchased Power Model '!E39</f>
        <v>6.6000000000000003E-2</v>
      </c>
      <c r="F39" s="57">
        <f>+'Purchased Power Model '!F39</f>
        <v>31</v>
      </c>
      <c r="G39" s="57">
        <f>+'Purchased Power Model '!G39</f>
        <v>0</v>
      </c>
      <c r="H39" s="61">
        <v>0</v>
      </c>
      <c r="I39" s="193">
        <f t="shared" si="0"/>
        <v>-14028.658307568683</v>
      </c>
      <c r="J39" s="36">
        <f t="shared" si="1"/>
        <v>-14028.658307568683</v>
      </c>
      <c r="K39" s="5" t="e">
        <f t="shared" si="2"/>
        <v>#DIV/0!</v>
      </c>
    </row>
    <row r="40" spans="1:11">
      <c r="A40" s="3">
        <v>38749</v>
      </c>
      <c r="B40" s="59">
        <v>0</v>
      </c>
      <c r="C40" s="186">
        <f>+'Purchased Power Model '!C40</f>
        <v>608.79999999999995</v>
      </c>
      <c r="D40" s="186">
        <f>+'Purchased Power Model '!D40</f>
        <v>0</v>
      </c>
      <c r="E40" s="103">
        <f>+'Purchased Power Model '!E40</f>
        <v>6.6000000000000003E-2</v>
      </c>
      <c r="F40" s="57">
        <f>+'Purchased Power Model '!F40</f>
        <v>28</v>
      </c>
      <c r="G40" s="57">
        <f>+'Purchased Power Model '!G40</f>
        <v>0</v>
      </c>
      <c r="H40" s="61">
        <v>0</v>
      </c>
      <c r="I40" s="193">
        <f t="shared" si="0"/>
        <v>-14253.712332719484</v>
      </c>
      <c r="J40" s="36">
        <f t="shared" si="1"/>
        <v>-14253.712332719484</v>
      </c>
      <c r="K40" s="5" t="e">
        <f t="shared" si="2"/>
        <v>#DIV/0!</v>
      </c>
    </row>
    <row r="41" spans="1:11">
      <c r="A41" s="3">
        <v>38777</v>
      </c>
      <c r="B41" s="59">
        <v>0</v>
      </c>
      <c r="C41" s="186">
        <f>+'Purchased Power Model '!C41</f>
        <v>534</v>
      </c>
      <c r="D41" s="186">
        <f>+'Purchased Power Model '!D41</f>
        <v>0</v>
      </c>
      <c r="E41" s="103">
        <f>+'Purchased Power Model '!E41</f>
        <v>6.6000000000000003E-2</v>
      </c>
      <c r="F41" s="57">
        <f>+'Purchased Power Model '!F41</f>
        <v>31</v>
      </c>
      <c r="G41" s="57">
        <f>+'Purchased Power Model '!G41</f>
        <v>1</v>
      </c>
      <c r="H41" s="61">
        <v>0</v>
      </c>
      <c r="I41" s="193">
        <f t="shared" si="0"/>
        <v>-18662.337867509359</v>
      </c>
      <c r="J41" s="36">
        <f t="shared" si="1"/>
        <v>-18662.337867509359</v>
      </c>
      <c r="K41" s="5" t="e">
        <f t="shared" si="2"/>
        <v>#DIV/0!</v>
      </c>
    </row>
    <row r="42" spans="1:11">
      <c r="A42" s="3">
        <v>38808</v>
      </c>
      <c r="B42" s="59">
        <v>0</v>
      </c>
      <c r="C42" s="186">
        <f>+'Purchased Power Model '!C42</f>
        <v>323.60000000000002</v>
      </c>
      <c r="D42" s="186">
        <f>+'Purchased Power Model '!D42</f>
        <v>0</v>
      </c>
      <c r="E42" s="103">
        <f>+'Purchased Power Model '!E42</f>
        <v>6.5000000000000002E-2</v>
      </c>
      <c r="F42" s="57">
        <f>+'Purchased Power Model '!F42</f>
        <v>30</v>
      </c>
      <c r="G42" s="57">
        <f>+'Purchased Power Model '!G42</f>
        <v>1</v>
      </c>
      <c r="H42" s="61">
        <v>0</v>
      </c>
      <c r="I42" s="193">
        <f t="shared" si="0"/>
        <v>-13808.484452677778</v>
      </c>
      <c r="J42" s="36">
        <f t="shared" si="1"/>
        <v>-13808.484452677778</v>
      </c>
      <c r="K42" s="5" t="e">
        <f t="shared" si="2"/>
        <v>#DIV/0!</v>
      </c>
    </row>
    <row r="43" spans="1:11">
      <c r="A43" s="3">
        <v>38838</v>
      </c>
      <c r="B43" s="59">
        <v>0</v>
      </c>
      <c r="C43" s="186">
        <f>+'Purchased Power Model '!C43</f>
        <v>172.6</v>
      </c>
      <c r="D43" s="186">
        <f>+'Purchased Power Model '!D43</f>
        <v>12.8</v>
      </c>
      <c r="E43" s="103">
        <f>+'Purchased Power Model '!E43</f>
        <v>6.5000000000000002E-2</v>
      </c>
      <c r="F43" s="57">
        <f>+'Purchased Power Model '!F43</f>
        <v>31</v>
      </c>
      <c r="G43" s="57">
        <f>+'Purchased Power Model '!G43</f>
        <v>1</v>
      </c>
      <c r="H43" s="61">
        <v>0</v>
      </c>
      <c r="I43" s="193">
        <f t="shared" si="0"/>
        <v>-13196.660969926819</v>
      </c>
      <c r="J43" s="36">
        <f t="shared" si="1"/>
        <v>-13196.660969926819</v>
      </c>
      <c r="K43" s="5" t="e">
        <f t="shared" si="2"/>
        <v>#DIV/0!</v>
      </c>
    </row>
    <row r="44" spans="1:11">
      <c r="A44" s="3">
        <v>38869</v>
      </c>
      <c r="B44" s="60">
        <v>312888</v>
      </c>
      <c r="C44" s="186">
        <f>+'Purchased Power Model '!C44</f>
        <v>22.6</v>
      </c>
      <c r="D44" s="186">
        <f>+'Purchased Power Model '!D44</f>
        <v>36.200000000000003</v>
      </c>
      <c r="E44" s="103">
        <f>+'Purchased Power Model '!E44</f>
        <v>6.5000000000000002E-2</v>
      </c>
      <c r="F44" s="57">
        <f>+'Purchased Power Model '!F44</f>
        <v>30</v>
      </c>
      <c r="G44" s="57">
        <f>+'Purchased Power Model '!G44</f>
        <v>0</v>
      </c>
      <c r="H44" s="61">
        <v>302</v>
      </c>
      <c r="I44" s="193">
        <f t="shared" si="0"/>
        <v>289834.00445876853</v>
      </c>
      <c r="J44" s="36">
        <f t="shared" si="1"/>
        <v>-23053.995541231474</v>
      </c>
      <c r="K44" s="5">
        <f t="shared" si="2"/>
        <v>-7.3681303026103512E-2</v>
      </c>
    </row>
    <row r="45" spans="1:11">
      <c r="A45" s="3">
        <v>38899</v>
      </c>
      <c r="B45" s="60">
        <v>314422</v>
      </c>
      <c r="C45" s="186">
        <f>+'Purchased Power Model '!C45</f>
        <v>1.7</v>
      </c>
      <c r="D45" s="186">
        <f>+'Purchased Power Model '!D45</f>
        <v>107.6</v>
      </c>
      <c r="E45" s="103">
        <f>+'Purchased Power Model '!E45</f>
        <v>6.7000000000000004E-2</v>
      </c>
      <c r="F45" s="57">
        <f>+'Purchased Power Model '!F45</f>
        <v>31</v>
      </c>
      <c r="G45" s="57">
        <f>+'Purchased Power Model '!G45</f>
        <v>0</v>
      </c>
      <c r="H45" s="61">
        <v>302</v>
      </c>
      <c r="I45" s="193">
        <f t="shared" si="0"/>
        <v>279092.31588906643</v>
      </c>
      <c r="J45" s="36">
        <f t="shared" si="1"/>
        <v>-35329.684110933566</v>
      </c>
      <c r="K45" s="5">
        <f t="shared" si="2"/>
        <v>-0.1123639061863787</v>
      </c>
    </row>
    <row r="46" spans="1:11">
      <c r="A46" s="3">
        <v>38930</v>
      </c>
      <c r="B46" s="60">
        <v>315113</v>
      </c>
      <c r="C46" s="186">
        <f>+'Purchased Power Model '!C46</f>
        <v>4.4000000000000004</v>
      </c>
      <c r="D46" s="186">
        <f>+'Purchased Power Model '!D46</f>
        <v>82.1</v>
      </c>
      <c r="E46" s="103">
        <f>+'Purchased Power Model '!E46</f>
        <v>6.7000000000000004E-2</v>
      </c>
      <c r="F46" s="57">
        <f>+'Purchased Power Model '!F46</f>
        <v>31</v>
      </c>
      <c r="G46" s="57">
        <f>+'Purchased Power Model '!G46</f>
        <v>0</v>
      </c>
      <c r="H46" s="61">
        <v>302</v>
      </c>
      <c r="I46" s="193">
        <f t="shared" si="0"/>
        <v>281633.27477637859</v>
      </c>
      <c r="J46" s="36">
        <f t="shared" si="1"/>
        <v>-33479.725223621412</v>
      </c>
      <c r="K46" s="5">
        <f t="shared" si="2"/>
        <v>-0.10624672807412393</v>
      </c>
    </row>
    <row r="47" spans="1:11">
      <c r="A47" s="3">
        <v>38961</v>
      </c>
      <c r="B47" s="60">
        <v>315057</v>
      </c>
      <c r="C47" s="186">
        <f>+'Purchased Power Model '!C47</f>
        <v>70.7</v>
      </c>
      <c r="D47" s="186">
        <f>+'Purchased Power Model '!D47</f>
        <v>5.0999999999999996</v>
      </c>
      <c r="E47" s="103">
        <f>+'Purchased Power Model '!E47</f>
        <v>6.7000000000000004E-2</v>
      </c>
      <c r="F47" s="57">
        <f>+'Purchased Power Model '!F47</f>
        <v>30</v>
      </c>
      <c r="G47" s="57">
        <f>+'Purchased Power Model '!G47</f>
        <v>1</v>
      </c>
      <c r="H47" s="61">
        <v>303</v>
      </c>
      <c r="I47" s="193">
        <f t="shared" si="0"/>
        <v>284691.06022735039</v>
      </c>
      <c r="J47" s="36">
        <f t="shared" si="1"/>
        <v>-30365.93977264961</v>
      </c>
      <c r="K47" s="5">
        <f t="shared" si="2"/>
        <v>-9.6382368183057704E-2</v>
      </c>
    </row>
    <row r="48" spans="1:11">
      <c r="A48" s="3">
        <v>38991</v>
      </c>
      <c r="B48" s="60">
        <v>316073</v>
      </c>
      <c r="C48" s="186">
        <f>+'Purchased Power Model '!C48</f>
        <v>274.60000000000002</v>
      </c>
      <c r="D48" s="186">
        <f>+'Purchased Power Model '!D48</f>
        <v>0</v>
      </c>
      <c r="E48" s="103">
        <f>+'Purchased Power Model '!E48</f>
        <v>6.8000000000000005E-2</v>
      </c>
      <c r="F48" s="57">
        <f>+'Purchased Power Model '!F48</f>
        <v>31</v>
      </c>
      <c r="G48" s="57">
        <f>+'Purchased Power Model '!G48</f>
        <v>1</v>
      </c>
      <c r="H48" s="61">
        <v>302</v>
      </c>
      <c r="I48" s="193">
        <f t="shared" si="0"/>
        <v>279453.97096354654</v>
      </c>
      <c r="J48" s="36">
        <f t="shared" si="1"/>
        <v>-36619.029036453459</v>
      </c>
      <c r="K48" s="5">
        <f t="shared" si="2"/>
        <v>-0.11585623902216721</v>
      </c>
    </row>
    <row r="49" spans="1:11">
      <c r="A49" s="3">
        <v>39022</v>
      </c>
      <c r="B49" s="60">
        <v>314584</v>
      </c>
      <c r="C49" s="186">
        <f>+'Purchased Power Model '!C49</f>
        <v>367.5</v>
      </c>
      <c r="D49" s="186">
        <f>+'Purchased Power Model '!D49</f>
        <v>0</v>
      </c>
      <c r="E49" s="103">
        <f>+'Purchased Power Model '!E49</f>
        <v>6.8000000000000005E-2</v>
      </c>
      <c r="F49" s="57">
        <f>+'Purchased Power Model '!F49</f>
        <v>30</v>
      </c>
      <c r="G49" s="57">
        <f>+'Purchased Power Model '!G49</f>
        <v>1</v>
      </c>
      <c r="H49" s="61">
        <v>301</v>
      </c>
      <c r="I49" s="193">
        <f t="shared" si="0"/>
        <v>277353.67008216475</v>
      </c>
      <c r="J49" s="36">
        <f t="shared" si="1"/>
        <v>-37230.329917835246</v>
      </c>
      <c r="K49" s="5">
        <f t="shared" si="2"/>
        <v>-0.11834781780966371</v>
      </c>
    </row>
    <row r="50" spans="1:11">
      <c r="A50" s="3">
        <v>39052</v>
      </c>
      <c r="B50" s="60">
        <v>317051</v>
      </c>
      <c r="C50" s="186">
        <f>+'Purchased Power Model '!C50</f>
        <v>471.5</v>
      </c>
      <c r="D50" s="186">
        <f>+'Purchased Power Model '!D50</f>
        <v>0</v>
      </c>
      <c r="E50" s="103">
        <f>+'Purchased Power Model '!E50</f>
        <v>6.8000000000000005E-2</v>
      </c>
      <c r="F50" s="57">
        <f>+'Purchased Power Model '!F50</f>
        <v>31</v>
      </c>
      <c r="G50" s="57">
        <f>+'Purchased Power Model '!G50</f>
        <v>0</v>
      </c>
      <c r="H50" s="61">
        <v>301</v>
      </c>
      <c r="I50" s="193">
        <f t="shared" si="0"/>
        <v>280742.97907211073</v>
      </c>
      <c r="J50" s="36">
        <f t="shared" si="1"/>
        <v>-36308.020927889273</v>
      </c>
      <c r="K50" s="5">
        <f t="shared" si="2"/>
        <v>-0.11451791960249068</v>
      </c>
    </row>
    <row r="51" spans="1:11">
      <c r="A51" s="3">
        <v>39083</v>
      </c>
      <c r="B51" s="60">
        <v>320674</v>
      </c>
      <c r="C51" s="186">
        <f>+'Purchased Power Model '!C51</f>
        <v>573.1</v>
      </c>
      <c r="D51" s="186">
        <f>+'Purchased Power Model '!D51</f>
        <v>0</v>
      </c>
      <c r="E51" s="103">
        <f>+'Purchased Power Model '!E51</f>
        <v>6.0999999999999999E-2</v>
      </c>
      <c r="F51" s="57">
        <f>+'Purchased Power Model '!F51</f>
        <v>31</v>
      </c>
      <c r="G51" s="57">
        <f>+'Purchased Power Model '!G51</f>
        <v>0</v>
      </c>
      <c r="H51" s="61">
        <v>301</v>
      </c>
      <c r="I51" s="193">
        <f t="shared" si="0"/>
        <v>292144.85983510653</v>
      </c>
      <c r="J51" s="36">
        <f t="shared" si="1"/>
        <v>-28529.14016489347</v>
      </c>
      <c r="K51" s="5">
        <f t="shared" si="2"/>
        <v>-8.8966178002873542E-2</v>
      </c>
    </row>
    <row r="52" spans="1:11">
      <c r="A52" s="3">
        <v>39114</v>
      </c>
      <c r="B52" s="60">
        <v>316965</v>
      </c>
      <c r="C52" s="186">
        <f>+'Purchased Power Model '!C52</f>
        <v>693.5</v>
      </c>
      <c r="D52" s="186">
        <f>+'Purchased Power Model '!D52</f>
        <v>0</v>
      </c>
      <c r="E52" s="103">
        <f>+'Purchased Power Model '!E52</f>
        <v>6.0999999999999999E-2</v>
      </c>
      <c r="F52" s="57">
        <f>+'Purchased Power Model '!F52</f>
        <v>28</v>
      </c>
      <c r="G52" s="57">
        <f>+'Purchased Power Model '!G52</f>
        <v>0</v>
      </c>
      <c r="H52" s="61">
        <v>301</v>
      </c>
      <c r="I52" s="193">
        <f t="shared" si="0"/>
        <v>290967.11626405083</v>
      </c>
      <c r="J52" s="36">
        <f t="shared" si="1"/>
        <v>-25997.883735949174</v>
      </c>
      <c r="K52" s="5">
        <f t="shared" si="2"/>
        <v>-8.2021307513287497E-2</v>
      </c>
    </row>
    <row r="53" spans="1:11">
      <c r="A53" s="3">
        <v>39142</v>
      </c>
      <c r="B53" s="60">
        <v>316965</v>
      </c>
      <c r="C53" s="186">
        <f>+'Purchased Power Model '!C53</f>
        <v>477.9</v>
      </c>
      <c r="D53" s="186">
        <f>+'Purchased Power Model '!D53</f>
        <v>0</v>
      </c>
      <c r="E53" s="103">
        <f>+'Purchased Power Model '!E53</f>
        <v>6.0999999999999999E-2</v>
      </c>
      <c r="F53" s="57">
        <f>+'Purchased Power Model '!F53</f>
        <v>31</v>
      </c>
      <c r="G53" s="57">
        <f>+'Purchased Power Model '!G53</f>
        <v>1</v>
      </c>
      <c r="H53" s="61">
        <v>301</v>
      </c>
      <c r="I53" s="193">
        <f t="shared" si="0"/>
        <v>288480.2484379058</v>
      </c>
      <c r="J53" s="36">
        <f t="shared" si="1"/>
        <v>-28484.751562094199</v>
      </c>
      <c r="K53" s="5">
        <f t="shared" si="2"/>
        <v>-8.9867182692392536E-2</v>
      </c>
    </row>
    <row r="54" spans="1:11">
      <c r="A54" s="3">
        <v>39173</v>
      </c>
      <c r="B54" s="60">
        <v>319741</v>
      </c>
      <c r="C54" s="186">
        <f>+'Purchased Power Model '!C54</f>
        <v>280.39999999999998</v>
      </c>
      <c r="D54" s="186">
        <f>+'Purchased Power Model '!D54</f>
        <v>0</v>
      </c>
      <c r="E54" s="103">
        <f>+'Purchased Power Model '!E54</f>
        <v>0.06</v>
      </c>
      <c r="F54" s="57">
        <f>+'Purchased Power Model '!F54</f>
        <v>30</v>
      </c>
      <c r="G54" s="57">
        <f>+'Purchased Power Model '!G54</f>
        <v>1</v>
      </c>
      <c r="H54" s="61">
        <v>301</v>
      </c>
      <c r="I54" s="193">
        <f t="shared" si="0"/>
        <v>293158.03172176069</v>
      </c>
      <c r="J54" s="36">
        <f t="shared" si="1"/>
        <v>-26582.968278239307</v>
      </c>
      <c r="K54" s="5">
        <f t="shared" si="2"/>
        <v>-8.313906655148795E-2</v>
      </c>
    </row>
    <row r="55" spans="1:11">
      <c r="A55" s="3">
        <v>39203</v>
      </c>
      <c r="B55" s="60">
        <v>318949</v>
      </c>
      <c r="C55" s="186">
        <f>+'Purchased Power Model '!C55</f>
        <v>72.8</v>
      </c>
      <c r="D55" s="186">
        <f>+'Purchased Power Model '!D55</f>
        <v>4.5</v>
      </c>
      <c r="E55" s="103">
        <f>+'Purchased Power Model '!E55</f>
        <v>0.06</v>
      </c>
      <c r="F55" s="57">
        <f>+'Purchased Power Model '!F55</f>
        <v>31</v>
      </c>
      <c r="G55" s="57">
        <f>+'Purchased Power Model '!G55</f>
        <v>1</v>
      </c>
      <c r="H55" s="61">
        <v>301</v>
      </c>
      <c r="I55" s="193">
        <f t="shared" si="0"/>
        <v>295381.43209990108</v>
      </c>
      <c r="J55" s="36">
        <f t="shared" si="1"/>
        <v>-23567.567900098918</v>
      </c>
      <c r="K55" s="5">
        <f t="shared" si="2"/>
        <v>-7.3891336546278302E-2</v>
      </c>
    </row>
    <row r="56" spans="1:11">
      <c r="A56" s="3">
        <v>39234</v>
      </c>
      <c r="B56" s="60">
        <v>318657</v>
      </c>
      <c r="C56" s="186">
        <f>+'Purchased Power Model '!C56</f>
        <v>6.2</v>
      </c>
      <c r="D56" s="186">
        <f>+'Purchased Power Model '!D56</f>
        <v>32.799999999999997</v>
      </c>
      <c r="E56" s="103">
        <f>+'Purchased Power Model '!E56</f>
        <v>0.06</v>
      </c>
      <c r="F56" s="57">
        <f>+'Purchased Power Model '!F56</f>
        <v>30</v>
      </c>
      <c r="G56" s="57">
        <f>+'Purchased Power Model '!G56</f>
        <v>0</v>
      </c>
      <c r="H56" s="61">
        <v>301</v>
      </c>
      <c r="I56" s="193">
        <f t="shared" si="0"/>
        <v>298548.75504345552</v>
      </c>
      <c r="J56" s="36">
        <f t="shared" si="1"/>
        <v>-20108.244956544484</v>
      </c>
      <c r="K56" s="5">
        <f t="shared" si="2"/>
        <v>-6.3103101317543583E-2</v>
      </c>
    </row>
    <row r="57" spans="1:11">
      <c r="A57" s="3">
        <v>39264</v>
      </c>
      <c r="B57" s="60">
        <v>318657</v>
      </c>
      <c r="C57" s="186">
        <f>+'Purchased Power Model '!C57</f>
        <v>8.6999999999999993</v>
      </c>
      <c r="D57" s="186">
        <f>+'Purchased Power Model '!D57</f>
        <v>41.6</v>
      </c>
      <c r="E57" s="103">
        <f>+'Purchased Power Model '!E57</f>
        <v>6.5000000000000002E-2</v>
      </c>
      <c r="F57" s="57">
        <f>+'Purchased Power Model '!F57</f>
        <v>31</v>
      </c>
      <c r="G57" s="57">
        <f>+'Purchased Power Model '!G57</f>
        <v>0</v>
      </c>
      <c r="H57" s="61">
        <v>301</v>
      </c>
      <c r="I57" s="193">
        <f t="shared" si="0"/>
        <v>288335.12603414775</v>
      </c>
      <c r="J57" s="36">
        <f t="shared" si="1"/>
        <v>-30321.873965852254</v>
      </c>
      <c r="K57" s="5">
        <f t="shared" si="2"/>
        <v>-9.5155210668060805E-2</v>
      </c>
    </row>
    <row r="58" spans="1:11">
      <c r="A58" s="3">
        <v>39295</v>
      </c>
      <c r="B58" s="60">
        <v>318433</v>
      </c>
      <c r="C58" s="186">
        <f>+'Purchased Power Model '!C58</f>
        <v>4</v>
      </c>
      <c r="D58" s="186">
        <f>+'Purchased Power Model '!D58</f>
        <v>87.8</v>
      </c>
      <c r="E58" s="103">
        <f>+'Purchased Power Model '!E58</f>
        <v>6.5000000000000002E-2</v>
      </c>
      <c r="F58" s="57">
        <f>+'Purchased Power Model '!F58</f>
        <v>31</v>
      </c>
      <c r="G58" s="57">
        <f>+'Purchased Power Model '!G58</f>
        <v>0</v>
      </c>
      <c r="H58" s="61">
        <v>301</v>
      </c>
      <c r="I58" s="193">
        <f t="shared" si="0"/>
        <v>283728.88903581735</v>
      </c>
      <c r="J58" s="36">
        <f t="shared" si="1"/>
        <v>-34704.110964182648</v>
      </c>
      <c r="K58" s="5">
        <f t="shared" si="2"/>
        <v>-0.1089840279248151</v>
      </c>
    </row>
    <row r="59" spans="1:11">
      <c r="A59" s="3">
        <v>39326</v>
      </c>
      <c r="B59" s="60">
        <v>317622</v>
      </c>
      <c r="C59" s="186">
        <f>+'Purchased Power Model '!C59</f>
        <v>20.100000000000001</v>
      </c>
      <c r="D59" s="186">
        <f>+'Purchased Power Model '!D59</f>
        <v>12.3</v>
      </c>
      <c r="E59" s="103">
        <f>+'Purchased Power Model '!E59</f>
        <v>6.5000000000000002E-2</v>
      </c>
      <c r="F59" s="57">
        <f>+'Purchased Power Model '!F59</f>
        <v>30</v>
      </c>
      <c r="G59" s="57">
        <f>+'Purchased Power Model '!G59</f>
        <v>1</v>
      </c>
      <c r="H59" s="61">
        <v>301</v>
      </c>
      <c r="I59" s="193">
        <f t="shared" si="0"/>
        <v>286332.69518456911</v>
      </c>
      <c r="J59" s="36">
        <f t="shared" si="1"/>
        <v>-31289.304815430893</v>
      </c>
      <c r="K59" s="5">
        <f t="shared" si="2"/>
        <v>-9.851113844579687E-2</v>
      </c>
    </row>
    <row r="60" spans="1:11">
      <c r="A60" s="3">
        <v>39356</v>
      </c>
      <c r="B60" s="60">
        <v>317550</v>
      </c>
      <c r="C60" s="186">
        <f>+'Purchased Power Model '!C60</f>
        <v>101.5</v>
      </c>
      <c r="D60" s="186">
        <f>+'Purchased Power Model '!D60</f>
        <v>0</v>
      </c>
      <c r="E60" s="103">
        <f>+'Purchased Power Model '!E60</f>
        <v>6.3E-2</v>
      </c>
      <c r="F60" s="57">
        <f>+'Purchased Power Model '!F60</f>
        <v>31</v>
      </c>
      <c r="G60" s="57">
        <f>+'Purchased Power Model '!G60</f>
        <v>1</v>
      </c>
      <c r="H60" s="61">
        <v>301</v>
      </c>
      <c r="I60" s="193">
        <f t="shared" si="0"/>
        <v>289963.7878265839</v>
      </c>
      <c r="J60" s="36">
        <f t="shared" si="1"/>
        <v>-27586.212173416105</v>
      </c>
      <c r="K60" s="5">
        <f t="shared" si="2"/>
        <v>-8.6872026998633611E-2</v>
      </c>
    </row>
    <row r="61" spans="1:11">
      <c r="A61" s="3">
        <v>39387</v>
      </c>
      <c r="B61" s="60">
        <v>317300</v>
      </c>
      <c r="C61" s="186">
        <f>+'Purchased Power Model '!C61</f>
        <v>314.10000000000002</v>
      </c>
      <c r="D61" s="186">
        <f>+'Purchased Power Model '!D61</f>
        <v>0</v>
      </c>
      <c r="E61" s="103">
        <f>+'Purchased Power Model '!E61</f>
        <v>6.3E-2</v>
      </c>
      <c r="F61" s="57">
        <f>+'Purchased Power Model '!F61</f>
        <v>30</v>
      </c>
      <c r="G61" s="57">
        <f>+'Purchased Power Model '!G61</f>
        <v>1</v>
      </c>
      <c r="H61" s="61">
        <v>301</v>
      </c>
      <c r="I61" s="193">
        <f t="shared" si="0"/>
        <v>287217.23542777356</v>
      </c>
      <c r="J61" s="36">
        <f t="shared" si="1"/>
        <v>-30082.764572226442</v>
      </c>
      <c r="K61" s="5">
        <f t="shared" si="2"/>
        <v>-9.4808586738816397E-2</v>
      </c>
    </row>
    <row r="62" spans="1:11">
      <c r="A62" s="3">
        <v>39417</v>
      </c>
      <c r="B62" s="60">
        <v>317352</v>
      </c>
      <c r="C62" s="186">
        <f>+'Purchased Power Model '!C62</f>
        <v>337.8</v>
      </c>
      <c r="D62" s="186">
        <f>+'Purchased Power Model '!D62</f>
        <v>0</v>
      </c>
      <c r="E62" s="103">
        <f>+'Purchased Power Model '!E62</f>
        <v>6.3E-2</v>
      </c>
      <c r="F62" s="57">
        <f>+'Purchased Power Model '!F62</f>
        <v>31</v>
      </c>
      <c r="G62" s="57">
        <f>+'Purchased Power Model '!G62</f>
        <v>0</v>
      </c>
      <c r="H62" s="61">
        <v>301</v>
      </c>
      <c r="I62" s="193">
        <f t="shared" si="0"/>
        <v>291702.54686093103</v>
      </c>
      <c r="J62" s="36">
        <f t="shared" si="1"/>
        <v>-25649.453139068966</v>
      </c>
      <c r="K62" s="5">
        <f t="shared" si="2"/>
        <v>-8.0823354316560056E-2</v>
      </c>
    </row>
    <row r="63" spans="1:11">
      <c r="A63" s="3">
        <v>39448</v>
      </c>
      <c r="B63" s="61">
        <v>315539</v>
      </c>
      <c r="C63" s="187">
        <f>+'Purchased Power Model '!C63</f>
        <v>432.8</v>
      </c>
      <c r="D63" s="187">
        <f>+'Purchased Power Model '!D63</f>
        <v>0</v>
      </c>
      <c r="E63" s="103">
        <f>+'Purchased Power Model '!E63</f>
        <v>6.4000000000000001E-2</v>
      </c>
      <c r="F63" s="57">
        <f>+'Purchased Power Model '!F63</f>
        <v>31</v>
      </c>
      <c r="G63" s="57">
        <f>+'Purchased Power Model '!G63</f>
        <v>0</v>
      </c>
      <c r="H63" s="61">
        <v>301</v>
      </c>
      <c r="I63" s="193">
        <f t="shared" si="0"/>
        <v>288578.96298220038</v>
      </c>
      <c r="J63" s="36">
        <f t="shared" si="1"/>
        <v>-26960.037017799623</v>
      </c>
      <c r="K63" s="5">
        <f t="shared" si="2"/>
        <v>-8.5441219683777991E-2</v>
      </c>
    </row>
    <row r="64" spans="1:11">
      <c r="A64" s="3">
        <v>39479</v>
      </c>
      <c r="B64" s="61">
        <v>313200</v>
      </c>
      <c r="C64" s="187">
        <f>+'Purchased Power Model '!C64</f>
        <v>317.60000000000002</v>
      </c>
      <c r="D64" s="187">
        <f>+'Purchased Power Model '!D64</f>
        <v>0</v>
      </c>
      <c r="E64" s="103">
        <f>+'Purchased Power Model '!E64</f>
        <v>6.4000000000000001E-2</v>
      </c>
      <c r="F64" s="57">
        <f>+'Purchased Power Model '!F64</f>
        <v>29</v>
      </c>
      <c r="G64" s="57">
        <f>+'Purchased Power Model '!G64</f>
        <v>0</v>
      </c>
      <c r="H64" s="61">
        <v>301</v>
      </c>
      <c r="I64" s="193">
        <f t="shared" si="0"/>
        <v>290461.69529929326</v>
      </c>
      <c r="J64" s="36">
        <f t="shared" si="1"/>
        <v>-22738.304700706736</v>
      </c>
      <c r="K64" s="5">
        <f t="shared" si="2"/>
        <v>-7.2599951151681788E-2</v>
      </c>
    </row>
    <row r="65" spans="1:17">
      <c r="A65" s="3">
        <v>39508</v>
      </c>
      <c r="B65" s="61">
        <v>315180</v>
      </c>
      <c r="C65" s="187">
        <f>+'Purchased Power Model '!C65</f>
        <v>430</v>
      </c>
      <c r="D65" s="187">
        <f>+'Purchased Power Model '!D65</f>
        <v>0</v>
      </c>
      <c r="E65" s="103">
        <f>+'Purchased Power Model '!E65</f>
        <v>6.4000000000000001E-2</v>
      </c>
      <c r="F65" s="57">
        <f>+'Purchased Power Model '!F65</f>
        <v>31</v>
      </c>
      <c r="G65" s="57">
        <f>+'Purchased Power Model '!G65</f>
        <v>1</v>
      </c>
      <c r="H65" s="61">
        <v>301</v>
      </c>
      <c r="I65" s="193">
        <f t="shared" si="0"/>
        <v>283653.19808870147</v>
      </c>
      <c r="J65" s="36">
        <f t="shared" si="1"/>
        <v>-31526.801911298535</v>
      </c>
      <c r="K65" s="5">
        <f t="shared" si="2"/>
        <v>-0.10002792661748378</v>
      </c>
    </row>
    <row r="66" spans="1:17">
      <c r="A66" s="3">
        <v>39539</v>
      </c>
      <c r="B66" s="61">
        <v>315180</v>
      </c>
      <c r="C66" s="187">
        <f>+'Purchased Power Model '!C66</f>
        <v>144.6</v>
      </c>
      <c r="D66" s="187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301</v>
      </c>
      <c r="I66" s="193">
        <f t="shared" si="0"/>
        <v>269434.33788353432</v>
      </c>
      <c r="J66" s="36">
        <f t="shared" si="1"/>
        <v>-45745.662116465683</v>
      </c>
      <c r="K66" s="5">
        <f t="shared" si="2"/>
        <v>-0.14514138624425943</v>
      </c>
    </row>
    <row r="67" spans="1:17">
      <c r="A67" s="3">
        <v>39569</v>
      </c>
      <c r="B67" s="61">
        <v>288406</v>
      </c>
      <c r="C67" s="187">
        <f>+'Purchased Power Model '!C67</f>
        <v>151</v>
      </c>
      <c r="D67" s="187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301</v>
      </c>
      <c r="I67" s="193">
        <f t="shared" si="0"/>
        <v>269191.7927099496</v>
      </c>
      <c r="J67" s="36">
        <f t="shared" si="1"/>
        <v>-19214.207290050399</v>
      </c>
      <c r="K67" s="5">
        <f t="shared" si="2"/>
        <v>-6.6622078909767471E-2</v>
      </c>
    </row>
    <row r="68" spans="1:17">
      <c r="A68" s="3">
        <v>39600</v>
      </c>
      <c r="B68" s="61">
        <v>288406</v>
      </c>
      <c r="C68" s="187">
        <f>+'Purchased Power Model '!C68</f>
        <v>15.5</v>
      </c>
      <c r="D68" s="187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301</v>
      </c>
      <c r="I68" s="193">
        <f t="shared" ref="I68:I131" si="3">$N$18+C68*$N$19+D68*$N$20+E68*$N$21+F68*$N$22+G68*$N$23+H68*$N$24</f>
        <v>273774.64714436687</v>
      </c>
      <c r="J68" s="36">
        <f t="shared" ref="J68:J131" si="4">I68-B68</f>
        <v>-14631.352855633129</v>
      </c>
      <c r="K68" s="5">
        <f t="shared" ref="K68:K131" si="5">J68/B68</f>
        <v>-5.0731790793648986E-2</v>
      </c>
    </row>
    <row r="69" spans="1:17">
      <c r="A69" s="3">
        <v>39630</v>
      </c>
      <c r="B69" s="61">
        <v>287542</v>
      </c>
      <c r="C69" s="187">
        <f>+'Purchased Power Model '!C69</f>
        <v>1</v>
      </c>
      <c r="D69" s="187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301</v>
      </c>
      <c r="I69" s="193">
        <f t="shared" si="3"/>
        <v>280957.79777199775</v>
      </c>
      <c r="J69" s="36">
        <f t="shared" si="4"/>
        <v>-6584.2022280022502</v>
      </c>
      <c r="K69" s="5">
        <f t="shared" si="5"/>
        <v>-2.2898227834550259E-2</v>
      </c>
    </row>
    <row r="70" spans="1:17">
      <c r="A70" s="3">
        <v>39661</v>
      </c>
      <c r="B70" s="61">
        <v>288406</v>
      </c>
      <c r="C70" s="187">
        <f>+'Purchased Power Model '!C70</f>
        <v>13.8</v>
      </c>
      <c r="D70" s="187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301</v>
      </c>
      <c r="I70" s="193">
        <f t="shared" si="3"/>
        <v>283967.44701275794</v>
      </c>
      <c r="J70" s="36">
        <f t="shared" si="4"/>
        <v>-4438.5529872420593</v>
      </c>
      <c r="K70" s="5">
        <f t="shared" si="5"/>
        <v>-1.5389946766856651E-2</v>
      </c>
    </row>
    <row r="71" spans="1:17">
      <c r="A71" s="3">
        <v>39692</v>
      </c>
      <c r="B71" s="61">
        <v>244903</v>
      </c>
      <c r="C71" s="187">
        <f>+'Purchased Power Model '!C71</f>
        <v>51.6</v>
      </c>
      <c r="D71" s="187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300</v>
      </c>
      <c r="I71" s="193">
        <f t="shared" si="3"/>
        <v>279151.35711073485</v>
      </c>
      <c r="J71" s="36">
        <f t="shared" si="4"/>
        <v>34248.357110734854</v>
      </c>
      <c r="K71" s="5">
        <f t="shared" si="5"/>
        <v>0.13984457973456779</v>
      </c>
    </row>
    <row r="72" spans="1:17">
      <c r="A72" s="3">
        <v>39722</v>
      </c>
      <c r="B72" s="61">
        <v>243233</v>
      </c>
      <c r="C72" s="187">
        <f>+'Purchased Power Model '!C72</f>
        <v>203.1</v>
      </c>
      <c r="D72" s="187">
        <f>+'Purchased Power Model '!D72</f>
        <v>0</v>
      </c>
      <c r="E72" s="103">
        <f>+'Purchased Power Model '!E72</f>
        <v>7.9000000000000001E-2</v>
      </c>
      <c r="F72" s="57">
        <f>+'Purchased Power Model '!F72</f>
        <v>31</v>
      </c>
      <c r="G72" s="57">
        <f>+'Purchased Power Model '!G72</f>
        <v>1</v>
      </c>
      <c r="H72" s="61">
        <v>300</v>
      </c>
      <c r="I72" s="193">
        <f t="shared" si="3"/>
        <v>258358.45535404523</v>
      </c>
      <c r="J72" s="36">
        <f t="shared" si="4"/>
        <v>15125.455354045233</v>
      </c>
      <c r="K72" s="5">
        <f t="shared" si="5"/>
        <v>6.2185046248022402E-2</v>
      </c>
    </row>
    <row r="73" spans="1:17">
      <c r="A73" s="3">
        <v>39753</v>
      </c>
      <c r="B73" s="61">
        <v>236648</v>
      </c>
      <c r="C73" s="187">
        <f>+'Purchased Power Model '!C73</f>
        <v>268.8</v>
      </c>
      <c r="D73" s="187">
        <f>+'Purchased Power Model '!D73</f>
        <v>0</v>
      </c>
      <c r="E73" s="103">
        <f>+'Purchased Power Model '!E73</f>
        <v>7.9000000000000001E-2</v>
      </c>
      <c r="F73" s="57">
        <f>+'Purchased Power Model '!F73</f>
        <v>30</v>
      </c>
      <c r="G73" s="57">
        <f>+'Purchased Power Model '!G73</f>
        <v>1</v>
      </c>
      <c r="H73" s="61">
        <v>301</v>
      </c>
      <c r="I73" s="193">
        <f t="shared" si="3"/>
        <v>258604.43414465809</v>
      </c>
      <c r="J73" s="36">
        <f t="shared" si="4"/>
        <v>21956.434144658095</v>
      </c>
      <c r="K73" s="5">
        <f t="shared" si="5"/>
        <v>9.2780983336677655E-2</v>
      </c>
    </row>
    <row r="74" spans="1:17">
      <c r="A74" s="3">
        <v>39783</v>
      </c>
      <c r="B74" s="61">
        <v>236230</v>
      </c>
      <c r="C74" s="187">
        <f>+'Purchased Power Model '!C74</f>
        <v>378.9</v>
      </c>
      <c r="D74" s="187">
        <f>+'Purchased Power Model '!D74</f>
        <v>0</v>
      </c>
      <c r="E74" s="103">
        <f>+'Purchased Power Model '!E74</f>
        <v>7.9000000000000001E-2</v>
      </c>
      <c r="F74" s="57">
        <f>+'Purchased Power Model '!F74</f>
        <v>31</v>
      </c>
      <c r="G74" s="57">
        <f>+'Purchased Power Model '!G74</f>
        <v>0</v>
      </c>
      <c r="H74" s="61">
        <v>301</v>
      </c>
      <c r="I74" s="193">
        <f t="shared" si="3"/>
        <v>261910.4851656926</v>
      </c>
      <c r="J74" s="36">
        <f t="shared" si="4"/>
        <v>25680.485165692604</v>
      </c>
      <c r="K74" s="5">
        <f t="shared" si="5"/>
        <v>0.10870966924477249</v>
      </c>
    </row>
    <row r="75" spans="1:17" s="14" customFormat="1">
      <c r="A75" s="3">
        <v>39814</v>
      </c>
      <c r="B75" s="61">
        <v>236230</v>
      </c>
      <c r="C75" s="187">
        <f>+'Purchased Power Model '!C75</f>
        <v>684.3</v>
      </c>
      <c r="D75" s="187">
        <f>+'Purchased Power Model '!D75</f>
        <v>0</v>
      </c>
      <c r="E75" s="103">
        <f>+'Purchased Power Model '!E75</f>
        <v>8.5000000000000006E-2</v>
      </c>
      <c r="F75" s="57">
        <f>+'Purchased Power Model '!F75</f>
        <v>31</v>
      </c>
      <c r="G75" s="57">
        <f>+'Purchased Power Model '!G75</f>
        <v>0</v>
      </c>
      <c r="H75" s="61">
        <v>302</v>
      </c>
      <c r="I75" s="193">
        <f t="shared" si="3"/>
        <v>247767.98241730209</v>
      </c>
      <c r="J75" s="36">
        <f t="shared" si="4"/>
        <v>11537.98241730209</v>
      </c>
      <c r="K75" s="5">
        <f t="shared" si="5"/>
        <v>4.8842155599636325E-2</v>
      </c>
      <c r="L75" s="11"/>
      <c r="M75" s="11"/>
      <c r="N75" s="11"/>
      <c r="O75" s="11"/>
      <c r="P75" s="11"/>
      <c r="Q75" s="11"/>
    </row>
    <row r="76" spans="1:17">
      <c r="A76" s="3">
        <v>39845</v>
      </c>
      <c r="B76" s="61">
        <v>236526</v>
      </c>
      <c r="C76" s="187">
        <f>+'Purchased Power Model '!C76</f>
        <v>595.29999999999995</v>
      </c>
      <c r="D76" s="187">
        <f>+'Purchased Power Model '!D76</f>
        <v>0</v>
      </c>
      <c r="E76" s="103">
        <f>+'Purchased Power Model '!E76</f>
        <v>8.5000000000000006E-2</v>
      </c>
      <c r="F76" s="57">
        <f>+'Purchased Power Model '!F76</f>
        <v>28</v>
      </c>
      <c r="G76" s="57">
        <f>+'Purchased Power Model '!G76</f>
        <v>0</v>
      </c>
      <c r="H76" s="61">
        <v>302</v>
      </c>
      <c r="I76" s="193">
        <f t="shared" si="3"/>
        <v>249448.30748396105</v>
      </c>
      <c r="J76" s="36">
        <f t="shared" si="4"/>
        <v>12922.307483961049</v>
      </c>
      <c r="K76" s="5">
        <f t="shared" si="5"/>
        <v>5.4633771695124636E-2</v>
      </c>
    </row>
    <row r="77" spans="1:17">
      <c r="A77" s="3">
        <v>39873</v>
      </c>
      <c r="B77" s="61">
        <v>236526</v>
      </c>
      <c r="C77" s="187">
        <f>+'Purchased Power Model '!C77</f>
        <v>442.2</v>
      </c>
      <c r="D77" s="187">
        <f>+'Purchased Power Model '!D77</f>
        <v>0</v>
      </c>
      <c r="E77" s="103">
        <f>+'Purchased Power Model '!E77</f>
        <v>8.5000000000000006E-2</v>
      </c>
      <c r="F77" s="57">
        <f>+'Purchased Power Model '!F77</f>
        <v>31</v>
      </c>
      <c r="G77" s="57">
        <f>+'Purchased Power Model '!G77</f>
        <v>1</v>
      </c>
      <c r="H77" s="61">
        <v>302</v>
      </c>
      <c r="I77" s="193">
        <f t="shared" si="3"/>
        <v>246108.38669765764</v>
      </c>
      <c r="J77" s="36">
        <f t="shared" si="4"/>
        <v>9582.3866976576392</v>
      </c>
      <c r="K77" s="5">
        <f t="shared" si="5"/>
        <v>4.0513037457436556E-2</v>
      </c>
    </row>
    <row r="78" spans="1:17">
      <c r="A78" s="3">
        <v>39904</v>
      </c>
      <c r="B78" s="61">
        <v>237710</v>
      </c>
      <c r="C78" s="187">
        <f>+'Purchased Power Model '!C78</f>
        <v>313.8</v>
      </c>
      <c r="D78" s="187">
        <f>+'Purchased Power Model '!D78</f>
        <v>0</v>
      </c>
      <c r="E78" s="103">
        <f>+'Purchased Power Model '!E78</f>
        <v>8.6999999999999994E-2</v>
      </c>
      <c r="F78" s="57">
        <f>+'Purchased Power Model '!F78</f>
        <v>30</v>
      </c>
      <c r="G78" s="57">
        <f>+'Purchased Power Model '!G78</f>
        <v>1</v>
      </c>
      <c r="H78" s="61">
        <v>302</v>
      </c>
      <c r="I78" s="193">
        <f t="shared" si="3"/>
        <v>244362.20449089175</v>
      </c>
      <c r="J78" s="36">
        <f t="shared" si="4"/>
        <v>6652.2044908917451</v>
      </c>
      <c r="K78" s="5">
        <f t="shared" si="5"/>
        <v>2.7984537843976885E-2</v>
      </c>
    </row>
    <row r="79" spans="1:17">
      <c r="A79" s="3">
        <v>39934</v>
      </c>
      <c r="B79" s="61">
        <v>209493</v>
      </c>
      <c r="C79" s="187">
        <f>+'Purchased Power Model '!C79</f>
        <v>170.1</v>
      </c>
      <c r="D79" s="187">
        <f>+'Purchased Power Model '!D79</f>
        <v>0</v>
      </c>
      <c r="E79" s="103">
        <f>+'Purchased Power Model '!E79</f>
        <v>8.6999999999999994E-2</v>
      </c>
      <c r="F79" s="57">
        <f>+'Purchased Power Model '!F79</f>
        <v>31</v>
      </c>
      <c r="G79" s="57">
        <f>+'Purchased Power Model '!G79</f>
        <v>1</v>
      </c>
      <c r="H79" s="61">
        <v>302</v>
      </c>
      <c r="I79" s="193">
        <f t="shared" si="3"/>
        <v>246168.35130642343</v>
      </c>
      <c r="J79" s="36">
        <f t="shared" si="4"/>
        <v>36675.351306423428</v>
      </c>
      <c r="K79" s="5">
        <f t="shared" si="5"/>
        <v>0.17506719225188158</v>
      </c>
    </row>
    <row r="80" spans="1:17">
      <c r="A80" s="3">
        <v>39965</v>
      </c>
      <c r="B80" s="61">
        <v>238292</v>
      </c>
      <c r="C80" s="187">
        <f>+'Purchased Power Model '!C80</f>
        <v>57.9</v>
      </c>
      <c r="D80" s="187">
        <f>+'Purchased Power Model '!D80</f>
        <v>26.3</v>
      </c>
      <c r="E80" s="103">
        <f>+'Purchased Power Model '!E80</f>
        <v>8.6999999999999994E-2</v>
      </c>
      <c r="F80" s="57">
        <f>+'Purchased Power Model '!F80</f>
        <v>30</v>
      </c>
      <c r="G80" s="57">
        <f>+'Purchased Power Model '!G80</f>
        <v>0</v>
      </c>
      <c r="H80" s="61">
        <v>302</v>
      </c>
      <c r="I80" s="193">
        <f t="shared" si="3"/>
        <v>250160.24292697932</v>
      </c>
      <c r="J80" s="36">
        <f t="shared" si="4"/>
        <v>11868.242926979321</v>
      </c>
      <c r="K80" s="5">
        <f t="shared" si="5"/>
        <v>4.9805461060292926E-2</v>
      </c>
    </row>
    <row r="81" spans="1:17">
      <c r="A81" s="3">
        <v>39995</v>
      </c>
      <c r="B81" s="61">
        <v>237932</v>
      </c>
      <c r="C81" s="187">
        <f>+'Purchased Power Model '!C81</f>
        <v>16.8</v>
      </c>
      <c r="D81" s="187">
        <f>+'Purchased Power Model '!D81</f>
        <v>25.6</v>
      </c>
      <c r="E81" s="103">
        <f>+'Purchased Power Model '!E81</f>
        <v>9.1999999999999998E-2</v>
      </c>
      <c r="F81" s="57">
        <f>+'Purchased Power Model '!F81</f>
        <v>31</v>
      </c>
      <c r="G81" s="57">
        <f>+'Purchased Power Model '!G81</f>
        <v>0</v>
      </c>
      <c r="H81" s="61">
        <v>303</v>
      </c>
      <c r="I81" s="193">
        <f t="shared" si="3"/>
        <v>242489.58005157689</v>
      </c>
      <c r="J81" s="36">
        <f t="shared" si="4"/>
        <v>4557.5800515768933</v>
      </c>
      <c r="K81" s="5">
        <f t="shared" si="5"/>
        <v>1.9154968863275612E-2</v>
      </c>
    </row>
    <row r="82" spans="1:17">
      <c r="A82" s="3">
        <v>40026</v>
      </c>
      <c r="B82" s="61">
        <v>237846</v>
      </c>
      <c r="C82" s="187">
        <f>+'Purchased Power Model '!C82</f>
        <v>13.1</v>
      </c>
      <c r="D82" s="187">
        <f>+'Purchased Power Model '!D82</f>
        <v>77.7</v>
      </c>
      <c r="E82" s="103">
        <f>+'Purchased Power Model '!E82</f>
        <v>9.1999999999999998E-2</v>
      </c>
      <c r="F82" s="57">
        <f>+'Purchased Power Model '!F82</f>
        <v>31</v>
      </c>
      <c r="G82" s="57">
        <f>+'Purchased Power Model '!G82</f>
        <v>0</v>
      </c>
      <c r="H82" s="61">
        <v>303</v>
      </c>
      <c r="I82" s="193">
        <f t="shared" si="3"/>
        <v>237273.25955593784</v>
      </c>
      <c r="J82" s="36">
        <f t="shared" si="4"/>
        <v>-572.74044406216126</v>
      </c>
      <c r="K82" s="5">
        <f t="shared" si="5"/>
        <v>-2.4080305914842429E-3</v>
      </c>
    </row>
    <row r="83" spans="1:17">
      <c r="A83" s="3">
        <v>40057</v>
      </c>
      <c r="B83" s="61">
        <v>238562</v>
      </c>
      <c r="C83" s="187">
        <f>+'Purchased Power Model '!C83</f>
        <v>64.8</v>
      </c>
      <c r="D83" s="187">
        <f>+'Purchased Power Model '!D83</f>
        <v>9</v>
      </c>
      <c r="E83" s="103">
        <f>+'Purchased Power Model '!E83</f>
        <v>9.1999999999999998E-2</v>
      </c>
      <c r="F83" s="57">
        <f>+'Purchased Power Model '!F83</f>
        <v>30</v>
      </c>
      <c r="G83" s="57">
        <f>+'Purchased Power Model '!G83</f>
        <v>1</v>
      </c>
      <c r="H83" s="61">
        <v>303</v>
      </c>
      <c r="I83" s="193">
        <f t="shared" si="3"/>
        <v>238703.75053186575</v>
      </c>
      <c r="J83" s="36">
        <f t="shared" si="4"/>
        <v>141.75053186574951</v>
      </c>
      <c r="K83" s="5">
        <f t="shared" si="5"/>
        <v>5.9418738887898959E-4</v>
      </c>
    </row>
    <row r="84" spans="1:17">
      <c r="A84" s="3">
        <v>40087</v>
      </c>
      <c r="B84" s="61">
        <v>238528</v>
      </c>
      <c r="C84" s="187">
        <f>+'Purchased Power Model '!C84</f>
        <v>287.89999999999998</v>
      </c>
      <c r="D84" s="187">
        <f>+'Purchased Power Model '!D84</f>
        <v>0</v>
      </c>
      <c r="E84" s="103">
        <f>+'Purchased Power Model '!E84</f>
        <v>9.9000000000000005E-2</v>
      </c>
      <c r="F84" s="57">
        <f>+'Purchased Power Model '!F84</f>
        <v>31</v>
      </c>
      <c r="G84" s="57">
        <f>+'Purchased Power Model '!G84</f>
        <v>1</v>
      </c>
      <c r="H84" s="61">
        <v>304</v>
      </c>
      <c r="I84" s="193">
        <f t="shared" si="3"/>
        <v>224612.22755937191</v>
      </c>
      <c r="J84" s="36">
        <f t="shared" si="4"/>
        <v>-13915.77244062809</v>
      </c>
      <c r="K84" s="5">
        <f t="shared" si="5"/>
        <v>-5.8340205093859378E-2</v>
      </c>
    </row>
    <row r="85" spans="1:17">
      <c r="A85" s="3">
        <v>40118</v>
      </c>
      <c r="B85" s="61">
        <v>238905</v>
      </c>
      <c r="C85" s="187">
        <f>+'Purchased Power Model '!C85</f>
        <v>347.4</v>
      </c>
      <c r="D85" s="187">
        <f>+'Purchased Power Model '!D85</f>
        <v>0</v>
      </c>
      <c r="E85" s="103">
        <f>+'Purchased Power Model '!E85</f>
        <v>9.9000000000000005E-2</v>
      </c>
      <c r="F85" s="57">
        <f>+'Purchased Power Model '!F85</f>
        <v>30</v>
      </c>
      <c r="G85" s="57">
        <f>+'Purchased Power Model '!G85</f>
        <v>1</v>
      </c>
      <c r="H85" s="61">
        <v>304</v>
      </c>
      <c r="I85" s="193">
        <f t="shared" si="3"/>
        <v>223955.31369176559</v>
      </c>
      <c r="J85" s="36">
        <f t="shared" si="4"/>
        <v>-14949.686308234406</v>
      </c>
      <c r="K85" s="5">
        <f t="shared" si="5"/>
        <v>-6.2575861987963444E-2</v>
      </c>
    </row>
    <row r="86" spans="1:17" s="31" customFormat="1">
      <c r="A86" s="3">
        <v>40148</v>
      </c>
      <c r="B86" s="61">
        <v>238905</v>
      </c>
      <c r="C86" s="187">
        <f>+'Purchased Power Model '!C86</f>
        <v>619.1</v>
      </c>
      <c r="D86" s="187">
        <f>+'Purchased Power Model '!D86</f>
        <v>0</v>
      </c>
      <c r="E86" s="103">
        <f>+'Purchased Power Model '!E86</f>
        <v>9.9000000000000005E-2</v>
      </c>
      <c r="F86" s="57">
        <f>+'Purchased Power Model '!F86</f>
        <v>31</v>
      </c>
      <c r="G86" s="57">
        <f>+'Purchased Power Model '!G86</f>
        <v>0</v>
      </c>
      <c r="H86" s="61">
        <v>304</v>
      </c>
      <c r="I86" s="193">
        <f t="shared" si="3"/>
        <v>225055.71097901455</v>
      </c>
      <c r="J86" s="36">
        <f t="shared" si="4"/>
        <v>-13849.289020985452</v>
      </c>
      <c r="K86" s="5">
        <f t="shared" si="5"/>
        <v>-5.7969858399721449E-2</v>
      </c>
      <c r="L86" s="27"/>
      <c r="M86" s="27"/>
      <c r="N86" s="27"/>
      <c r="O86" s="27"/>
      <c r="P86" s="27"/>
      <c r="Q86" s="27"/>
    </row>
    <row r="87" spans="1:17">
      <c r="A87" s="3">
        <v>40179</v>
      </c>
      <c r="B87" s="59">
        <v>238905</v>
      </c>
      <c r="C87" s="187">
        <f>+'Purchased Power Model '!C87</f>
        <v>699.9</v>
      </c>
      <c r="D87" s="187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308</v>
      </c>
      <c r="I87" s="193">
        <f t="shared" si="3"/>
        <v>220595.17264242971</v>
      </c>
      <c r="J87" s="36">
        <f t="shared" si="4"/>
        <v>-18309.827357570291</v>
      </c>
      <c r="K87" s="5">
        <f t="shared" si="5"/>
        <v>-7.6640620152656047E-2</v>
      </c>
    </row>
    <row r="88" spans="1:17">
      <c r="A88" s="3">
        <v>40210</v>
      </c>
      <c r="B88" s="59">
        <v>252955</v>
      </c>
      <c r="C88" s="187">
        <f>+'Purchased Power Model '!C88</f>
        <v>583.79999999999995</v>
      </c>
      <c r="D88" s="187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308</v>
      </c>
      <c r="I88" s="193">
        <f t="shared" si="3"/>
        <v>222645.38147261337</v>
      </c>
      <c r="J88" s="36">
        <f t="shared" si="4"/>
        <v>-30309.618527386629</v>
      </c>
      <c r="K88" s="5">
        <f t="shared" si="5"/>
        <v>-0.11982217598935237</v>
      </c>
    </row>
    <row r="89" spans="1:17">
      <c r="A89" s="3">
        <v>40238</v>
      </c>
      <c r="B89" s="59">
        <v>240843</v>
      </c>
      <c r="C89" s="187">
        <f>+'Purchased Power Model '!C89</f>
        <v>411</v>
      </c>
      <c r="D89" s="187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306</v>
      </c>
      <c r="I89" s="193">
        <f t="shared" si="3"/>
        <v>217599.31195561815</v>
      </c>
      <c r="J89" s="36">
        <f t="shared" si="4"/>
        <v>-23243.688044381852</v>
      </c>
      <c r="K89" s="5">
        <f t="shared" si="5"/>
        <v>-9.6509709829149498E-2</v>
      </c>
    </row>
    <row r="90" spans="1:17">
      <c r="A90" s="3">
        <v>40269</v>
      </c>
      <c r="B90" s="59">
        <v>232500</v>
      </c>
      <c r="C90" s="187">
        <f>+'Purchased Power Model '!C90</f>
        <v>244</v>
      </c>
      <c r="D90" s="187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306</v>
      </c>
      <c r="I90" s="193">
        <f t="shared" si="3"/>
        <v>227341.63553278541</v>
      </c>
      <c r="J90" s="36">
        <f t="shared" si="4"/>
        <v>-5158.3644672145892</v>
      </c>
      <c r="K90" s="5">
        <f t="shared" si="5"/>
        <v>-2.2186513837482106E-2</v>
      </c>
    </row>
    <row r="91" spans="1:17">
      <c r="A91" s="3">
        <v>40299</v>
      </c>
      <c r="B91" s="59">
        <v>246046</v>
      </c>
      <c r="C91" s="187">
        <f>+'Purchased Power Model '!C91</f>
        <v>121.7</v>
      </c>
      <c r="D91" s="187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306</v>
      </c>
      <c r="I91" s="193">
        <f t="shared" si="3"/>
        <v>226510.39466242824</v>
      </c>
      <c r="J91" s="36">
        <f t="shared" si="4"/>
        <v>-19535.60533757176</v>
      </c>
      <c r="K91" s="5">
        <f t="shared" si="5"/>
        <v>-7.9398183012817772E-2</v>
      </c>
    </row>
    <row r="92" spans="1:17">
      <c r="A92" s="3">
        <v>40330</v>
      </c>
      <c r="B92" s="59">
        <v>232443</v>
      </c>
      <c r="C92" s="187">
        <f>+'Purchased Power Model '!C92</f>
        <v>19.399999999999999</v>
      </c>
      <c r="D92" s="187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306</v>
      </c>
      <c r="I92" s="193">
        <f t="shared" si="3"/>
        <v>230660.32548813638</v>
      </c>
      <c r="J92" s="36">
        <f t="shared" si="4"/>
        <v>-1782.6745118636172</v>
      </c>
      <c r="K92" s="5">
        <f t="shared" si="5"/>
        <v>-7.6692974701910461E-3</v>
      </c>
    </row>
    <row r="93" spans="1:17">
      <c r="A93" s="3">
        <v>40360</v>
      </c>
      <c r="B93" s="59">
        <v>232567</v>
      </c>
      <c r="C93" s="187">
        <f>+'Purchased Power Model '!C93</f>
        <v>3.5</v>
      </c>
      <c r="D93" s="187">
        <f>+'Purchased Power Model '!D93</f>
        <v>124</v>
      </c>
      <c r="E93" s="103">
        <f>+'Purchased Power Model '!E93</f>
        <v>0.10400000000000001</v>
      </c>
      <c r="F93" s="57">
        <f>+'Purchased Power Model '!F93</f>
        <v>31</v>
      </c>
      <c r="G93" s="57">
        <f>+'Purchased Power Model '!G93</f>
        <v>0</v>
      </c>
      <c r="H93" s="61">
        <v>306</v>
      </c>
      <c r="I93" s="193">
        <f t="shared" si="3"/>
        <v>213763.01883194229</v>
      </c>
      <c r="J93" s="36">
        <f t="shared" si="4"/>
        <v>-18803.981168057711</v>
      </c>
      <c r="K93" s="5">
        <f t="shared" si="5"/>
        <v>-8.085403848378192E-2</v>
      </c>
    </row>
    <row r="94" spans="1:17">
      <c r="A94" s="3">
        <v>40391</v>
      </c>
      <c r="B94" s="59">
        <v>231873</v>
      </c>
      <c r="C94" s="187">
        <f>+'Purchased Power Model '!C94</f>
        <v>3.2</v>
      </c>
      <c r="D94" s="187">
        <f>+'Purchased Power Model '!D94</f>
        <v>96.8</v>
      </c>
      <c r="E94" s="103">
        <f>+'Purchased Power Model '!E94</f>
        <v>0.10400000000000001</v>
      </c>
      <c r="F94" s="57">
        <f>+'Purchased Power Model '!F94</f>
        <v>31</v>
      </c>
      <c r="G94" s="57">
        <f>+'Purchased Power Model '!G94</f>
        <v>0</v>
      </c>
      <c r="H94" s="61">
        <v>306</v>
      </c>
      <c r="I94" s="193">
        <f t="shared" si="3"/>
        <v>216516.77831302141</v>
      </c>
      <c r="J94" s="36">
        <f t="shared" si="4"/>
        <v>-15356.221686978592</v>
      </c>
      <c r="K94" s="5">
        <f t="shared" si="5"/>
        <v>-6.622686421868261E-2</v>
      </c>
    </row>
    <row r="95" spans="1:17">
      <c r="A95" s="3">
        <v>40422</v>
      </c>
      <c r="B95" s="59">
        <v>231868</v>
      </c>
      <c r="C95" s="187">
        <f>+'Purchased Power Model '!C95</f>
        <v>85.5</v>
      </c>
      <c r="D95" s="187">
        <f>+'Purchased Power Model '!D95</f>
        <v>18.5</v>
      </c>
      <c r="E95" s="103">
        <f>+'Purchased Power Model '!E95</f>
        <v>0.10400000000000001</v>
      </c>
      <c r="F95" s="57">
        <f>+'Purchased Power Model '!F95</f>
        <v>30</v>
      </c>
      <c r="G95" s="57">
        <f>+'Purchased Power Model '!G95</f>
        <v>1</v>
      </c>
      <c r="H95" s="61">
        <v>306</v>
      </c>
      <c r="I95" s="193">
        <f t="shared" si="3"/>
        <v>218500.08449855121</v>
      </c>
      <c r="J95" s="36">
        <f t="shared" si="4"/>
        <v>-13367.915501448791</v>
      </c>
      <c r="K95" s="5">
        <f t="shared" si="5"/>
        <v>-5.7653128079117391E-2</v>
      </c>
    </row>
    <row r="96" spans="1:17">
      <c r="A96" s="3">
        <v>40452</v>
      </c>
      <c r="B96" s="59">
        <v>230332</v>
      </c>
      <c r="C96" s="187">
        <f>+'Purchased Power Model '!C96</f>
        <v>247.8</v>
      </c>
      <c r="D96" s="187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307</v>
      </c>
      <c r="I96" s="193">
        <f t="shared" si="3"/>
        <v>239083.75314994948</v>
      </c>
      <c r="J96" s="36">
        <f t="shared" si="4"/>
        <v>8751.7531499494798</v>
      </c>
      <c r="K96" s="5">
        <f t="shared" si="5"/>
        <v>3.7996253885476096E-2</v>
      </c>
    </row>
    <row r="97" spans="1:11">
      <c r="A97" s="3">
        <v>40483</v>
      </c>
      <c r="B97" s="59">
        <v>230599</v>
      </c>
      <c r="C97" s="187">
        <f>+'Purchased Power Model '!C97</f>
        <v>389.2</v>
      </c>
      <c r="D97" s="187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309</v>
      </c>
      <c r="I97" s="193">
        <f t="shared" si="3"/>
        <v>239284.02970708534</v>
      </c>
      <c r="J97" s="36">
        <f t="shared" si="4"/>
        <v>8685.0297070853412</v>
      </c>
      <c r="K97" s="5">
        <f t="shared" si="5"/>
        <v>3.7662911405016243E-2</v>
      </c>
    </row>
    <row r="98" spans="1:11">
      <c r="A98" s="3">
        <v>40513</v>
      </c>
      <c r="B98" s="59">
        <v>230570</v>
      </c>
      <c r="C98" s="187">
        <f>+'Purchased Power Model '!C98</f>
        <v>628.70000000000005</v>
      </c>
      <c r="D98" s="187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309</v>
      </c>
      <c r="I98" s="193">
        <f t="shared" si="3"/>
        <v>240823.91987940791</v>
      </c>
      <c r="J98" s="36">
        <f t="shared" si="4"/>
        <v>10253.919879407913</v>
      </c>
      <c r="K98" s="5">
        <f t="shared" si="5"/>
        <v>4.4472047011354092E-2</v>
      </c>
    </row>
    <row r="99" spans="1:11">
      <c r="A99" s="3">
        <v>40544</v>
      </c>
      <c r="B99" s="105">
        <v>231111</v>
      </c>
      <c r="C99" s="190">
        <f>+'Purchased Power Model '!C99</f>
        <v>760.9</v>
      </c>
      <c r="D99" s="190">
        <f>+'Purchased Power Model '!D99</f>
        <v>0</v>
      </c>
      <c r="E99" s="103">
        <f>+'Purchased Power Model '!E99</f>
        <v>8.6999999999999994E-2</v>
      </c>
      <c r="F99" s="57">
        <f>+'Purchased Power Model '!F99</f>
        <v>31</v>
      </c>
      <c r="G99" s="57">
        <f>+'Purchased Power Model '!G99</f>
        <v>0</v>
      </c>
      <c r="H99" s="61">
        <v>309</v>
      </c>
      <c r="I99" s="193">
        <f t="shared" si="3"/>
        <v>249981.20253382027</v>
      </c>
      <c r="J99" s="36">
        <f t="shared" si="4"/>
        <v>18870.202533820266</v>
      </c>
      <c r="K99" s="5">
        <f t="shared" si="5"/>
        <v>8.1649954064584834E-2</v>
      </c>
    </row>
    <row r="100" spans="1:11">
      <c r="A100" s="3">
        <v>40575</v>
      </c>
      <c r="B100" s="105">
        <v>231111</v>
      </c>
      <c r="C100" s="190">
        <f>+'Purchased Power Model '!C100</f>
        <v>634.19999999999993</v>
      </c>
      <c r="D100" s="190">
        <f>+'Purchased Power Model '!D100</f>
        <v>0</v>
      </c>
      <c r="E100" s="103">
        <f>+'Purchased Power Model '!E100</f>
        <v>8.6999999999999994E-2</v>
      </c>
      <c r="F100" s="57">
        <f>+'Purchased Power Model '!F100</f>
        <v>28</v>
      </c>
      <c r="G100" s="57">
        <f>+'Purchased Power Model '!G100</f>
        <v>0</v>
      </c>
      <c r="H100" s="61">
        <v>309</v>
      </c>
      <c r="I100" s="193">
        <f t="shared" si="3"/>
        <v>252176.08914604678</v>
      </c>
      <c r="J100" s="36">
        <f t="shared" si="4"/>
        <v>21065.089146046783</v>
      </c>
      <c r="K100" s="5">
        <f t="shared" si="5"/>
        <v>9.1147064164175576E-2</v>
      </c>
    </row>
    <row r="101" spans="1:11">
      <c r="A101" s="3">
        <v>40603</v>
      </c>
      <c r="B101" s="105">
        <v>231111</v>
      </c>
      <c r="C101" s="190">
        <f>+'Purchased Power Model '!C101</f>
        <v>559.80000000000007</v>
      </c>
      <c r="D101" s="190">
        <f>+'Purchased Power Model '!D101</f>
        <v>0</v>
      </c>
      <c r="E101" s="103">
        <f>+'Purchased Power Model '!E101</f>
        <v>8.6999999999999994E-2</v>
      </c>
      <c r="F101" s="57">
        <f>+'Purchased Power Model '!F101</f>
        <v>31</v>
      </c>
      <c r="G101" s="57">
        <f>+'Purchased Power Model '!G101</f>
        <v>1</v>
      </c>
      <c r="H101" s="61">
        <v>310</v>
      </c>
      <c r="I101" s="193">
        <f t="shared" si="3"/>
        <v>248749.51958417881</v>
      </c>
      <c r="J101" s="36">
        <f t="shared" si="4"/>
        <v>17638.519584178808</v>
      </c>
      <c r="K101" s="5">
        <f t="shared" si="5"/>
        <v>7.6320554124117021E-2</v>
      </c>
    </row>
    <row r="102" spans="1:11">
      <c r="A102" s="3">
        <v>40634</v>
      </c>
      <c r="B102" s="105">
        <v>231060</v>
      </c>
      <c r="C102" s="190">
        <f>+'Purchased Power Model '!C102</f>
        <v>350.79999999999995</v>
      </c>
      <c r="D102" s="190">
        <f>+'Purchased Power Model '!D102</f>
        <v>0</v>
      </c>
      <c r="E102" s="103">
        <f>+'Purchased Power Model '!E102</f>
        <v>9.3000000000000013E-2</v>
      </c>
      <c r="F102" s="57">
        <f>+'Purchased Power Model '!F102</f>
        <v>30</v>
      </c>
      <c r="G102" s="57">
        <f>+'Purchased Power Model '!G102</f>
        <v>1</v>
      </c>
      <c r="H102" s="61">
        <v>310</v>
      </c>
      <c r="I102" s="193">
        <f t="shared" si="3"/>
        <v>240795.66095767356</v>
      </c>
      <c r="J102" s="36">
        <f t="shared" si="4"/>
        <v>9735.6609576735646</v>
      </c>
      <c r="K102" s="5">
        <f t="shared" si="5"/>
        <v>4.2134774334257614E-2</v>
      </c>
    </row>
    <row r="103" spans="1:11">
      <c r="A103" s="3">
        <v>40664</v>
      </c>
      <c r="B103" s="105">
        <v>231231</v>
      </c>
      <c r="C103" s="190">
        <f>+'Purchased Power Model '!C103</f>
        <v>157.69999999999996</v>
      </c>
      <c r="D103" s="190">
        <f>+'Purchased Power Model '!D103</f>
        <v>2.8</v>
      </c>
      <c r="E103" s="103">
        <f>+'Purchased Power Model '!E103</f>
        <v>9.3000000000000013E-2</v>
      </c>
      <c r="F103" s="57">
        <f>+'Purchased Power Model '!F103</f>
        <v>31</v>
      </c>
      <c r="G103" s="57">
        <f>+'Purchased Power Model '!G103</f>
        <v>1</v>
      </c>
      <c r="H103" s="61">
        <v>310</v>
      </c>
      <c r="I103" s="193">
        <f t="shared" si="3"/>
        <v>242993.00710073661</v>
      </c>
      <c r="J103" s="36">
        <f t="shared" si="4"/>
        <v>11762.007100736606</v>
      </c>
      <c r="K103" s="5">
        <f t="shared" si="5"/>
        <v>5.0866912744124297E-2</v>
      </c>
    </row>
    <row r="104" spans="1:11">
      <c r="A104" s="3">
        <v>40695</v>
      </c>
      <c r="B104" s="105">
        <v>231231</v>
      </c>
      <c r="C104" s="190">
        <f>+'Purchased Power Model '!C104</f>
        <v>26.699999999999996</v>
      </c>
      <c r="D104" s="190">
        <f>+'Purchased Power Model '!D104</f>
        <v>36.900000000000006</v>
      </c>
      <c r="E104" s="103">
        <f>+'Purchased Power Model '!E104</f>
        <v>9.3000000000000013E-2</v>
      </c>
      <c r="F104" s="57">
        <f>+'Purchased Power Model '!F104</f>
        <v>30</v>
      </c>
      <c r="G104" s="57">
        <f>+'Purchased Power Model '!G104</f>
        <v>0</v>
      </c>
      <c r="H104" s="61">
        <v>297</v>
      </c>
      <c r="I104" s="193">
        <f t="shared" si="3"/>
        <v>233615.28857208631</v>
      </c>
      <c r="J104" s="36">
        <f t="shared" si="4"/>
        <v>2384.2885720863123</v>
      </c>
      <c r="K104" s="5">
        <f t="shared" si="5"/>
        <v>1.0311284265891304E-2</v>
      </c>
    </row>
    <row r="105" spans="1:11">
      <c r="A105" s="3">
        <v>40725</v>
      </c>
      <c r="B105" s="105">
        <v>231231</v>
      </c>
      <c r="C105" s="190">
        <f>+'Purchased Power Model '!C105</f>
        <v>0.2</v>
      </c>
      <c r="D105" s="190">
        <f>+'Purchased Power Model '!D105</f>
        <v>141.19999999999999</v>
      </c>
      <c r="E105" s="103">
        <f>+'Purchased Power Model '!E105</f>
        <v>7.0999999999999994E-2</v>
      </c>
      <c r="F105" s="57">
        <f>+'Purchased Power Model '!F105</f>
        <v>31</v>
      </c>
      <c r="G105" s="57">
        <f>+'Purchased Power Model '!G105</f>
        <v>0</v>
      </c>
      <c r="H105" s="61">
        <v>296</v>
      </c>
      <c r="I105" s="193">
        <f t="shared" si="3"/>
        <v>262483.27778561547</v>
      </c>
      <c r="J105" s="36">
        <f t="shared" si="4"/>
        <v>31252.277785615472</v>
      </c>
      <c r="K105" s="5">
        <f t="shared" si="5"/>
        <v>0.13515608973543977</v>
      </c>
    </row>
    <row r="106" spans="1:11">
      <c r="A106" s="3">
        <v>40756</v>
      </c>
      <c r="B106" s="105">
        <v>229875</v>
      </c>
      <c r="C106" s="190">
        <f>+'Purchased Power Model '!C106</f>
        <v>3.7</v>
      </c>
      <c r="D106" s="190">
        <f>+'Purchased Power Model '!D106</f>
        <v>80.499999999999957</v>
      </c>
      <c r="E106" s="103">
        <f>+'Purchased Power Model '!E106</f>
        <v>7.0999999999999994E-2</v>
      </c>
      <c r="F106" s="57">
        <f>+'Purchased Power Model '!F106</f>
        <v>31</v>
      </c>
      <c r="G106" s="57">
        <f>+'Purchased Power Model '!G106</f>
        <v>0</v>
      </c>
      <c r="H106" s="61">
        <v>296</v>
      </c>
      <c r="I106" s="193">
        <f t="shared" si="3"/>
        <v>268571.70737098751</v>
      </c>
      <c r="J106" s="36">
        <f t="shared" si="4"/>
        <v>38696.707370987511</v>
      </c>
      <c r="K106" s="5">
        <f t="shared" si="5"/>
        <v>0.16833804185312676</v>
      </c>
    </row>
    <row r="107" spans="1:11">
      <c r="A107" s="3">
        <v>40787</v>
      </c>
      <c r="B107" s="105">
        <v>229977</v>
      </c>
      <c r="C107" s="190">
        <f>+'Purchased Power Model '!C107</f>
        <v>48.900000000000006</v>
      </c>
      <c r="D107" s="190">
        <f>+'Purchased Power Model '!D107</f>
        <v>34.6</v>
      </c>
      <c r="E107" s="103">
        <f>+'Purchased Power Model '!E107</f>
        <v>7.0999999999999994E-2</v>
      </c>
      <c r="F107" s="57">
        <f>+'Purchased Power Model '!F107</f>
        <v>30</v>
      </c>
      <c r="G107" s="57">
        <f>+'Purchased Power Model '!G107</f>
        <v>1</v>
      </c>
      <c r="H107" s="61">
        <v>295</v>
      </c>
      <c r="I107" s="193">
        <f t="shared" si="3"/>
        <v>266798.53423802834</v>
      </c>
      <c r="J107" s="36">
        <f t="shared" si="4"/>
        <v>36821.53423802834</v>
      </c>
      <c r="K107" s="5">
        <f t="shared" si="5"/>
        <v>0.16010963808567091</v>
      </c>
    </row>
    <row r="108" spans="1:11">
      <c r="A108" s="3">
        <v>40817</v>
      </c>
      <c r="B108" s="105">
        <v>229977</v>
      </c>
      <c r="C108" s="190">
        <f>+'Purchased Power Model '!C108</f>
        <v>225.29999999999998</v>
      </c>
      <c r="D108" s="190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295</v>
      </c>
      <c r="I108" s="193">
        <f t="shared" si="3"/>
        <v>262252.59027971205</v>
      </c>
      <c r="J108" s="36">
        <f t="shared" si="4"/>
        <v>32275.590279712051</v>
      </c>
      <c r="K108" s="5">
        <f t="shared" si="5"/>
        <v>0.14034268765881827</v>
      </c>
    </row>
    <row r="109" spans="1:11">
      <c r="A109" s="3">
        <v>40848</v>
      </c>
      <c r="B109" s="105">
        <v>231136</v>
      </c>
      <c r="C109" s="190">
        <f>+'Purchased Power Model '!C109</f>
        <v>349.69999999999993</v>
      </c>
      <c r="D109" s="190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295</v>
      </c>
      <c r="I109" s="193">
        <f t="shared" si="3"/>
        <v>260709.86621827728</v>
      </c>
      <c r="J109" s="36">
        <f t="shared" si="4"/>
        <v>29573.866218277282</v>
      </c>
      <c r="K109" s="5">
        <f t="shared" si="5"/>
        <v>0.12795006497593314</v>
      </c>
    </row>
    <row r="110" spans="1:11">
      <c r="A110" s="3">
        <v>40878</v>
      </c>
      <c r="B110" s="105">
        <v>229977</v>
      </c>
      <c r="C110" s="190">
        <f>+'Purchased Power Model '!C110</f>
        <v>531.20000000000005</v>
      </c>
      <c r="D110" s="190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296</v>
      </c>
      <c r="I110" s="193">
        <f t="shared" si="3"/>
        <v>264028.90504949371</v>
      </c>
      <c r="J110" s="36">
        <f t="shared" si="4"/>
        <v>34051.905049493711</v>
      </c>
      <c r="K110" s="5">
        <f t="shared" si="5"/>
        <v>0.14806656774152943</v>
      </c>
    </row>
    <row r="111" spans="1:11">
      <c r="A111" s="3">
        <v>40909</v>
      </c>
      <c r="B111" s="105">
        <v>230082</v>
      </c>
      <c r="C111" s="190">
        <f>+'Purchased Power Model '!C111</f>
        <v>611</v>
      </c>
      <c r="D111" s="190">
        <f>+'Purchased Power Model '!D111</f>
        <v>0</v>
      </c>
      <c r="E111" s="103">
        <f>+'Purchased Power Model '!E111</f>
        <v>0.08</v>
      </c>
      <c r="F111" s="57">
        <f>+'Purchased Power Model '!F111</f>
        <v>31</v>
      </c>
      <c r="G111" s="57">
        <f>+'Purchased Power Model '!G111</f>
        <v>0</v>
      </c>
      <c r="H111" s="61">
        <v>297</v>
      </c>
      <c r="I111" s="193">
        <f t="shared" si="3"/>
        <v>252965.58226609096</v>
      </c>
      <c r="J111" s="36">
        <f t="shared" si="4"/>
        <v>22883.582266090962</v>
      </c>
      <c r="K111" s="5">
        <f t="shared" si="5"/>
        <v>9.9458376866034551E-2</v>
      </c>
    </row>
    <row r="112" spans="1:11">
      <c r="A112" s="3">
        <v>40940</v>
      </c>
      <c r="B112" s="105">
        <v>230313</v>
      </c>
      <c r="C112" s="190">
        <f>+'Purchased Power Model '!C112</f>
        <v>536.20000000000005</v>
      </c>
      <c r="D112" s="190">
        <f>+'Purchased Power Model '!D112</f>
        <v>0</v>
      </c>
      <c r="E112" s="103">
        <f>+'Purchased Power Model '!E112</f>
        <v>0.08</v>
      </c>
      <c r="F112" s="57">
        <f>+'Purchased Power Model '!F112</f>
        <v>29</v>
      </c>
      <c r="G112" s="57">
        <f>+'Purchased Power Model '!G112</f>
        <v>0</v>
      </c>
      <c r="H112" s="61">
        <v>297</v>
      </c>
      <c r="I112" s="193">
        <f t="shared" si="3"/>
        <v>254296.90114973747</v>
      </c>
      <c r="J112" s="36">
        <f t="shared" si="4"/>
        <v>23983.901149737474</v>
      </c>
      <c r="K112" s="5">
        <f t="shared" si="5"/>
        <v>0.1041361154157059</v>
      </c>
    </row>
    <row r="113" spans="1:11">
      <c r="A113" s="3">
        <v>40969</v>
      </c>
      <c r="B113" s="105">
        <v>230313</v>
      </c>
      <c r="C113" s="190">
        <f>+'Purchased Power Model '!C113</f>
        <v>399.39999999999992</v>
      </c>
      <c r="D113" s="190">
        <f>+'Purchased Power Model '!D113</f>
        <v>0</v>
      </c>
      <c r="E113" s="103">
        <f>+'Purchased Power Model '!E113</f>
        <v>0.08</v>
      </c>
      <c r="F113" s="57">
        <f>+'Purchased Power Model '!F113</f>
        <v>31</v>
      </c>
      <c r="G113" s="57">
        <f>+'Purchased Power Model '!G113</f>
        <v>1</v>
      </c>
      <c r="H113" s="61">
        <v>297</v>
      </c>
      <c r="I113" s="193">
        <f t="shared" si="3"/>
        <v>250889.69670188922</v>
      </c>
      <c r="J113" s="36">
        <f t="shared" si="4"/>
        <v>20576.696701889217</v>
      </c>
      <c r="K113" s="5">
        <f t="shared" si="5"/>
        <v>8.9342315465862618E-2</v>
      </c>
    </row>
    <row r="114" spans="1:11">
      <c r="A114" s="3">
        <v>41000</v>
      </c>
      <c r="B114" s="105">
        <v>229486</v>
      </c>
      <c r="C114" s="190">
        <f>+'Purchased Power Model '!C114</f>
        <v>336.89999999999992</v>
      </c>
      <c r="D114" s="190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297</v>
      </c>
      <c r="I114" s="193">
        <f t="shared" si="3"/>
        <v>244590.16869535251</v>
      </c>
      <c r="J114" s="36">
        <f t="shared" si="4"/>
        <v>15104.168695352506</v>
      </c>
      <c r="K114" s="5">
        <f t="shared" si="5"/>
        <v>6.5817386225532307E-2</v>
      </c>
    </row>
    <row r="115" spans="1:11">
      <c r="A115" s="3">
        <v>41030</v>
      </c>
      <c r="B115" s="105">
        <v>229819</v>
      </c>
      <c r="C115" s="190">
        <f>+'Purchased Power Model '!C115</f>
        <v>109.30000000000001</v>
      </c>
      <c r="D115" s="190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297</v>
      </c>
      <c r="I115" s="193">
        <f t="shared" si="3"/>
        <v>245337.67831835913</v>
      </c>
      <c r="J115" s="36">
        <f t="shared" si="4"/>
        <v>15518.678318359132</v>
      </c>
      <c r="K115" s="5">
        <f t="shared" si="5"/>
        <v>6.7525654181591302E-2</v>
      </c>
    </row>
    <row r="116" spans="1:11">
      <c r="A116" s="3">
        <v>41061</v>
      </c>
      <c r="B116" s="105">
        <v>207283</v>
      </c>
      <c r="C116" s="190">
        <f>+'Purchased Power Model '!C116</f>
        <v>28.2</v>
      </c>
      <c r="D116" s="190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297</v>
      </c>
      <c r="I116" s="193">
        <f t="shared" si="3"/>
        <v>247267.42276405415</v>
      </c>
      <c r="J116" s="36">
        <f t="shared" si="4"/>
        <v>39984.42276405415</v>
      </c>
      <c r="K116" s="5">
        <f t="shared" si="5"/>
        <v>0.19289774252617992</v>
      </c>
    </row>
    <row r="117" spans="1:11">
      <c r="A117" s="3">
        <v>41091</v>
      </c>
      <c r="B117" s="105">
        <v>252595</v>
      </c>
      <c r="C117" s="190">
        <f>+'Purchased Power Model '!C117</f>
        <v>0</v>
      </c>
      <c r="D117" s="190">
        <f>+'Purchased Power Model '!D117</f>
        <v>155.30000000000001</v>
      </c>
      <c r="E117" s="103">
        <f>+'Purchased Power Model '!E117</f>
        <v>9.0999999999999998E-2</v>
      </c>
      <c r="F117" s="57">
        <f>+'Purchased Power Model '!F117</f>
        <v>31</v>
      </c>
      <c r="G117" s="57">
        <f>+'Purchased Power Model '!G117</f>
        <v>0</v>
      </c>
      <c r="H117" s="61">
        <v>297</v>
      </c>
      <c r="I117" s="193">
        <f t="shared" si="3"/>
        <v>225509.27775840426</v>
      </c>
      <c r="J117" s="36">
        <f t="shared" si="4"/>
        <v>-27085.722241595737</v>
      </c>
      <c r="K117" s="5">
        <f t="shared" si="5"/>
        <v>-0.10722984319402892</v>
      </c>
    </row>
    <row r="118" spans="1:11">
      <c r="A118" s="3">
        <v>41122</v>
      </c>
      <c r="B118" s="105">
        <v>230561</v>
      </c>
      <c r="C118" s="190">
        <f>+'Purchased Power Model '!C118</f>
        <v>4.4000000000000004</v>
      </c>
      <c r="D118" s="190">
        <f>+'Purchased Power Model '!D118</f>
        <v>102.79999999999998</v>
      </c>
      <c r="E118" s="103">
        <f>+'Purchased Power Model '!E118</f>
        <v>9.0999999999999998E-2</v>
      </c>
      <c r="F118" s="57">
        <f>+'Purchased Power Model '!F118</f>
        <v>31</v>
      </c>
      <c r="G118" s="57">
        <f>+'Purchased Power Model '!G118</f>
        <v>0</v>
      </c>
      <c r="H118" s="61">
        <v>296</v>
      </c>
      <c r="I118" s="193">
        <f t="shared" si="3"/>
        <v>229768.96479647671</v>
      </c>
      <c r="J118" s="36">
        <f t="shared" si="4"/>
        <v>-792.0352035232936</v>
      </c>
      <c r="K118" s="5">
        <f t="shared" si="5"/>
        <v>-3.4352522912517451E-3</v>
      </c>
    </row>
    <row r="119" spans="1:11">
      <c r="A119" s="3">
        <v>41153</v>
      </c>
      <c r="B119" s="105">
        <v>229887</v>
      </c>
      <c r="C119" s="190">
        <f>+'Purchased Power Model '!C119</f>
        <v>84</v>
      </c>
      <c r="D119" s="190">
        <f>+'Purchased Power Model '!D119</f>
        <v>24.400000000000002</v>
      </c>
      <c r="E119" s="103">
        <f>+'Purchased Power Model '!E119</f>
        <v>9.0999999999999998E-2</v>
      </c>
      <c r="F119" s="57">
        <f>+'Purchased Power Model '!F119</f>
        <v>30</v>
      </c>
      <c r="G119" s="57">
        <f>+'Purchased Power Model '!G119</f>
        <v>1</v>
      </c>
      <c r="H119" s="61">
        <v>296</v>
      </c>
      <c r="I119" s="193">
        <f t="shared" si="3"/>
        <v>231799.2319317488</v>
      </c>
      <c r="J119" s="36">
        <f t="shared" si="4"/>
        <v>1912.2319317488</v>
      </c>
      <c r="K119" s="5">
        <f t="shared" si="5"/>
        <v>8.3181386148359852E-3</v>
      </c>
    </row>
    <row r="120" spans="1:11">
      <c r="A120" s="3">
        <v>41183</v>
      </c>
      <c r="B120" s="105">
        <v>229885</v>
      </c>
      <c r="C120" s="190">
        <f>+'Purchased Power Model '!C120</f>
        <v>228.99999999999994</v>
      </c>
      <c r="D120" s="190">
        <f>+'Purchased Power Model '!D120</f>
        <v>0</v>
      </c>
      <c r="E120" s="103">
        <f>+'Purchased Power Model '!E120</f>
        <v>9.6000000000000002E-2</v>
      </c>
      <c r="F120" s="57">
        <f>+'Purchased Power Model '!F120</f>
        <v>31</v>
      </c>
      <c r="G120" s="57">
        <f>+'Purchased Power Model '!G120</f>
        <v>1</v>
      </c>
      <c r="H120" s="61">
        <v>296</v>
      </c>
      <c r="I120" s="193">
        <f t="shared" si="3"/>
        <v>222996.85071195994</v>
      </c>
      <c r="J120" s="36">
        <f t="shared" si="4"/>
        <v>-6888.1492880400619</v>
      </c>
      <c r="K120" s="5">
        <f t="shared" si="5"/>
        <v>-2.9963456893838492E-2</v>
      </c>
    </row>
    <row r="121" spans="1:11">
      <c r="A121" s="3">
        <v>41214</v>
      </c>
      <c r="B121" s="105">
        <v>209602</v>
      </c>
      <c r="C121" s="190">
        <f>+'Purchased Power Model '!C121</f>
        <v>427.89999999999992</v>
      </c>
      <c r="D121" s="190">
        <f>+'Purchased Power Model '!D121</f>
        <v>0</v>
      </c>
      <c r="E121" s="103">
        <f>+'Purchased Power Model '!E121</f>
        <v>9.6000000000000002E-2</v>
      </c>
      <c r="F121" s="57">
        <f>+'Purchased Power Model '!F121</f>
        <v>30</v>
      </c>
      <c r="G121" s="57">
        <f>+'Purchased Power Model '!G121</f>
        <v>1</v>
      </c>
      <c r="H121" s="61">
        <v>296</v>
      </c>
      <c r="I121" s="193">
        <f t="shared" si="3"/>
        <v>220437.28752201636</v>
      </c>
      <c r="J121" s="36">
        <f t="shared" si="4"/>
        <v>10835.287522016355</v>
      </c>
      <c r="K121" s="5">
        <f t="shared" si="5"/>
        <v>5.1694580786520908E-2</v>
      </c>
    </row>
    <row r="122" spans="1:11">
      <c r="A122" s="3">
        <v>41244</v>
      </c>
      <c r="B122" s="105">
        <v>235875</v>
      </c>
      <c r="C122" s="190">
        <f>+'Purchased Power Model '!C122</f>
        <v>451.09999999999997</v>
      </c>
      <c r="D122" s="190">
        <f>+'Purchased Power Model '!D122</f>
        <v>0</v>
      </c>
      <c r="E122" s="103">
        <f>+'Purchased Power Model '!E122</f>
        <v>9.6000000000000002E-2</v>
      </c>
      <c r="F122" s="57">
        <f>+'Purchased Power Model '!F122</f>
        <v>31</v>
      </c>
      <c r="G122" s="57">
        <f>+'Purchased Power Model '!G122</f>
        <v>0</v>
      </c>
      <c r="H122" s="61">
        <v>295</v>
      </c>
      <c r="I122" s="193">
        <f t="shared" si="3"/>
        <v>223941.90786698821</v>
      </c>
      <c r="J122" s="36">
        <f t="shared" si="4"/>
        <v>-11933.092133011785</v>
      </c>
      <c r="K122" s="5">
        <f t="shared" si="5"/>
        <v>-5.0590745661947156E-2</v>
      </c>
    </row>
    <row r="123" spans="1:11">
      <c r="A123" s="3">
        <v>41275</v>
      </c>
      <c r="B123" s="105">
        <v>228723</v>
      </c>
      <c r="C123" s="190">
        <f>+'Purchased Power Model '!C123</f>
        <v>615.40000000000009</v>
      </c>
      <c r="D123" s="190">
        <f>+'Purchased Power Model '!D123</f>
        <v>0</v>
      </c>
      <c r="E123" s="103">
        <f>+'Purchased Power Model '!E123</f>
        <v>8.6000110000000005E-2</v>
      </c>
      <c r="F123" s="57">
        <f>+'Purchased Power Model '!F123</f>
        <v>31</v>
      </c>
      <c r="G123" s="57">
        <f>+'Purchased Power Model '!G123</f>
        <v>0</v>
      </c>
      <c r="H123" s="61">
        <v>295</v>
      </c>
      <c r="I123" s="193">
        <f t="shared" si="3"/>
        <v>239968.63507445101</v>
      </c>
      <c r="J123" s="36">
        <f t="shared" si="4"/>
        <v>11245.635074451013</v>
      </c>
      <c r="K123" s="5">
        <f t="shared" si="5"/>
        <v>4.9167049550989682E-2</v>
      </c>
    </row>
    <row r="124" spans="1:11">
      <c r="A124" s="3">
        <v>41306</v>
      </c>
      <c r="B124" s="105">
        <v>229299</v>
      </c>
      <c r="C124" s="190">
        <f>+'Purchased Power Model '!C124</f>
        <v>611.5</v>
      </c>
      <c r="D124" s="190">
        <f>+'Purchased Power Model '!D124</f>
        <v>0</v>
      </c>
      <c r="E124" s="103">
        <f>+'Purchased Power Model '!E124</f>
        <v>8.6000110000000005E-2</v>
      </c>
      <c r="F124" s="57">
        <f>+'Purchased Power Model '!F124</f>
        <v>28</v>
      </c>
      <c r="G124" s="57">
        <f>+'Purchased Power Model '!G124</f>
        <v>0</v>
      </c>
      <c r="H124" s="61">
        <v>295</v>
      </c>
      <c r="I124" s="193">
        <f t="shared" si="3"/>
        <v>240487.44323055833</v>
      </c>
      <c r="J124" s="36">
        <f t="shared" si="4"/>
        <v>11188.443230558332</v>
      </c>
      <c r="K124" s="5">
        <f t="shared" si="5"/>
        <v>4.8794121346182634E-2</v>
      </c>
    </row>
    <row r="125" spans="1:11">
      <c r="A125" s="3">
        <v>41334</v>
      </c>
      <c r="B125" s="105">
        <v>228445</v>
      </c>
      <c r="C125" s="190">
        <f>+'Purchased Power Model '!C125</f>
        <v>545</v>
      </c>
      <c r="D125" s="190">
        <f>+'Purchased Power Model '!D125</f>
        <v>0</v>
      </c>
      <c r="E125" s="103">
        <f>+'Purchased Power Model '!E125</f>
        <v>8.6000110000000005E-2</v>
      </c>
      <c r="F125" s="57">
        <f>+'Purchased Power Model '!F125</f>
        <v>31</v>
      </c>
      <c r="G125" s="57">
        <f>+'Purchased Power Model '!G125</f>
        <v>1</v>
      </c>
      <c r="H125" s="61">
        <v>295</v>
      </c>
      <c r="I125" s="193">
        <f t="shared" si="3"/>
        <v>235965.53226265943</v>
      </c>
      <c r="J125" s="36">
        <f t="shared" si="4"/>
        <v>7520.5322626594279</v>
      </c>
      <c r="K125" s="5">
        <f t="shared" si="5"/>
        <v>3.2920537821617579E-2</v>
      </c>
    </row>
    <row r="126" spans="1:11">
      <c r="A126" s="3">
        <v>41365</v>
      </c>
      <c r="B126" s="105">
        <v>239530</v>
      </c>
      <c r="C126" s="190">
        <f>+'Purchased Power Model '!C126</f>
        <v>366.49999999999994</v>
      </c>
      <c r="D126" s="190">
        <f>+'Purchased Power Model '!D126</f>
        <v>0</v>
      </c>
      <c r="E126" s="103">
        <f>+'Purchased Power Model '!E126</f>
        <v>7.8295169999999997E-2</v>
      </c>
      <c r="F126" s="57">
        <f>+'Purchased Power Model '!F126</f>
        <v>30</v>
      </c>
      <c r="G126" s="57">
        <f>+'Purchased Power Model '!G126</f>
        <v>1</v>
      </c>
      <c r="H126" s="61">
        <v>295</v>
      </c>
      <c r="I126" s="193">
        <f t="shared" si="3"/>
        <v>252633.53318816217</v>
      </c>
      <c r="J126" s="36">
        <f t="shared" si="4"/>
        <v>13103.533188162168</v>
      </c>
      <c r="K126" s="5">
        <f t="shared" si="5"/>
        <v>5.4705185939807825E-2</v>
      </c>
    </row>
    <row r="127" spans="1:11">
      <c r="A127" s="3">
        <v>41395</v>
      </c>
      <c r="B127" s="105">
        <v>228536</v>
      </c>
      <c r="C127" s="190">
        <f>+'Purchased Power Model '!C127</f>
        <v>133.4</v>
      </c>
      <c r="D127" s="190">
        <f>+'Purchased Power Model '!D127</f>
        <v>3</v>
      </c>
      <c r="E127" s="103">
        <f>+'Purchased Power Model '!E127</f>
        <v>7.8295169999999997E-2</v>
      </c>
      <c r="F127" s="57">
        <f>+'Purchased Power Model '!F127</f>
        <v>31</v>
      </c>
      <c r="G127" s="57">
        <f>+'Purchased Power Model '!G127</f>
        <v>1</v>
      </c>
      <c r="H127" s="61">
        <v>295</v>
      </c>
      <c r="I127" s="193">
        <f t="shared" si="3"/>
        <v>255356.6151019996</v>
      </c>
      <c r="J127" s="36">
        <f t="shared" si="4"/>
        <v>26820.615101999603</v>
      </c>
      <c r="K127" s="5">
        <f t="shared" si="5"/>
        <v>0.11735838162039942</v>
      </c>
    </row>
    <row r="128" spans="1:11">
      <c r="A128" s="3">
        <v>41426</v>
      </c>
      <c r="B128" s="105">
        <v>228542</v>
      </c>
      <c r="C128" s="190">
        <f>+'Purchased Power Model '!C128</f>
        <v>42.900000000000006</v>
      </c>
      <c r="D128" s="190">
        <f>+'Purchased Power Model '!D128</f>
        <v>32.200000000000003</v>
      </c>
      <c r="E128" s="103">
        <f>+'Purchased Power Model '!E128</f>
        <v>7.8295169999999997E-2</v>
      </c>
      <c r="F128" s="57">
        <f>+'Purchased Power Model '!F128</f>
        <v>30</v>
      </c>
      <c r="G128" s="57">
        <f>+'Purchased Power Model '!G128</f>
        <v>0</v>
      </c>
      <c r="H128" s="61">
        <v>295</v>
      </c>
      <c r="I128" s="193">
        <f t="shared" si="3"/>
        <v>258759.16394074715</v>
      </c>
      <c r="J128" s="36">
        <f t="shared" si="4"/>
        <v>30217.163940747152</v>
      </c>
      <c r="K128" s="5">
        <f t="shared" si="5"/>
        <v>0.13221711519435006</v>
      </c>
    </row>
    <row r="129" spans="1:11">
      <c r="A129" s="3">
        <v>41456</v>
      </c>
      <c r="B129" s="105">
        <v>228399</v>
      </c>
      <c r="C129" s="190">
        <f>+'Purchased Power Model '!C129</f>
        <v>4.4000000000000004</v>
      </c>
      <c r="D129" s="190">
        <f>+'Purchased Power Model '!D129</f>
        <v>109.99999999999999</v>
      </c>
      <c r="E129" s="103">
        <f>+'Purchased Power Model '!E129</f>
        <v>6.7434110000000005E-2</v>
      </c>
      <c r="F129" s="57">
        <f>+'Purchased Power Model '!F129</f>
        <v>31</v>
      </c>
      <c r="G129" s="57">
        <f>+'Purchased Power Model '!G129</f>
        <v>0</v>
      </c>
      <c r="H129" s="61">
        <v>295</v>
      </c>
      <c r="I129" s="193">
        <f t="shared" si="3"/>
        <v>271107.14354301209</v>
      </c>
      <c r="J129" s="36">
        <f t="shared" si="4"/>
        <v>42708.143543012091</v>
      </c>
      <c r="K129" s="5">
        <f t="shared" si="5"/>
        <v>0.18698918796935227</v>
      </c>
    </row>
    <row r="130" spans="1:11">
      <c r="A130" s="3">
        <v>41487</v>
      </c>
      <c r="B130" s="105">
        <v>228399</v>
      </c>
      <c r="C130" s="190">
        <f>+'Purchased Power Model '!C130</f>
        <v>11</v>
      </c>
      <c r="D130" s="190">
        <f>+'Purchased Power Model '!D130</f>
        <v>57.899999999999991</v>
      </c>
      <c r="E130" s="103">
        <f>+'Purchased Power Model '!E130</f>
        <v>6.7434110000000005E-2</v>
      </c>
      <c r="F130" s="57">
        <f>+'Purchased Power Model '!F130</f>
        <v>31</v>
      </c>
      <c r="G130" s="57">
        <f>+'Purchased Power Model '!G130</f>
        <v>0</v>
      </c>
      <c r="H130" s="61">
        <v>295</v>
      </c>
      <c r="I130" s="193">
        <f t="shared" si="3"/>
        <v>276283.8823812998</v>
      </c>
      <c r="J130" s="36">
        <f t="shared" si="4"/>
        <v>47884.882381299802</v>
      </c>
      <c r="K130" s="5">
        <f t="shared" si="5"/>
        <v>0.20965451854561448</v>
      </c>
    </row>
    <row r="131" spans="1:11">
      <c r="A131" s="3">
        <v>41518</v>
      </c>
      <c r="B131" s="105">
        <v>228559</v>
      </c>
      <c r="C131" s="190">
        <f>+'Purchased Power Model '!C131</f>
        <v>96.600000000000009</v>
      </c>
      <c r="D131" s="190">
        <f>+'Purchased Power Model '!D131</f>
        <v>15.700000000000001</v>
      </c>
      <c r="E131" s="103">
        <f>+'Purchased Power Model '!E131</f>
        <v>6.7434110000000005E-2</v>
      </c>
      <c r="F131" s="57">
        <f>+'Purchased Power Model '!F131</f>
        <v>30</v>
      </c>
      <c r="G131" s="57">
        <f>+'Purchased Power Model '!G131</f>
        <v>1</v>
      </c>
      <c r="H131" s="61">
        <v>296</v>
      </c>
      <c r="I131" s="193">
        <f t="shared" si="3"/>
        <v>275560.29154967878</v>
      </c>
      <c r="J131" s="36">
        <f t="shared" si="4"/>
        <v>47001.291549678775</v>
      </c>
      <c r="K131" s="5">
        <f t="shared" si="5"/>
        <v>0.20564183230447619</v>
      </c>
    </row>
    <row r="132" spans="1:11">
      <c r="A132" s="3">
        <v>41548</v>
      </c>
      <c r="B132" s="105">
        <v>228026</v>
      </c>
      <c r="C132" s="190">
        <f>+'Purchased Power Model '!C132</f>
        <v>221</v>
      </c>
      <c r="D132" s="190">
        <f>+'Purchased Power Model '!D132</f>
        <v>3</v>
      </c>
      <c r="E132" s="103">
        <f>+'Purchased Power Model '!E132</f>
        <v>7.5499999999999998E-2</v>
      </c>
      <c r="F132" s="57">
        <f>+'Purchased Power Model '!F132</f>
        <v>31</v>
      </c>
      <c r="G132" s="57">
        <f>+'Purchased Power Model '!G132</f>
        <v>1</v>
      </c>
      <c r="H132" s="61">
        <v>296</v>
      </c>
      <c r="I132" s="193">
        <f t="shared" ref="I132:I195" si="6">$N$18+C132*$N$19+D132*$N$20+E132*$N$21+F132*$N$22+G132*$N$23+H132*$N$24</f>
        <v>260255.10891039821</v>
      </c>
      <c r="J132" s="36">
        <f t="shared" ref="J132:J133" si="7">I132-B132</f>
        <v>32229.108910398209</v>
      </c>
      <c r="K132" s="5">
        <f t="shared" ref="K132:K133" si="8">J132/B132</f>
        <v>0.14133962315875473</v>
      </c>
    </row>
    <row r="133" spans="1:11">
      <c r="A133" s="3">
        <v>41579</v>
      </c>
      <c r="B133" s="105">
        <v>227979</v>
      </c>
      <c r="C133" s="190">
        <f>+'Purchased Power Model '!C133</f>
        <v>458.6</v>
      </c>
      <c r="D133" s="190">
        <f>+'Purchased Power Model '!D133</f>
        <v>0</v>
      </c>
      <c r="E133" s="103">
        <f>+'Purchased Power Model '!E133</f>
        <v>7.5499999999999998E-2</v>
      </c>
      <c r="F133" s="57">
        <f>+'Purchased Power Model '!F133</f>
        <v>30</v>
      </c>
      <c r="G133" s="57">
        <f>+'Purchased Power Model '!G133</f>
        <v>1</v>
      </c>
      <c r="H133" s="61">
        <v>295</v>
      </c>
      <c r="I133" s="193">
        <f t="shared" si="6"/>
        <v>256483.09167156249</v>
      </c>
      <c r="J133" s="36">
        <f t="shared" si="7"/>
        <v>28504.091671562492</v>
      </c>
      <c r="K133" s="5">
        <f t="shared" si="8"/>
        <v>0.12502946179938718</v>
      </c>
    </row>
    <row r="134" spans="1:11">
      <c r="A134" s="3">
        <v>41609</v>
      </c>
      <c r="B134" s="105">
        <v>227979</v>
      </c>
      <c r="C134" s="190">
        <f>+'Purchased Power Model '!C134</f>
        <v>472.8</v>
      </c>
      <c r="D134" s="190">
        <f ca="1">+'Purchased Power Model '!D134</f>
        <v>0</v>
      </c>
      <c r="E134" s="103">
        <f>+'Purchased Power Model '!E134</f>
        <v>7.5499999999999998E-2</v>
      </c>
      <c r="F134" s="57">
        <f>+'Purchased Power Model '!F134</f>
        <v>31</v>
      </c>
      <c r="G134" s="57">
        <f>+'Purchased Power Model '!G134</f>
        <v>0</v>
      </c>
      <c r="H134" s="61">
        <v>295</v>
      </c>
      <c r="I134" s="193">
        <f t="shared" ca="1" si="6"/>
        <v>261098.06715466402</v>
      </c>
      <c r="J134" s="36">
        <f t="shared" ref="J134" ca="1" si="9">I134-B134</f>
        <v>33119.067154664022</v>
      </c>
      <c r="K134" s="5">
        <f t="shared" ref="K134" ca="1" si="10">J134/B134</f>
        <v>0.14527244682476906</v>
      </c>
    </row>
    <row r="135" spans="1:11">
      <c r="A135" s="3">
        <v>41640</v>
      </c>
      <c r="C135" s="188">
        <f>+'Purchased Power Model '!C135</f>
        <v>552.13385193331999</v>
      </c>
      <c r="D135" s="188">
        <f ca="1">+'Purchased Power Model '!D135</f>
        <v>0</v>
      </c>
      <c r="E135" s="103">
        <f>+'Purchased Power Model '!E135</f>
        <v>7.5499999999999998E-2</v>
      </c>
      <c r="F135" s="57">
        <f>+'Purchased Power Model '!F135</f>
        <v>31</v>
      </c>
      <c r="G135" s="57">
        <f>+'Purchased Power Model '!G135</f>
        <v>0</v>
      </c>
      <c r="H135" s="192"/>
      <c r="I135" s="193">
        <f t="shared" ca="1" si="6"/>
        <v>-31301.824481782012</v>
      </c>
      <c r="J135" s="36"/>
      <c r="K135" s="5"/>
    </row>
    <row r="136" spans="1:11">
      <c r="A136" s="3">
        <v>41671</v>
      </c>
      <c r="C136" s="188">
        <f>+'Purchased Power Model '!C136</f>
        <v>548.63479112321284</v>
      </c>
      <c r="D136" s="188">
        <f ca="1">+'Purchased Power Model '!D136</f>
        <v>0</v>
      </c>
      <c r="E136" s="103">
        <f>+'Purchased Power Model '!E136</f>
        <v>7.5499999999999998E-2</v>
      </c>
      <c r="F136" s="57">
        <f>+'Purchased Power Model '!F136</f>
        <v>28</v>
      </c>
      <c r="G136" s="57">
        <f>+'Purchased Power Model '!G136</f>
        <v>0</v>
      </c>
      <c r="H136" s="192"/>
      <c r="I136" s="193">
        <f t="shared" ca="1" si="6"/>
        <v>-30788.488683479198</v>
      </c>
      <c r="J136" s="36"/>
      <c r="K136" s="5"/>
    </row>
    <row r="137" spans="1:11">
      <c r="A137" s="3">
        <v>41699</v>
      </c>
      <c r="C137" s="188">
        <f>+'Purchased Power Model '!C137</f>
        <v>488.97131833548809</v>
      </c>
      <c r="D137" s="188">
        <f ca="1">+'Purchased Power Model '!D137</f>
        <v>0</v>
      </c>
      <c r="E137" s="103">
        <f>+'Purchased Power Model '!E137</f>
        <v>7.5499999999999998E-2</v>
      </c>
      <c r="F137" s="57">
        <f>+'Purchased Power Model '!F137</f>
        <v>31</v>
      </c>
      <c r="G137" s="57">
        <f>+'Purchased Power Model '!G137</f>
        <v>1</v>
      </c>
      <c r="H137" s="192"/>
      <c r="I137" s="193">
        <f t="shared" ca="1" si="6"/>
        <v>-35403.710367788262</v>
      </c>
      <c r="J137" s="36"/>
      <c r="K137" s="5"/>
    </row>
    <row r="138" spans="1:11">
      <c r="A138" s="3">
        <v>41730</v>
      </c>
      <c r="C138" s="188">
        <f>+'Purchased Power Model '!C138</f>
        <v>328.82199664212175</v>
      </c>
      <c r="D138" s="188">
        <f ca="1">+'Purchased Power Model '!D138</f>
        <v>0</v>
      </c>
      <c r="E138" s="103">
        <f>+'Purchased Power Model '!E138</f>
        <v>7.5499999999999998E-2</v>
      </c>
      <c r="F138" s="57">
        <f>+'Purchased Power Model '!F138</f>
        <v>30</v>
      </c>
      <c r="G138" s="57">
        <f>+'Purchased Power Model '!G138</f>
        <v>1</v>
      </c>
      <c r="H138" s="192"/>
      <c r="I138" s="193">
        <f t="shared" ca="1" si="6"/>
        <v>-33062.664170317628</v>
      </c>
      <c r="J138" s="36"/>
      <c r="K138" s="5"/>
    </row>
    <row r="139" spans="1:11">
      <c r="A139" s="3">
        <v>41760</v>
      </c>
      <c r="C139" s="188">
        <f>+'Purchased Power Model '!C139</f>
        <v>119.68582360725524</v>
      </c>
      <c r="D139" s="188">
        <f ca="1">+'Purchased Power Model '!D139</f>
        <v>3.6853840478727715</v>
      </c>
      <c r="E139" s="103">
        <f>+'Purchased Power Model '!E139</f>
        <v>7.5499999999999998E-2</v>
      </c>
      <c r="F139" s="57">
        <f>+'Purchased Power Model '!F139</f>
        <v>31</v>
      </c>
      <c r="G139" s="57">
        <f>+'Purchased Power Model '!G139</f>
        <v>1</v>
      </c>
      <c r="H139" s="192"/>
      <c r="I139" s="193">
        <f t="shared" ca="1" si="6"/>
        <v>-30735.946770351457</v>
      </c>
      <c r="J139" s="36"/>
      <c r="K139" s="5"/>
    </row>
    <row r="140" spans="1:11">
      <c r="A140" s="3">
        <v>41791</v>
      </c>
      <c r="C140" s="188">
        <f>+'Purchased Power Model '!C140</f>
        <v>38.489668911178789</v>
      </c>
      <c r="D140" s="188">
        <f ca="1">+'Purchased Power Model '!D140</f>
        <v>39.55645544716775</v>
      </c>
      <c r="E140" s="103">
        <f>+'Purchased Power Model '!E140</f>
        <v>7.5499999999999998E-2</v>
      </c>
      <c r="F140" s="57">
        <f>+'Purchased Power Model '!F140</f>
        <v>30</v>
      </c>
      <c r="G140" s="57">
        <f>+'Purchased Power Model '!G140</f>
        <v>0</v>
      </c>
      <c r="H140" s="192"/>
      <c r="I140" s="193">
        <f t="shared" ca="1" si="6"/>
        <v>-28134.767430754364</v>
      </c>
      <c r="J140" s="36"/>
      <c r="K140" s="5"/>
    </row>
    <row r="141" spans="1:11">
      <c r="A141" s="3">
        <v>41821</v>
      </c>
      <c r="C141" s="188">
        <f>+'Purchased Power Model '!C141</f>
        <v>3.9476583498644913</v>
      </c>
      <c r="D141" s="188">
        <f ca="1">+'Purchased Power Model '!D141</f>
        <v>135.1307484220016</v>
      </c>
      <c r="E141" s="103">
        <f>+'Purchased Power Model '!E141</f>
        <v>7.5499999999999998E-2</v>
      </c>
      <c r="F141" s="57">
        <f>+'Purchased Power Model '!F141</f>
        <v>31</v>
      </c>
      <c r="G141" s="57">
        <f>+'Purchased Power Model '!G141</f>
        <v>0</v>
      </c>
      <c r="H141" s="192"/>
      <c r="I141" s="193">
        <f t="shared" ca="1" si="6"/>
        <v>-37480.165753895461</v>
      </c>
      <c r="J141" s="36"/>
      <c r="K141" s="5"/>
    </row>
    <row r="142" spans="1:11">
      <c r="A142" s="3">
        <v>41852</v>
      </c>
      <c r="C142" s="188">
        <f>+'Purchased Power Model '!C142</f>
        <v>9.8691458746612266</v>
      </c>
      <c r="D142" s="188">
        <f ca="1">+'Purchased Power Model '!D142</f>
        <v>71.127912123944469</v>
      </c>
      <c r="E142" s="103">
        <f>+'Purchased Power Model '!E142</f>
        <v>7.5499999999999998E-2</v>
      </c>
      <c r="F142" s="57">
        <f>+'Purchased Power Model '!F142</f>
        <v>31</v>
      </c>
      <c r="G142" s="57">
        <f>+'Purchased Power Model '!G142</f>
        <v>0</v>
      </c>
      <c r="H142" s="192"/>
      <c r="I142" s="193">
        <f t="shared" ca="1" si="6"/>
        <v>-31090.90091751912</v>
      </c>
      <c r="J142" s="36"/>
      <c r="K142" s="5"/>
    </row>
    <row r="143" spans="1:11">
      <c r="A143" s="3">
        <v>41883</v>
      </c>
      <c r="C143" s="188">
        <f>+'Purchased Power Model '!C143</f>
        <v>86.669044681115878</v>
      </c>
      <c r="D143" s="188">
        <f ca="1">+'Purchased Power Model '!D143</f>
        <v>19.286843183867507</v>
      </c>
      <c r="E143" s="103">
        <f>+'Purchased Power Model '!E143</f>
        <v>7.5499999999999998E-2</v>
      </c>
      <c r="F143" s="57">
        <f>+'Purchased Power Model '!F143</f>
        <v>30</v>
      </c>
      <c r="G143" s="57">
        <f>+'Purchased Power Model '!G143</f>
        <v>1</v>
      </c>
      <c r="H143" s="192"/>
      <c r="I143" s="193">
        <f t="shared" ca="1" si="6"/>
        <v>-31707.274399587026</v>
      </c>
      <c r="J143" s="36"/>
      <c r="K143" s="5"/>
    </row>
    <row r="144" spans="1:11">
      <c r="A144" s="3">
        <v>41913</v>
      </c>
      <c r="C144" s="188">
        <f>+'Purchased Power Model '!C144</f>
        <v>198.2801125727392</v>
      </c>
      <c r="D144" s="188">
        <f ca="1">+'Purchased Power Model '!D144</f>
        <v>3.6853840478727715</v>
      </c>
      <c r="E144" s="103">
        <f>+'Purchased Power Model '!E144</f>
        <v>7.5499999999999998E-2</v>
      </c>
      <c r="F144" s="57">
        <f>+'Purchased Power Model '!F144</f>
        <v>31</v>
      </c>
      <c r="G144" s="57">
        <f>+'Purchased Power Model '!G144</f>
        <v>1</v>
      </c>
      <c r="H144" s="192"/>
      <c r="I144" s="193">
        <f t="shared" ca="1" si="6"/>
        <v>-31808.668224008263</v>
      </c>
      <c r="J144" s="36"/>
      <c r="K144" s="5"/>
    </row>
    <row r="145" spans="1:11">
      <c r="A145" s="3">
        <v>41944</v>
      </c>
      <c r="C145" s="188">
        <f>+'Purchased Power Model '!C145</f>
        <v>411.45366346542176</v>
      </c>
      <c r="D145" s="188">
        <f ca="1">+'Purchased Power Model '!D145</f>
        <v>0</v>
      </c>
      <c r="E145" s="103">
        <f>+'Purchased Power Model '!E145</f>
        <v>7.5499999999999998E-2</v>
      </c>
      <c r="F145" s="57">
        <f>+'Purchased Power Model '!F145</f>
        <v>30</v>
      </c>
      <c r="G145" s="57">
        <f>+'Purchased Power Model '!G145</f>
        <v>1</v>
      </c>
      <c r="H145" s="192"/>
      <c r="I145" s="193">
        <f t="shared" ca="1" si="6"/>
        <v>-34190.491178100638</v>
      </c>
      <c r="J145" s="36"/>
      <c r="K145" s="5"/>
    </row>
    <row r="146" spans="1:11">
      <c r="A146" s="3">
        <v>41974</v>
      </c>
      <c r="C146" s="188">
        <f>+'Purchased Power Model '!C146</f>
        <v>424.19383359452985</v>
      </c>
      <c r="D146" s="188">
        <f ca="1">+'Purchased Power Model '!D146</f>
        <v>0</v>
      </c>
      <c r="E146" s="103">
        <f>+'Purchased Power Model '!E146</f>
        <v>7.5499999999999998E-2</v>
      </c>
      <c r="F146" s="57">
        <f>+'Purchased Power Model '!F146</f>
        <v>31</v>
      </c>
      <c r="G146" s="57">
        <f>+'Purchased Power Model '!G146</f>
        <v>0</v>
      </c>
      <c r="H146" s="192"/>
      <c r="I146" s="193">
        <f t="shared" ca="1" si="6"/>
        <v>-29555.590699916025</v>
      </c>
      <c r="J146" s="36"/>
      <c r="K146" s="5"/>
    </row>
    <row r="147" spans="1:11">
      <c r="A147" s="3">
        <v>42005</v>
      </c>
      <c r="C147" s="188">
        <f>+'Purchased Power Model '!C147</f>
        <v>545.6611483841823</v>
      </c>
      <c r="D147" s="188">
        <f ca="1">+'Purchased Power Model '!D147</f>
        <v>0</v>
      </c>
      <c r="E147" s="103">
        <f>+'Purchased Power Model '!E147</f>
        <v>7.5499999999999998E-2</v>
      </c>
      <c r="F147" s="57">
        <f>+'Purchased Power Model '!F147</f>
        <v>31</v>
      </c>
      <c r="G147" s="57">
        <f>+'Purchased Power Model '!G147</f>
        <v>0</v>
      </c>
      <c r="H147" s="192"/>
      <c r="I147" s="193">
        <f t="shared" ca="1" si="6"/>
        <v>-31213.479539016891</v>
      </c>
      <c r="J147" s="36"/>
      <c r="K147" s="5"/>
    </row>
    <row r="148" spans="1:11">
      <c r="A148" s="3">
        <v>42036</v>
      </c>
      <c r="C148" s="188">
        <f>+'Purchased Power Model '!C148</f>
        <v>542.20310730732444</v>
      </c>
      <c r="D148" s="188">
        <f ca="1">+'Purchased Power Model '!D148</f>
        <v>0</v>
      </c>
      <c r="E148" s="103">
        <f>+'Purchased Power Model '!E148</f>
        <v>7.5499999999999998E-2</v>
      </c>
      <c r="F148" s="57">
        <f>+'Purchased Power Model '!F148</f>
        <v>28</v>
      </c>
      <c r="G148" s="57">
        <f>+'Purchased Power Model '!G148</f>
        <v>0</v>
      </c>
      <c r="H148" s="192"/>
      <c r="I148" s="193">
        <f t="shared" ca="1" si="6"/>
        <v>-30700.703612792058</v>
      </c>
      <c r="J148" s="36"/>
      <c r="K148" s="5"/>
    </row>
    <row r="149" spans="1:11">
      <c r="A149" s="3">
        <v>42064</v>
      </c>
      <c r="C149" s="188">
        <f>+'Purchased Power Model '!C149</f>
        <v>483.23907356090245</v>
      </c>
      <c r="D149" s="188">
        <f ca="1">+'Purchased Power Model '!D149</f>
        <v>0</v>
      </c>
      <c r="E149" s="103">
        <f>+'Purchased Power Model '!E149</f>
        <v>7.5499999999999998E-2</v>
      </c>
      <c r="F149" s="57">
        <f>+'Purchased Power Model '!F149</f>
        <v>31</v>
      </c>
      <c r="G149" s="57">
        <f>+'Purchased Power Model '!G149</f>
        <v>1</v>
      </c>
      <c r="H149" s="192"/>
      <c r="I149" s="193">
        <f t="shared" ca="1" si="6"/>
        <v>-35325.471833815267</v>
      </c>
      <c r="J149" s="36"/>
      <c r="K149" s="5"/>
    </row>
    <row r="150" spans="1:11">
      <c r="A150" s="3">
        <v>42095</v>
      </c>
      <c r="C150" s="188">
        <f>+'Purchased Power Model '!C150</f>
        <v>324.96719350471687</v>
      </c>
      <c r="D150" s="188">
        <f ca="1">+'Purchased Power Model '!D150</f>
        <v>0</v>
      </c>
      <c r="E150" s="103">
        <f>+'Purchased Power Model '!E150</f>
        <v>7.5499999999999998E-2</v>
      </c>
      <c r="F150" s="57">
        <f>+'Purchased Power Model '!F150</f>
        <v>30</v>
      </c>
      <c r="G150" s="57">
        <f>+'Purchased Power Model '!G150</f>
        <v>1</v>
      </c>
      <c r="H150" s="192"/>
      <c r="I150" s="193">
        <f t="shared" ca="1" si="6"/>
        <v>-33010.050550682572</v>
      </c>
      <c r="J150" s="36"/>
      <c r="K150" s="5"/>
    </row>
    <row r="151" spans="1:11">
      <c r="A151" s="3">
        <v>42125</v>
      </c>
      <c r="C151" s="188">
        <f>+'Purchased Power Model '!C151</f>
        <v>118.28273837252181</v>
      </c>
      <c r="D151" s="188">
        <f ca="1">+'Purchased Power Model '!D151</f>
        <v>3.7719239281908306</v>
      </c>
      <c r="E151" s="103">
        <f>+'Purchased Power Model '!E151</f>
        <v>7.5499999999999998E-2</v>
      </c>
      <c r="F151" s="57">
        <f>+'Purchased Power Model '!F151</f>
        <v>31</v>
      </c>
      <c r="G151" s="57">
        <f>+'Purchased Power Model '!G151</f>
        <v>1</v>
      </c>
      <c r="H151" s="192"/>
      <c r="I151" s="193">
        <f t="shared" ca="1" si="6"/>
        <v>-30725.544644183905</v>
      </c>
      <c r="J151" s="36"/>
      <c r="K151" s="5"/>
    </row>
    <row r="152" spans="1:11">
      <c r="A152" s="3">
        <v>42156</v>
      </c>
      <c r="C152" s="188">
        <f>+'Purchased Power Model '!C152</f>
        <v>38.038451845436171</v>
      </c>
      <c r="D152" s="188">
        <f ca="1">+'Purchased Power Model '!D152</f>
        <v>40.485316829248255</v>
      </c>
      <c r="E152" s="103">
        <f>+'Purchased Power Model '!E152</f>
        <v>7.5499999999999998E-2</v>
      </c>
      <c r="F152" s="57">
        <f>+'Purchased Power Model '!F152</f>
        <v>30</v>
      </c>
      <c r="G152" s="57">
        <f>+'Purchased Power Model '!G152</f>
        <v>0</v>
      </c>
      <c r="H152" s="192"/>
      <c r="I152" s="193">
        <f t="shared" ca="1" si="6"/>
        <v>-28222.508009637313</v>
      </c>
      <c r="J152" s="36"/>
      <c r="K152" s="5"/>
    </row>
    <row r="153" spans="1:11">
      <c r="A153" s="3">
        <v>42186</v>
      </c>
      <c r="C153" s="188">
        <f>+'Purchased Power Model '!C153</f>
        <v>3.9013796764549924</v>
      </c>
      <c r="D153" s="188">
        <f ca="1">+'Purchased Power Model '!D153</f>
        <v>138.30387736699711</v>
      </c>
      <c r="E153" s="103">
        <f>+'Purchased Power Model '!E153</f>
        <v>7.5499999999999998E-2</v>
      </c>
      <c r="F153" s="57">
        <f>+'Purchased Power Model '!F153</f>
        <v>31</v>
      </c>
      <c r="G153" s="57">
        <f>+'Purchased Power Model '!G153</f>
        <v>0</v>
      </c>
      <c r="H153" s="192"/>
      <c r="I153" s="193">
        <f t="shared" ca="1" si="6"/>
        <v>-37800.307671403993</v>
      </c>
      <c r="J153" s="36"/>
      <c r="K153" s="5"/>
    </row>
    <row r="154" spans="1:11">
      <c r="A154" s="3">
        <v>42217</v>
      </c>
      <c r="C154" s="188">
        <f>+'Purchased Power Model '!C154</f>
        <v>9.753449191137479</v>
      </c>
      <c r="D154" s="188">
        <f ca="1">+'Purchased Power Model '!D154</f>
        <v>72.798131814083021</v>
      </c>
      <c r="E154" s="103">
        <f>+'Purchased Power Model '!E154</f>
        <v>7.5499999999999998E-2</v>
      </c>
      <c r="F154" s="57">
        <f>+'Purchased Power Model '!F154</f>
        <v>31</v>
      </c>
      <c r="G154" s="57">
        <f>+'Purchased Power Model '!G154</f>
        <v>0</v>
      </c>
      <c r="H154" s="192"/>
      <c r="I154" s="193">
        <f t="shared" ca="1" si="6"/>
        <v>-31258.165332877721</v>
      </c>
      <c r="J154" s="36"/>
      <c r="K154" s="5"/>
    </row>
    <row r="155" spans="1:11">
      <c r="A155" s="3">
        <v>42248</v>
      </c>
      <c r="C155" s="188">
        <f>+'Purchased Power Model '!C155</f>
        <v>85.653017442170963</v>
      </c>
      <c r="D155" s="188">
        <f ca="1">+'Purchased Power Model '!D155</f>
        <v>19.739735224198682</v>
      </c>
      <c r="E155" s="103">
        <f>+'Purchased Power Model '!E155</f>
        <v>7.5499999999999998E-2</v>
      </c>
      <c r="F155" s="57">
        <f>+'Purchased Power Model '!F155</f>
        <v>30</v>
      </c>
      <c r="G155" s="57">
        <f>+'Purchased Power Model '!G155</f>
        <v>1</v>
      </c>
      <c r="H155" s="192"/>
      <c r="I155" s="193">
        <f t="shared" ca="1" si="6"/>
        <v>-31739.189935418413</v>
      </c>
      <c r="J155" s="36"/>
      <c r="K155" s="5"/>
    </row>
    <row r="156" spans="1:11">
      <c r="A156" s="3">
        <v>42278</v>
      </c>
      <c r="C156" s="188">
        <f>+'Purchased Power Model '!C156</f>
        <v>195.95566102194391</v>
      </c>
      <c r="D156" s="188">
        <f ca="1">+'Purchased Power Model '!D156</f>
        <v>3.7719239281908306</v>
      </c>
      <c r="E156" s="103">
        <f>+'Purchased Power Model '!E156</f>
        <v>7.5499999999999998E-2</v>
      </c>
      <c r="F156" s="57">
        <f>+'Purchased Power Model '!F156</f>
        <v>31</v>
      </c>
      <c r="G156" s="57">
        <f>+'Purchased Power Model '!G156</f>
        <v>1</v>
      </c>
      <c r="H156" s="192"/>
      <c r="I156" s="193">
        <f t="shared" ca="1" si="6"/>
        <v>-31785.690509627795</v>
      </c>
      <c r="J156" s="36"/>
      <c r="K156" s="5"/>
    </row>
    <row r="157" spans="1:11">
      <c r="A157" s="3">
        <v>42309</v>
      </c>
      <c r="C157" s="188">
        <f>+'Purchased Power Model '!C157</f>
        <v>406.63016355051349</v>
      </c>
      <c r="D157" s="188">
        <f ca="1">+'Purchased Power Model '!D157</f>
        <v>0</v>
      </c>
      <c r="E157" s="103">
        <f>+'Purchased Power Model '!E157</f>
        <v>7.5499999999999998E-2</v>
      </c>
      <c r="F157" s="57">
        <f>+'Purchased Power Model '!F157</f>
        <v>30</v>
      </c>
      <c r="G157" s="57">
        <f>+'Purchased Power Model '!G157</f>
        <v>1</v>
      </c>
      <c r="H157" s="192"/>
      <c r="I157" s="193">
        <f t="shared" ca="1" si="6"/>
        <v>-34124.655964008853</v>
      </c>
      <c r="J157" s="36"/>
      <c r="K157" s="5"/>
    </row>
    <row r="158" spans="1:11">
      <c r="A158" s="3">
        <v>42339</v>
      </c>
      <c r="C158" s="188">
        <f>+'Purchased Power Model '!C158</f>
        <v>419.22097977907276</v>
      </c>
      <c r="D158" s="188">
        <f ca="1">+'Purchased Power Model '!D158</f>
        <v>0</v>
      </c>
      <c r="E158" s="103">
        <f>+'Purchased Power Model '!E158</f>
        <v>7.5499999999999998E-2</v>
      </c>
      <c r="F158" s="57">
        <f>+'Purchased Power Model '!F158</f>
        <v>31</v>
      </c>
      <c r="G158" s="57">
        <f>+'Purchased Power Model '!G158</f>
        <v>0</v>
      </c>
      <c r="H158" s="192"/>
      <c r="I158" s="193">
        <f t="shared" ca="1" si="6"/>
        <v>-29487.716977232649</v>
      </c>
      <c r="J158" s="36"/>
      <c r="K158" s="5"/>
    </row>
    <row r="159" spans="1:11">
      <c r="A159" s="3">
        <v>42370</v>
      </c>
      <c r="C159" s="188">
        <f>+'Purchased Power Model '!C159</f>
        <v>539.18844483504199</v>
      </c>
      <c r="D159" s="188">
        <f ca="1">+'Purchased Power Model '!D159</f>
        <v>0</v>
      </c>
      <c r="E159" s="103">
        <f>+'Purchased Power Model '!E159</f>
        <v>7.5499999999999998E-2</v>
      </c>
      <c r="F159" s="57">
        <f>+'Purchased Power Model '!F159</f>
        <v>31</v>
      </c>
      <c r="G159" s="57">
        <f>+'Purchased Power Model '!G159</f>
        <v>0</v>
      </c>
      <c r="H159" s="192"/>
      <c r="I159" s="193">
        <f t="shared" ca="1" si="6"/>
        <v>-31125.134596251741</v>
      </c>
      <c r="J159" s="36"/>
      <c r="K159" s="5"/>
    </row>
    <row r="160" spans="1:11">
      <c r="A160" s="3">
        <v>42401</v>
      </c>
      <c r="C160" s="188">
        <f>+'Purchased Power Model '!C160</f>
        <v>535.77142349143355</v>
      </c>
      <c r="D160" s="188">
        <f ca="1">+'Purchased Power Model '!D160</f>
        <v>0</v>
      </c>
      <c r="E160" s="103">
        <f>+'Purchased Power Model '!E160</f>
        <v>7.5499999999999998E-2</v>
      </c>
      <c r="F160" s="57">
        <f>+'Purchased Power Model '!F160</f>
        <v>29</v>
      </c>
      <c r="G160" s="57">
        <f>+'Purchased Power Model '!G160</f>
        <v>0</v>
      </c>
      <c r="H160" s="192"/>
      <c r="I160" s="193">
        <f t="shared" ca="1" si="6"/>
        <v>-30768.111092569365</v>
      </c>
      <c r="J160" s="36"/>
      <c r="K160" s="5"/>
    </row>
    <row r="161" spans="1:11">
      <c r="A161" s="3">
        <v>42430</v>
      </c>
      <c r="C161" s="188">
        <f>+'Purchased Power Model '!C161</f>
        <v>477.50682878631443</v>
      </c>
      <c r="D161" s="188">
        <f ca="1">+'Purchased Power Model '!D161</f>
        <v>0</v>
      </c>
      <c r="E161" s="103">
        <f>+'Purchased Power Model '!E161</f>
        <v>7.5499999999999998E-2</v>
      </c>
      <c r="F161" s="57">
        <f>+'Purchased Power Model '!F161</f>
        <v>31</v>
      </c>
      <c r="G161" s="57">
        <f>+'Purchased Power Model '!G161</f>
        <v>1</v>
      </c>
      <c r="H161" s="192"/>
      <c r="I161" s="193">
        <f t="shared" ca="1" si="6"/>
        <v>-35247.233299842228</v>
      </c>
      <c r="J161" s="36"/>
      <c r="K161" s="5"/>
    </row>
    <row r="162" spans="1:11">
      <c r="A162" s="3">
        <v>42461</v>
      </c>
      <c r="C162" s="188">
        <f>+'Purchased Power Model '!C162</f>
        <v>321.11239036731047</v>
      </c>
      <c r="D162" s="188">
        <f ca="1">+'Purchased Power Model '!D162</f>
        <v>0</v>
      </c>
      <c r="E162" s="103">
        <f>+'Purchased Power Model '!E162</f>
        <v>7.5499999999999998E-2</v>
      </c>
      <c r="F162" s="57">
        <f>+'Purchased Power Model '!F162</f>
        <v>30</v>
      </c>
      <c r="G162" s="57">
        <f>+'Purchased Power Model '!G162</f>
        <v>1</v>
      </c>
      <c r="H162" s="192"/>
      <c r="I162" s="193">
        <f t="shared" ca="1" si="6"/>
        <v>-32957.436931047487</v>
      </c>
      <c r="J162" s="36"/>
      <c r="K162" s="5"/>
    </row>
    <row r="163" spans="1:11">
      <c r="A163" s="3">
        <v>42491</v>
      </c>
      <c r="C163" s="188">
        <f>+'Purchased Power Model '!C163</f>
        <v>116.8796531377878</v>
      </c>
      <c r="D163" s="188">
        <f ca="1">+'Purchased Power Model '!D163</f>
        <v>3.8584638085088909</v>
      </c>
      <c r="E163" s="103">
        <f>+'Purchased Power Model '!E163</f>
        <v>7.5499999999999998E-2</v>
      </c>
      <c r="F163" s="57">
        <f>+'Purchased Power Model '!F163</f>
        <v>31</v>
      </c>
      <c r="G163" s="57">
        <f>+'Purchased Power Model '!G163</f>
        <v>1</v>
      </c>
      <c r="H163" s="192"/>
      <c r="I163" s="193">
        <f t="shared" ca="1" si="6"/>
        <v>-30715.142518016339</v>
      </c>
      <c r="J163" s="36"/>
      <c r="K163" s="5"/>
    </row>
    <row r="164" spans="1:11">
      <c r="A164" s="3">
        <v>42522</v>
      </c>
      <c r="C164" s="188">
        <f>+'Purchased Power Model '!C164</f>
        <v>37.587234779693375</v>
      </c>
      <c r="D164" s="188">
        <f ca="1">+'Purchased Power Model '!D164</f>
        <v>41.414178211328768</v>
      </c>
      <c r="E164" s="103">
        <f>+'Purchased Power Model '!E164</f>
        <v>7.5499999999999998E-2</v>
      </c>
      <c r="F164" s="57">
        <f>+'Purchased Power Model '!F164</f>
        <v>30</v>
      </c>
      <c r="G164" s="57">
        <f>+'Purchased Power Model '!G164</f>
        <v>0</v>
      </c>
      <c r="H164" s="192"/>
      <c r="I164" s="193">
        <f t="shared" ca="1" si="6"/>
        <v>-28310.248588520233</v>
      </c>
      <c r="J164" s="36"/>
      <c r="K164" s="5"/>
    </row>
    <row r="165" spans="1:11">
      <c r="A165" s="3">
        <v>42552</v>
      </c>
      <c r="C165" s="188">
        <f>+'Purchased Power Model '!C165</f>
        <v>3.8551010030454749</v>
      </c>
      <c r="D165" s="188">
        <f ca="1">+'Purchased Power Model '!D165</f>
        <v>141.47700631199265</v>
      </c>
      <c r="E165" s="103">
        <f>+'Purchased Power Model '!E165</f>
        <v>7.5499999999999998E-2</v>
      </c>
      <c r="F165" s="57">
        <f>+'Purchased Power Model '!F165</f>
        <v>31</v>
      </c>
      <c r="G165" s="57">
        <f>+'Purchased Power Model '!G165</f>
        <v>0</v>
      </c>
      <c r="H165" s="192"/>
      <c r="I165" s="193">
        <f t="shared" ca="1" si="6"/>
        <v>-38120.449588912525</v>
      </c>
      <c r="J165" s="36"/>
      <c r="K165" s="5"/>
    </row>
    <row r="166" spans="1:11">
      <c r="A166" s="3">
        <v>42583</v>
      </c>
      <c r="C166" s="188">
        <f>+'Purchased Power Model '!C166</f>
        <v>9.6377525076136852</v>
      </c>
      <c r="D166" s="188">
        <f ca="1">+'Purchased Power Model '!D166</f>
        <v>74.468351504221573</v>
      </c>
      <c r="E166" s="103">
        <f>+'Purchased Power Model '!E166</f>
        <v>7.5499999999999998E-2</v>
      </c>
      <c r="F166" s="57">
        <f>+'Purchased Power Model '!F166</f>
        <v>31</v>
      </c>
      <c r="G166" s="57">
        <f>+'Purchased Power Model '!G166</f>
        <v>0</v>
      </c>
      <c r="H166" s="192"/>
      <c r="I166" s="193">
        <f t="shared" ca="1" si="6"/>
        <v>-31425.429748236322</v>
      </c>
      <c r="J166" s="36"/>
      <c r="K166" s="5"/>
    </row>
    <row r="167" spans="1:11">
      <c r="A167" s="3">
        <v>42614</v>
      </c>
      <c r="C167" s="188">
        <f>+'Purchased Power Model '!C167</f>
        <v>84.636990203225636</v>
      </c>
      <c r="D167" s="188">
        <f ca="1">+'Purchased Power Model '!D167</f>
        <v>20.192627264529865</v>
      </c>
      <c r="E167" s="103">
        <f>+'Purchased Power Model '!E167</f>
        <v>7.5499999999999998E-2</v>
      </c>
      <c r="F167" s="57">
        <f>+'Purchased Power Model '!F167</f>
        <v>30</v>
      </c>
      <c r="G167" s="57">
        <f>+'Purchased Power Model '!G167</f>
        <v>1</v>
      </c>
      <c r="H167" s="192"/>
      <c r="I167" s="193">
        <f t="shared" ca="1" si="6"/>
        <v>-31771.105471249786</v>
      </c>
      <c r="J167" s="36"/>
      <c r="K167" s="5"/>
    </row>
    <row r="168" spans="1:11">
      <c r="A168" s="3">
        <v>42644</v>
      </c>
      <c r="C168" s="188">
        <f>+'Purchased Power Model '!C168</f>
        <v>193.63120947114768</v>
      </c>
      <c r="D168" s="188">
        <f ca="1">+'Purchased Power Model '!D168</f>
        <v>3.8584638085088909</v>
      </c>
      <c r="E168" s="103">
        <f>+'Purchased Power Model '!E168</f>
        <v>7.5499999999999998E-2</v>
      </c>
      <c r="F168" s="57">
        <f>+'Purchased Power Model '!F168</f>
        <v>31</v>
      </c>
      <c r="G168" s="57">
        <f>+'Purchased Power Model '!G168</f>
        <v>1</v>
      </c>
      <c r="H168" s="192"/>
      <c r="I168" s="193">
        <f t="shared" ca="1" si="6"/>
        <v>-31762.712795247313</v>
      </c>
      <c r="J168" s="36"/>
      <c r="K168" s="5"/>
    </row>
    <row r="169" spans="1:11">
      <c r="A169" s="3">
        <v>42675</v>
      </c>
      <c r="C169" s="188">
        <f>+'Purchased Power Model '!C169</f>
        <v>401.80666363560329</v>
      </c>
      <c r="D169" s="188">
        <f ca="1">+'Purchased Power Model '!D169</f>
        <v>0</v>
      </c>
      <c r="E169" s="103">
        <f>+'Purchased Power Model '!E169</f>
        <v>7.5499999999999998E-2</v>
      </c>
      <c r="F169" s="57">
        <f>+'Purchased Power Model '!F169</f>
        <v>30</v>
      </c>
      <c r="G169" s="57">
        <f>+'Purchased Power Model '!G169</f>
        <v>1</v>
      </c>
      <c r="H169" s="192"/>
      <c r="I169" s="193">
        <f t="shared" ca="1" si="6"/>
        <v>-34058.820749917053</v>
      </c>
      <c r="J169" s="36"/>
      <c r="K169" s="5"/>
    </row>
    <row r="170" spans="1:11">
      <c r="A170" s="3">
        <v>42705</v>
      </c>
      <c r="C170" s="188">
        <f>+'Purchased Power Model '!C170</f>
        <v>414.24812596361369</v>
      </c>
      <c r="D170" s="188">
        <f ca="1">+'Purchased Power Model '!D170</f>
        <v>0</v>
      </c>
      <c r="E170" s="103">
        <f>+'Purchased Power Model '!E170</f>
        <v>7.5499999999999998E-2</v>
      </c>
      <c r="F170" s="57">
        <f>+'Purchased Power Model '!F170</f>
        <v>31</v>
      </c>
      <c r="G170" s="57">
        <f>+'Purchased Power Model '!G170</f>
        <v>0</v>
      </c>
      <c r="H170" s="192"/>
      <c r="I170" s="193">
        <f t="shared" ca="1" si="6"/>
        <v>-29419.843254549258</v>
      </c>
      <c r="J170" s="36"/>
      <c r="K170" s="5"/>
    </row>
    <row r="171" spans="1:11">
      <c r="A171" s="3">
        <v>42736</v>
      </c>
      <c r="C171" s="188">
        <f>+'Purchased Power Model '!C171</f>
        <v>532.7157412859018</v>
      </c>
      <c r="D171" s="188">
        <f ca="1">+'Purchased Power Model '!D171</f>
        <v>0</v>
      </c>
      <c r="E171" s="103">
        <f>+'Purchased Power Model '!E171</f>
        <v>7.5499999999999998E-2</v>
      </c>
      <c r="F171" s="57">
        <f>+'Purchased Power Model '!F171</f>
        <v>31</v>
      </c>
      <c r="G171" s="57">
        <f>+'Purchased Power Model '!G171</f>
        <v>0</v>
      </c>
      <c r="H171" s="192"/>
      <c r="I171" s="193">
        <f t="shared" ca="1" si="6"/>
        <v>-31036.78965348659</v>
      </c>
      <c r="J171" s="36"/>
      <c r="K171" s="5"/>
    </row>
    <row r="172" spans="1:11">
      <c r="A172" s="3">
        <v>42767</v>
      </c>
      <c r="C172" s="188">
        <f>+'Purchased Power Model '!C172</f>
        <v>529.33973967554266</v>
      </c>
      <c r="D172" s="188">
        <f ca="1">+'Purchased Power Model '!D172</f>
        <v>0</v>
      </c>
      <c r="E172" s="103">
        <f>+'Purchased Power Model '!E172</f>
        <v>7.5499999999999998E-2</v>
      </c>
      <c r="F172" s="57">
        <f>+'Purchased Power Model '!F172</f>
        <v>28</v>
      </c>
      <c r="G172" s="57">
        <f>+'Purchased Power Model '!G172</f>
        <v>0</v>
      </c>
      <c r="H172" s="192"/>
      <c r="I172" s="193">
        <f t="shared" ca="1" si="6"/>
        <v>-30525.133471417706</v>
      </c>
      <c r="J172" s="36"/>
      <c r="K172" s="5"/>
    </row>
    <row r="173" spans="1:11">
      <c r="A173" s="3">
        <v>42795</v>
      </c>
      <c r="C173" s="188">
        <f>+'Purchased Power Model '!C173</f>
        <v>471.77458401172646</v>
      </c>
      <c r="D173" s="188">
        <f ca="1">+'Purchased Power Model '!D173</f>
        <v>0</v>
      </c>
      <c r="E173" s="103">
        <f>+'Purchased Power Model '!E173</f>
        <v>7.5499999999999998E-2</v>
      </c>
      <c r="F173" s="57">
        <f>+'Purchased Power Model '!F173</f>
        <v>31</v>
      </c>
      <c r="G173" s="57">
        <f>+'Purchased Power Model '!G173</f>
        <v>1</v>
      </c>
      <c r="H173" s="192"/>
      <c r="I173" s="193">
        <f t="shared" ca="1" si="6"/>
        <v>-35168.994765869189</v>
      </c>
      <c r="J173" s="36"/>
      <c r="K173" s="5"/>
    </row>
    <row r="174" spans="1:11">
      <c r="A174" s="3">
        <v>42826</v>
      </c>
      <c r="C174" s="188">
        <f>+'Purchased Power Model '!C174</f>
        <v>317.25758722990406</v>
      </c>
      <c r="D174" s="188">
        <f ca="1">+'Purchased Power Model '!D174</f>
        <v>0</v>
      </c>
      <c r="E174" s="103">
        <f>+'Purchased Power Model '!E174</f>
        <v>7.5499999999999998E-2</v>
      </c>
      <c r="F174" s="57">
        <f>+'Purchased Power Model '!F174</f>
        <v>30</v>
      </c>
      <c r="G174" s="57">
        <f>+'Purchased Power Model '!G174</f>
        <v>1</v>
      </c>
      <c r="H174" s="192"/>
      <c r="I174" s="193">
        <f t="shared" ca="1" si="6"/>
        <v>-32904.823311412416</v>
      </c>
      <c r="J174" s="36"/>
      <c r="K174" s="5"/>
    </row>
    <row r="175" spans="1:11">
      <c r="A175" s="3">
        <v>42856</v>
      </c>
      <c r="C175" s="188">
        <f>+'Purchased Power Model '!C175</f>
        <v>115.47656790305378</v>
      </c>
      <c r="D175" s="188">
        <f ca="1">+'Purchased Power Model '!D175</f>
        <v>3.9450036888269517</v>
      </c>
      <c r="E175" s="103">
        <f>+'Purchased Power Model '!E175</f>
        <v>7.5499999999999998E-2</v>
      </c>
      <c r="F175" s="57">
        <f>+'Purchased Power Model '!F175</f>
        <v>31</v>
      </c>
      <c r="G175" s="57">
        <f>+'Purchased Power Model '!G175</f>
        <v>1</v>
      </c>
      <c r="H175" s="192"/>
      <c r="I175" s="193">
        <f t="shared" ca="1" si="6"/>
        <v>-30704.740391848773</v>
      </c>
      <c r="J175" s="36"/>
      <c r="K175" s="5"/>
    </row>
    <row r="176" spans="1:11">
      <c r="A176" s="3">
        <v>42887</v>
      </c>
      <c r="C176" s="188">
        <f>+'Purchased Power Model '!C176</f>
        <v>37.136017713950579</v>
      </c>
      <c r="D176" s="188">
        <f ca="1">+'Purchased Power Model '!D176</f>
        <v>42.343039593409287</v>
      </c>
      <c r="E176" s="103">
        <f>+'Purchased Power Model '!E176</f>
        <v>7.5499999999999998E-2</v>
      </c>
      <c r="F176" s="57">
        <f>+'Purchased Power Model '!F176</f>
        <v>30</v>
      </c>
      <c r="G176" s="57">
        <f>+'Purchased Power Model '!G176</f>
        <v>0</v>
      </c>
      <c r="H176" s="192"/>
      <c r="I176" s="193">
        <f t="shared" ca="1" si="6"/>
        <v>-28397.989167403168</v>
      </c>
      <c r="J176" s="36"/>
      <c r="K176" s="5"/>
    </row>
    <row r="177" spans="1:11">
      <c r="A177" s="3">
        <v>42917</v>
      </c>
      <c r="C177" s="188">
        <f>+'Purchased Power Model '!C177</f>
        <v>3.8088223296359573</v>
      </c>
      <c r="D177" s="188">
        <f ca="1">+'Purchased Power Model '!D177</f>
        <v>144.65013525698822</v>
      </c>
      <c r="E177" s="103">
        <f>+'Purchased Power Model '!E177</f>
        <v>7.5499999999999998E-2</v>
      </c>
      <c r="F177" s="57">
        <f>+'Purchased Power Model '!F177</f>
        <v>31</v>
      </c>
      <c r="G177" s="57">
        <f>+'Purchased Power Model '!G177</f>
        <v>0</v>
      </c>
      <c r="H177" s="192"/>
      <c r="I177" s="193">
        <f t="shared" ca="1" si="6"/>
        <v>-38440.591506421057</v>
      </c>
      <c r="J177" s="36"/>
      <c r="K177" s="5"/>
    </row>
    <row r="178" spans="1:11">
      <c r="A178" s="3">
        <v>42948</v>
      </c>
      <c r="C178" s="188">
        <f>+'Purchased Power Model '!C178</f>
        <v>9.5220558240898914</v>
      </c>
      <c r="D178" s="188">
        <f ca="1">+'Purchased Power Model '!D178</f>
        <v>76.138571194360154</v>
      </c>
      <c r="E178" s="103">
        <f>+'Purchased Power Model '!E178</f>
        <v>7.5499999999999998E-2</v>
      </c>
      <c r="F178" s="57">
        <f>+'Purchased Power Model '!F178</f>
        <v>31</v>
      </c>
      <c r="G178" s="57">
        <f>+'Purchased Power Model '!G178</f>
        <v>0</v>
      </c>
      <c r="H178" s="192"/>
      <c r="I178" s="193">
        <f t="shared" ca="1" si="6"/>
        <v>-31592.694163594922</v>
      </c>
      <c r="J178" s="36"/>
      <c r="K178" s="5"/>
    </row>
    <row r="179" spans="1:11">
      <c r="A179" s="3">
        <v>42979</v>
      </c>
      <c r="C179" s="188">
        <f>+'Purchased Power Model '!C179</f>
        <v>83.620962964280309</v>
      </c>
      <c r="D179" s="188">
        <f ca="1">+'Purchased Power Model '!D179</f>
        <v>20.64551930486105</v>
      </c>
      <c r="E179" s="103">
        <f>+'Purchased Power Model '!E179</f>
        <v>7.5499999999999998E-2</v>
      </c>
      <c r="F179" s="57">
        <f>+'Purchased Power Model '!F179</f>
        <v>30</v>
      </c>
      <c r="G179" s="57">
        <f>+'Purchased Power Model '!G179</f>
        <v>1</v>
      </c>
      <c r="H179" s="192"/>
      <c r="I179" s="193">
        <f t="shared" ca="1" si="6"/>
        <v>-31803.021007081159</v>
      </c>
      <c r="J179" s="36"/>
      <c r="K179" s="5"/>
    </row>
    <row r="180" spans="1:11">
      <c r="A180" s="3">
        <v>43009</v>
      </c>
      <c r="C180" s="188">
        <f>+'Purchased Power Model '!C180</f>
        <v>191.30675792035146</v>
      </c>
      <c r="D180" s="188">
        <f ca="1">+'Purchased Power Model '!D180</f>
        <v>3.9450036888269517</v>
      </c>
      <c r="E180" s="103">
        <f>+'Purchased Power Model '!E180</f>
        <v>7.5499999999999998E-2</v>
      </c>
      <c r="F180" s="57">
        <f>+'Purchased Power Model '!F180</f>
        <v>31</v>
      </c>
      <c r="G180" s="57">
        <f>+'Purchased Power Model '!G180</f>
        <v>1</v>
      </c>
      <c r="H180" s="192"/>
      <c r="I180" s="193">
        <f t="shared" ca="1" si="6"/>
        <v>-31739.735080866845</v>
      </c>
      <c r="J180" s="36"/>
      <c r="K180" s="5"/>
    </row>
    <row r="181" spans="1:11">
      <c r="A181" s="3">
        <v>43040</v>
      </c>
      <c r="C181" s="188">
        <f>+'Purchased Power Model '!C181</f>
        <v>396.98316372069308</v>
      </c>
      <c r="D181" s="188">
        <f ca="1">+'Purchased Power Model '!D181</f>
        <v>0</v>
      </c>
      <c r="E181" s="103">
        <f>+'Purchased Power Model '!E181</f>
        <v>7.5499999999999998E-2</v>
      </c>
      <c r="F181" s="57">
        <f>+'Purchased Power Model '!F181</f>
        <v>30</v>
      </c>
      <c r="G181" s="57">
        <f>+'Purchased Power Model '!G181</f>
        <v>1</v>
      </c>
      <c r="H181" s="192"/>
      <c r="I181" s="193">
        <f t="shared" ca="1" si="6"/>
        <v>-33992.985535825239</v>
      </c>
      <c r="J181" s="36"/>
      <c r="K181" s="5"/>
    </row>
    <row r="182" spans="1:11">
      <c r="A182" s="3">
        <v>43070</v>
      </c>
      <c r="C182" s="188">
        <f>+'Purchased Power Model '!C182</f>
        <v>409.27527214815461</v>
      </c>
      <c r="D182" s="188">
        <f ca="1">+'Purchased Power Model '!D182</f>
        <v>0</v>
      </c>
      <c r="E182" s="103">
        <f>+'Purchased Power Model '!E182</f>
        <v>7.5499999999999998E-2</v>
      </c>
      <c r="F182" s="57">
        <f>+'Purchased Power Model '!F182</f>
        <v>31</v>
      </c>
      <c r="G182" s="57">
        <f>+'Purchased Power Model '!G182</f>
        <v>0</v>
      </c>
      <c r="H182" s="192"/>
      <c r="I182" s="193">
        <f t="shared" ca="1" si="6"/>
        <v>-29351.969531865867</v>
      </c>
      <c r="J182" s="36"/>
      <c r="K182" s="5"/>
    </row>
    <row r="183" spans="1:11">
      <c r="A183" s="3">
        <v>43101</v>
      </c>
      <c r="C183" s="188">
        <f>+'Purchased Power Model '!C183</f>
        <v>526.24303773676161</v>
      </c>
      <c r="D183" s="188">
        <f ca="1">+'Purchased Power Model '!D183</f>
        <v>0</v>
      </c>
      <c r="E183" s="103">
        <f>+'Purchased Power Model '!E183</f>
        <v>7.5499999999999998E-2</v>
      </c>
      <c r="F183" s="57">
        <f>+'Purchased Power Model '!F183</f>
        <v>31</v>
      </c>
      <c r="G183" s="57">
        <f>+'Purchased Power Model '!G183</f>
        <v>0</v>
      </c>
      <c r="H183" s="192"/>
      <c r="I183" s="193">
        <f t="shared" ca="1" si="6"/>
        <v>-30948.444710721455</v>
      </c>
      <c r="J183" s="36"/>
      <c r="K183" s="5"/>
    </row>
    <row r="184" spans="1:11">
      <c r="A184" s="3">
        <v>43132</v>
      </c>
      <c r="C184" s="188">
        <f>+'Purchased Power Model '!C184</f>
        <v>522.90805585965177</v>
      </c>
      <c r="D184" s="188">
        <f ca="1">+'Purchased Power Model '!D184</f>
        <v>0</v>
      </c>
      <c r="E184" s="103">
        <f>+'Purchased Power Model '!E184</f>
        <v>7.5499999999999998E-2</v>
      </c>
      <c r="F184" s="57">
        <f>+'Purchased Power Model '!F184</f>
        <v>28</v>
      </c>
      <c r="G184" s="57">
        <f>+'Purchased Power Model '!G184</f>
        <v>0</v>
      </c>
      <c r="H184" s="192"/>
      <c r="I184" s="193">
        <f t="shared" ca="1" si="6"/>
        <v>-30437.348400730538</v>
      </c>
      <c r="J184" s="36"/>
      <c r="K184" s="5"/>
    </row>
    <row r="185" spans="1:11">
      <c r="A185" s="3">
        <v>43160</v>
      </c>
      <c r="C185" s="188">
        <f>+'Purchased Power Model '!C185</f>
        <v>466.04233923713849</v>
      </c>
      <c r="D185" s="188">
        <f ca="1">+'Purchased Power Model '!D185</f>
        <v>0</v>
      </c>
      <c r="E185" s="103">
        <f>+'Purchased Power Model '!E185</f>
        <v>7.5499999999999998E-2</v>
      </c>
      <c r="F185" s="57">
        <f>+'Purchased Power Model '!F185</f>
        <v>31</v>
      </c>
      <c r="G185" s="57">
        <f>+'Purchased Power Model '!G185</f>
        <v>1</v>
      </c>
      <c r="H185" s="192"/>
      <c r="I185" s="193">
        <f t="shared" ca="1" si="6"/>
        <v>-35090.756231896165</v>
      </c>
      <c r="J185" s="36"/>
      <c r="K185" s="5"/>
    </row>
    <row r="186" spans="1:11">
      <c r="A186" s="3">
        <v>43191</v>
      </c>
      <c r="C186" s="188">
        <f>+'Purchased Power Model '!C186</f>
        <v>313.40278409249765</v>
      </c>
      <c r="D186" s="188">
        <f ca="1">+'Purchased Power Model '!D186</f>
        <v>0</v>
      </c>
      <c r="E186" s="103">
        <f>+'Purchased Power Model '!E186</f>
        <v>7.5499999999999998E-2</v>
      </c>
      <c r="F186" s="57">
        <f>+'Purchased Power Model '!F186</f>
        <v>30</v>
      </c>
      <c r="G186" s="57">
        <f>+'Purchased Power Model '!G186</f>
        <v>1</v>
      </c>
      <c r="H186" s="192"/>
      <c r="I186" s="193">
        <f t="shared" ca="1" si="6"/>
        <v>-32852.209691777331</v>
      </c>
      <c r="J186" s="36"/>
      <c r="K186" s="5"/>
    </row>
    <row r="187" spans="1:11">
      <c r="A187" s="3">
        <v>43221</v>
      </c>
      <c r="C187" s="188">
        <f>+'Purchased Power Model '!C187</f>
        <v>114.07348266831977</v>
      </c>
      <c r="D187" s="188">
        <f ca="1">+'Purchased Power Model '!D187</f>
        <v>4.0315435691450112</v>
      </c>
      <c r="E187" s="103">
        <f>+'Purchased Power Model '!E187</f>
        <v>7.5499999999999998E-2</v>
      </c>
      <c r="F187" s="57">
        <f>+'Purchased Power Model '!F187</f>
        <v>31</v>
      </c>
      <c r="G187" s="57">
        <f>+'Purchased Power Model '!G187</f>
        <v>1</v>
      </c>
      <c r="H187" s="192"/>
      <c r="I187" s="193">
        <f t="shared" ca="1" si="6"/>
        <v>-30694.338265681221</v>
      </c>
      <c r="J187" s="36"/>
      <c r="K187" s="5"/>
    </row>
    <row r="188" spans="1:11">
      <c r="A188" s="3">
        <v>43252</v>
      </c>
      <c r="C188" s="188">
        <f>+'Purchased Power Model '!C188</f>
        <v>36.684800648207784</v>
      </c>
      <c r="D188" s="188">
        <f ca="1">+'Purchased Power Model '!D188</f>
        <v>43.271900975489793</v>
      </c>
      <c r="E188" s="103">
        <f>+'Purchased Power Model '!E188</f>
        <v>7.5499999999999998E-2</v>
      </c>
      <c r="F188" s="57">
        <f>+'Purchased Power Model '!F188</f>
        <v>30</v>
      </c>
      <c r="G188" s="57">
        <f>+'Purchased Power Model '!G188</f>
        <v>0</v>
      </c>
      <c r="H188" s="192"/>
      <c r="I188" s="193">
        <f t="shared" ca="1" si="6"/>
        <v>-28485.729746286088</v>
      </c>
      <c r="J188" s="36"/>
      <c r="K188" s="5"/>
    </row>
    <row r="189" spans="1:11">
      <c r="A189" s="3">
        <v>43282</v>
      </c>
      <c r="C189" s="188">
        <f>+'Purchased Power Model '!C189</f>
        <v>3.7625436562264398</v>
      </c>
      <c r="D189" s="188">
        <f ca="1">+'Purchased Power Model '!D189</f>
        <v>147.82326420198373</v>
      </c>
      <c r="E189" s="103">
        <f>+'Purchased Power Model '!E189</f>
        <v>7.5499999999999998E-2</v>
      </c>
      <c r="F189" s="57">
        <f>+'Purchased Power Model '!F189</f>
        <v>31</v>
      </c>
      <c r="G189" s="57">
        <f>+'Purchased Power Model '!G189</f>
        <v>0</v>
      </c>
      <c r="H189" s="192"/>
      <c r="I189" s="193">
        <f t="shared" ca="1" si="6"/>
        <v>-38760.733423929589</v>
      </c>
      <c r="J189" s="36"/>
      <c r="K189" s="5"/>
    </row>
    <row r="190" spans="1:11">
      <c r="A190" s="3">
        <v>43313</v>
      </c>
      <c r="C190" s="188">
        <f>+'Purchased Power Model '!C190</f>
        <v>9.4063591405660976</v>
      </c>
      <c r="D190" s="188">
        <f ca="1">+'Purchased Power Model '!D190</f>
        <v>77.808790884498691</v>
      </c>
      <c r="E190" s="103">
        <f>+'Purchased Power Model '!E190</f>
        <v>7.5499999999999998E-2</v>
      </c>
      <c r="F190" s="57">
        <f>+'Purchased Power Model '!F190</f>
        <v>31</v>
      </c>
      <c r="G190" s="57">
        <f>+'Purchased Power Model '!G190</f>
        <v>0</v>
      </c>
      <c r="H190" s="192"/>
      <c r="I190" s="193">
        <f t="shared" ca="1" si="6"/>
        <v>-31759.958578953523</v>
      </c>
      <c r="J190" s="36"/>
      <c r="K190" s="5"/>
    </row>
    <row r="191" spans="1:11">
      <c r="A191" s="3">
        <v>43344</v>
      </c>
      <c r="C191" s="188">
        <f>+'Purchased Power Model '!C191</f>
        <v>82.604935725334997</v>
      </c>
      <c r="D191" s="188">
        <f ca="1">+'Purchased Power Model '!D191</f>
        <v>21.098411345192229</v>
      </c>
      <c r="E191" s="103">
        <f>+'Purchased Power Model '!E191</f>
        <v>7.5499999999999998E-2</v>
      </c>
      <c r="F191" s="57">
        <f>+'Purchased Power Model '!F191</f>
        <v>30</v>
      </c>
      <c r="G191" s="57">
        <f>+'Purchased Power Model '!G191</f>
        <v>1</v>
      </c>
      <c r="H191" s="192"/>
      <c r="I191" s="193">
        <f t="shared" ca="1" si="6"/>
        <v>-31834.936542912532</v>
      </c>
      <c r="J191" s="36"/>
      <c r="K191" s="5"/>
    </row>
    <row r="192" spans="1:11">
      <c r="A192" s="3">
        <v>43374</v>
      </c>
      <c r="C192" s="188">
        <f>+'Purchased Power Model '!C192</f>
        <v>188.98230636955523</v>
      </c>
      <c r="D192" s="188">
        <f ca="1">+'Purchased Power Model '!D192</f>
        <v>4.0315435691450112</v>
      </c>
      <c r="E192" s="103">
        <f>+'Purchased Power Model '!E192</f>
        <v>7.5499999999999998E-2</v>
      </c>
      <c r="F192" s="57">
        <f>+'Purchased Power Model '!F192</f>
        <v>31</v>
      </c>
      <c r="G192" s="57">
        <f>+'Purchased Power Model '!G192</f>
        <v>1</v>
      </c>
      <c r="H192" s="192"/>
      <c r="I192" s="193">
        <f t="shared" ca="1" si="6"/>
        <v>-31716.757366486378</v>
      </c>
      <c r="J192" s="36"/>
      <c r="K192" s="5"/>
    </row>
    <row r="193" spans="1:11">
      <c r="A193" s="3">
        <v>43405</v>
      </c>
      <c r="C193" s="188">
        <f>+'Purchased Power Model '!C193</f>
        <v>392.15966380578294</v>
      </c>
      <c r="D193" s="188">
        <f ca="1">+'Purchased Power Model '!D193</f>
        <v>0</v>
      </c>
      <c r="E193" s="103">
        <f>+'Purchased Power Model '!E193</f>
        <v>7.5499999999999998E-2</v>
      </c>
      <c r="F193" s="57">
        <f>+'Purchased Power Model '!F193</f>
        <v>30</v>
      </c>
      <c r="G193" s="57">
        <f>+'Purchased Power Model '!G193</f>
        <v>1</v>
      </c>
      <c r="H193" s="192"/>
      <c r="I193" s="193">
        <f t="shared" ca="1" si="6"/>
        <v>-33927.150321733439</v>
      </c>
      <c r="J193" s="36"/>
      <c r="K193" s="5"/>
    </row>
    <row r="194" spans="1:11">
      <c r="A194" s="3">
        <v>43435</v>
      </c>
      <c r="C194" s="188">
        <f>+'Purchased Power Model '!C194</f>
        <v>404.30241833269554</v>
      </c>
      <c r="D194" s="188">
        <f ca="1">+'Purchased Power Model '!D194</f>
        <v>0</v>
      </c>
      <c r="E194" s="103">
        <f>+'Purchased Power Model '!E194</f>
        <v>7.5499999999999998E-2</v>
      </c>
      <c r="F194" s="57">
        <f>+'Purchased Power Model '!F194</f>
        <v>31</v>
      </c>
      <c r="G194" s="57">
        <f>+'Purchased Power Model '!G194</f>
        <v>0</v>
      </c>
      <c r="H194" s="192"/>
      <c r="I194" s="193">
        <f t="shared" ca="1" si="6"/>
        <v>-29284.095809182461</v>
      </c>
      <c r="J194" s="36"/>
      <c r="K194" s="5"/>
    </row>
    <row r="195" spans="1:11">
      <c r="A195" s="3">
        <v>43466</v>
      </c>
      <c r="C195" s="188">
        <f>+'Purchased Power Model '!C195</f>
        <v>519.7703341876213</v>
      </c>
      <c r="D195" s="188">
        <f ca="1">+'Purchased Power Model '!D195</f>
        <v>0</v>
      </c>
      <c r="E195" s="103">
        <f>+'Purchased Power Model '!E195</f>
        <v>7.5499999999999998E-2</v>
      </c>
      <c r="F195" s="57">
        <f>+'Purchased Power Model '!F195</f>
        <v>31</v>
      </c>
      <c r="G195" s="57">
        <f>+'Purchased Power Model '!G195</f>
        <v>0</v>
      </c>
      <c r="H195" s="192"/>
      <c r="I195" s="193">
        <f t="shared" ca="1" si="6"/>
        <v>-30860.099767956304</v>
      </c>
      <c r="J195" s="36"/>
      <c r="K195" s="5"/>
    </row>
    <row r="196" spans="1:11">
      <c r="A196" s="3">
        <v>43497</v>
      </c>
      <c r="C196" s="188">
        <f>+'Purchased Power Model '!C196</f>
        <v>516.47637204376076</v>
      </c>
      <c r="D196" s="188">
        <f ca="1">+'Purchased Power Model '!D196</f>
        <v>0</v>
      </c>
      <c r="E196" s="103">
        <f>+'Purchased Power Model '!E196</f>
        <v>7.5499999999999998E-2</v>
      </c>
      <c r="F196" s="57">
        <f>+'Purchased Power Model '!F196</f>
        <v>28</v>
      </c>
      <c r="G196" s="57">
        <f>+'Purchased Power Model '!G196</f>
        <v>0</v>
      </c>
      <c r="H196" s="192"/>
      <c r="I196" s="193">
        <f t="shared" ref="I196:I206" ca="1" si="11">$N$18+C196*$N$19+D196*$N$20+E196*$N$21+F196*$N$22+G196*$N$23+H196*$N$24</f>
        <v>-30349.563330043355</v>
      </c>
      <c r="J196" s="36"/>
      <c r="K196" s="5"/>
    </row>
    <row r="197" spans="1:11">
      <c r="A197" s="3">
        <v>43525</v>
      </c>
      <c r="C197" s="188">
        <f>+'Purchased Power Model '!C197</f>
        <v>460.31009446255047</v>
      </c>
      <c r="D197" s="188">
        <f ca="1">+'Purchased Power Model '!D197</f>
        <v>0</v>
      </c>
      <c r="E197" s="103">
        <f>+'Purchased Power Model '!E197</f>
        <v>7.5499999999999998E-2</v>
      </c>
      <c r="F197" s="57">
        <f>+'Purchased Power Model '!F197</f>
        <v>31</v>
      </c>
      <c r="G197" s="57">
        <f>+'Purchased Power Model '!G197</f>
        <v>1</v>
      </c>
      <c r="H197" s="192"/>
      <c r="I197" s="193">
        <f t="shared" ca="1" si="11"/>
        <v>-35012.517697923126</v>
      </c>
      <c r="J197" s="36"/>
      <c r="K197" s="5"/>
    </row>
    <row r="198" spans="1:11">
      <c r="A198" s="3">
        <v>43556</v>
      </c>
      <c r="C198" s="188">
        <f>+'Purchased Power Model '!C198</f>
        <v>309.54798095509119</v>
      </c>
      <c r="D198" s="188">
        <f ca="1">+'Purchased Power Model '!D198</f>
        <v>0</v>
      </c>
      <c r="E198" s="103">
        <f>+'Purchased Power Model '!E198</f>
        <v>7.5499999999999998E-2</v>
      </c>
      <c r="F198" s="57">
        <f>+'Purchased Power Model '!F198</f>
        <v>30</v>
      </c>
      <c r="G198" s="57">
        <f>+'Purchased Power Model '!G198</f>
        <v>1</v>
      </c>
      <c r="H198" s="192"/>
      <c r="I198" s="193">
        <f t="shared" ca="1" si="11"/>
        <v>-32799.59607214226</v>
      </c>
      <c r="J198" s="36"/>
      <c r="K198" s="5"/>
    </row>
    <row r="199" spans="1:11">
      <c r="A199" s="3">
        <v>43586</v>
      </c>
      <c r="C199" s="188">
        <f>+'Purchased Power Model '!C199</f>
        <v>112.67039743358573</v>
      </c>
      <c r="D199" s="188">
        <f ca="1">+'Purchased Power Model '!D199</f>
        <v>4.1180834494630707</v>
      </c>
      <c r="E199" s="103">
        <f>+'Purchased Power Model '!E199</f>
        <v>7.5499999999999998E-2</v>
      </c>
      <c r="F199" s="57">
        <f>+'Purchased Power Model '!F199</f>
        <v>31</v>
      </c>
      <c r="G199" s="57">
        <f>+'Purchased Power Model '!G199</f>
        <v>1</v>
      </c>
      <c r="H199" s="192"/>
      <c r="I199" s="193">
        <f t="shared" ca="1" si="11"/>
        <v>-30683.93613951364</v>
      </c>
      <c r="J199" s="36"/>
      <c r="K199" s="5"/>
    </row>
    <row r="200" spans="1:11">
      <c r="A200" s="3">
        <v>43617</v>
      </c>
      <c r="C200" s="188">
        <f>+'Purchased Power Model '!C200</f>
        <v>36.233583582464981</v>
      </c>
      <c r="D200" s="188">
        <f ca="1">+'Purchased Power Model '!D200</f>
        <v>44.200762357570305</v>
      </c>
      <c r="E200" s="103">
        <f>+'Purchased Power Model '!E200</f>
        <v>7.5499999999999998E-2</v>
      </c>
      <c r="F200" s="57">
        <f>+'Purchased Power Model '!F200</f>
        <v>30</v>
      </c>
      <c r="G200" s="57">
        <f>+'Purchased Power Model '!G200</f>
        <v>0</v>
      </c>
      <c r="H200" s="192"/>
      <c r="I200" s="193">
        <f t="shared" ca="1" si="11"/>
        <v>-28573.470325169037</v>
      </c>
      <c r="J200" s="36"/>
      <c r="K200" s="5"/>
    </row>
    <row r="201" spans="1:11">
      <c r="A201" s="3">
        <v>43647</v>
      </c>
      <c r="C201" s="188">
        <f>+'Purchased Power Model '!C201</f>
        <v>3.7162649828169214</v>
      </c>
      <c r="D201" s="188">
        <f ca="1">+'Purchased Power Model '!D201</f>
        <v>150.99639314697927</v>
      </c>
      <c r="E201" s="103">
        <f>+'Purchased Power Model '!E201</f>
        <v>7.5499999999999998E-2</v>
      </c>
      <c r="F201" s="57">
        <f>+'Purchased Power Model '!F201</f>
        <v>31</v>
      </c>
      <c r="G201" s="57">
        <f>+'Purchased Power Model '!G201</f>
        <v>0</v>
      </c>
      <c r="H201" s="192"/>
      <c r="I201" s="193">
        <f t="shared" ca="1" si="11"/>
        <v>-39080.875341438121</v>
      </c>
      <c r="J201" s="36"/>
      <c r="K201" s="5"/>
    </row>
    <row r="202" spans="1:11">
      <c r="A202" s="3">
        <v>43678</v>
      </c>
      <c r="C202" s="188">
        <f>+'Purchased Power Model '!C202</f>
        <v>9.290662457042302</v>
      </c>
      <c r="D202" s="188">
        <f ca="1">+'Purchased Power Model '!D202</f>
        <v>79.479010574637257</v>
      </c>
      <c r="E202" s="103">
        <f>+'Purchased Power Model '!E202</f>
        <v>7.5499999999999998E-2</v>
      </c>
      <c r="F202" s="57">
        <f>+'Purchased Power Model '!F202</f>
        <v>31</v>
      </c>
      <c r="G202" s="57">
        <f>+'Purchased Power Model '!G202</f>
        <v>0</v>
      </c>
      <c r="H202" s="192"/>
      <c r="I202" s="193">
        <f t="shared" ca="1" si="11"/>
        <v>-31927.222994312109</v>
      </c>
      <c r="J202" s="36"/>
      <c r="K202" s="5"/>
    </row>
    <row r="203" spans="1:11">
      <c r="A203" s="3">
        <v>43709</v>
      </c>
      <c r="C203" s="188">
        <f>+'Purchased Power Model '!C203</f>
        <v>81.58890848638967</v>
      </c>
      <c r="D203" s="188">
        <f ca="1">+'Purchased Power Model '!D203</f>
        <v>21.551303385523408</v>
      </c>
      <c r="E203" s="103">
        <f>+'Purchased Power Model '!E203</f>
        <v>7.5499999999999998E-2</v>
      </c>
      <c r="F203" s="57">
        <f>+'Purchased Power Model '!F203</f>
        <v>30</v>
      </c>
      <c r="G203" s="57">
        <f>+'Purchased Power Model '!G203</f>
        <v>1</v>
      </c>
      <c r="H203" s="192"/>
      <c r="I203" s="193">
        <f t="shared" ca="1" si="11"/>
        <v>-31866.852078743905</v>
      </c>
      <c r="J203" s="36"/>
      <c r="K203" s="5"/>
    </row>
    <row r="204" spans="1:11">
      <c r="A204" s="3">
        <v>43739</v>
      </c>
      <c r="C204" s="188">
        <f>+'Purchased Power Model '!C204</f>
        <v>186.65785481875898</v>
      </c>
      <c r="D204" s="188">
        <f ca="1">+'Purchased Power Model '!D204</f>
        <v>4.1180834494630707</v>
      </c>
      <c r="E204" s="103">
        <f>+'Purchased Power Model '!E204</f>
        <v>7.5499999999999998E-2</v>
      </c>
      <c r="F204" s="57">
        <f>+'Purchased Power Model '!F204</f>
        <v>31</v>
      </c>
      <c r="G204" s="57">
        <f>+'Purchased Power Model '!G204</f>
        <v>1</v>
      </c>
      <c r="H204" s="192"/>
      <c r="I204" s="193">
        <f t="shared" ca="1" si="11"/>
        <v>-31693.779652105881</v>
      </c>
      <c r="J204" s="36"/>
      <c r="K204" s="5"/>
    </row>
    <row r="205" spans="1:11">
      <c r="A205" s="3">
        <v>43770</v>
      </c>
      <c r="C205" s="188">
        <f>+'Purchased Power Model '!C205</f>
        <v>387.33616389087268</v>
      </c>
      <c r="D205" s="188">
        <f ca="1">+'Purchased Power Model '!D205</f>
        <v>0</v>
      </c>
      <c r="E205" s="103">
        <f>+'Purchased Power Model '!E205</f>
        <v>7.5499999999999998E-2</v>
      </c>
      <c r="F205" s="57">
        <f>+'Purchased Power Model '!F205</f>
        <v>30</v>
      </c>
      <c r="G205" s="57">
        <f>+'Purchased Power Model '!G205</f>
        <v>1</v>
      </c>
      <c r="H205" s="192"/>
      <c r="I205" s="193">
        <f t="shared" ca="1" si="11"/>
        <v>-33861.31510764164</v>
      </c>
      <c r="J205" s="36"/>
      <c r="K205" s="5"/>
    </row>
    <row r="206" spans="1:11">
      <c r="A206" s="3">
        <v>43800</v>
      </c>
      <c r="C206" s="188">
        <f>+'Purchased Power Model '!C206</f>
        <v>399.32956451723641</v>
      </c>
      <c r="D206" s="188">
        <f ca="1">+'Purchased Power Model '!D206</f>
        <v>0</v>
      </c>
      <c r="E206" s="103">
        <f>+'Purchased Power Model '!E206</f>
        <v>7.5499999999999998E-2</v>
      </c>
      <c r="F206" s="57">
        <f>+'Purchased Power Model '!F206</f>
        <v>31</v>
      </c>
      <c r="G206" s="57">
        <f>+'Purchased Power Model '!G206</f>
        <v>0</v>
      </c>
      <c r="H206" s="192"/>
      <c r="I206" s="193">
        <f t="shared" ca="1" si="11"/>
        <v>-29216.22208649907</v>
      </c>
      <c r="J206" s="36"/>
      <c r="K206" s="5"/>
    </row>
    <row r="207" spans="1:11">
      <c r="A207" s="3"/>
      <c r="E207" s="33"/>
      <c r="F207" s="10"/>
      <c r="G207" s="10"/>
      <c r="H207" s="17"/>
    </row>
    <row r="208" spans="1:11">
      <c r="A208" s="3"/>
      <c r="C208" s="18"/>
      <c r="D208" s="63" t="s">
        <v>60</v>
      </c>
      <c r="I208" s="47">
        <f ca="1">SUM(I3:I206)</f>
        <v>21007313.97643657</v>
      </c>
    </row>
    <row r="209" spans="1:11">
      <c r="A209" s="3"/>
      <c r="C209" s="23"/>
      <c r="D209" s="23"/>
      <c r="F209" s="180"/>
      <c r="G209" s="180"/>
      <c r="H209"/>
      <c r="I209" s="180"/>
      <c r="J209" s="36"/>
      <c r="K209" s="5" t="s">
        <v>196</v>
      </c>
    </row>
    <row r="210" spans="1:11">
      <c r="A210" s="16">
        <v>2003</v>
      </c>
      <c r="B210" s="6">
        <f>SUM(B3:B14)</f>
        <v>0</v>
      </c>
      <c r="C210" s="107"/>
      <c r="D210" s="23" t="s">
        <v>195</v>
      </c>
      <c r="E210" s="108" t="s">
        <v>107</v>
      </c>
      <c r="F210" s="180"/>
      <c r="G210" s="180"/>
      <c r="H210"/>
      <c r="I210" s="6">
        <f>SUM(I3:I14)</f>
        <v>158600.73602862383</v>
      </c>
      <c r="J210" s="36">
        <f>I210-B210</f>
        <v>158600.73602862383</v>
      </c>
      <c r="K210" s="5" t="e">
        <f>J210/B210</f>
        <v>#DIV/0!</v>
      </c>
    </row>
    <row r="211" spans="1:11">
      <c r="A211">
        <v>2004</v>
      </c>
      <c r="B211" s="6">
        <f>SUM(B15:B26)</f>
        <v>0</v>
      </c>
      <c r="C211" s="107">
        <f>+B211-B210</f>
        <v>0</v>
      </c>
      <c r="D211" s="109" t="e">
        <f>+C211/B210</f>
        <v>#DIV/0!</v>
      </c>
      <c r="E211" s="109" t="e">
        <f>RATE(1,0,-B$210,B211)</f>
        <v>#NUM!</v>
      </c>
      <c r="F211" s="180"/>
      <c r="G211" s="180"/>
      <c r="H211"/>
      <c r="I211" s="6">
        <f>SUM(I15:I26)</f>
        <v>82733.820699300617</v>
      </c>
      <c r="J211" s="36">
        <f t="shared" ref="J211:J226" si="12">I211-B211</f>
        <v>82733.820699300617</v>
      </c>
      <c r="K211" s="5" t="e">
        <f t="shared" ref="K211:K226" si="13">J211/B211</f>
        <v>#DIV/0!</v>
      </c>
    </row>
    <row r="212" spans="1:11">
      <c r="A212" s="16">
        <v>2005</v>
      </c>
      <c r="B212" s="6">
        <f>SUM(B27:B38)</f>
        <v>0</v>
      </c>
      <c r="C212" s="107">
        <f t="shared" ref="C212:C226" si="14">+B212-B211</f>
        <v>0</v>
      </c>
      <c r="D212" s="109" t="e">
        <f t="shared" ref="D212:D226" si="15">+C212/B211</f>
        <v>#DIV/0!</v>
      </c>
      <c r="E212" s="109" t="e">
        <f>RATE(2,0,-B$210,B212)</f>
        <v>#NUM!</v>
      </c>
      <c r="F212" s="180"/>
      <c r="G212" s="180"/>
      <c r="H212"/>
      <c r="I212" s="6">
        <f>SUM(I27:I38)</f>
        <v>-179508.56386249111</v>
      </c>
      <c r="J212" s="36">
        <f t="shared" si="12"/>
        <v>-179508.56386249111</v>
      </c>
      <c r="K212" s="5" t="e">
        <f t="shared" si="13"/>
        <v>#DIV/0!</v>
      </c>
    </row>
    <row r="213" spans="1:11">
      <c r="A213">
        <v>2006</v>
      </c>
      <c r="B213" s="6">
        <f>SUM(B39:B50)</f>
        <v>2205188</v>
      </c>
      <c r="C213" s="107">
        <f t="shared" si="14"/>
        <v>2205188</v>
      </c>
      <c r="D213" s="109" t="e">
        <f t="shared" si="15"/>
        <v>#DIV/0!</v>
      </c>
      <c r="E213" s="109" t="e">
        <f>RATE(3,0,-B$210,B213)</f>
        <v>#NUM!</v>
      </c>
      <c r="F213" s="180"/>
      <c r="G213" s="180"/>
      <c r="H213"/>
      <c r="I213" s="6">
        <f>SUM(I39:I50)</f>
        <v>1898851.4215389837</v>
      </c>
      <c r="J213" s="36">
        <f t="shared" si="12"/>
        <v>-306336.5784610163</v>
      </c>
      <c r="K213" s="5">
        <f t="shared" si="13"/>
        <v>-0.13891630938542032</v>
      </c>
    </row>
    <row r="214" spans="1:11">
      <c r="A214" s="16">
        <v>2007</v>
      </c>
      <c r="B214" s="6">
        <f>SUM(B51:B62)</f>
        <v>3818865</v>
      </c>
      <c r="C214" s="107">
        <f t="shared" si="14"/>
        <v>1613677</v>
      </c>
      <c r="D214" s="109">
        <f t="shared" si="15"/>
        <v>0.73176391309947275</v>
      </c>
      <c r="E214" s="109" t="e">
        <f>RATE(4,0,-B$210,B214)</f>
        <v>#NUM!</v>
      </c>
      <c r="F214" s="180"/>
      <c r="G214" s="180"/>
      <c r="H214"/>
      <c r="I214" s="6">
        <f>SUM(I51:I62)</f>
        <v>3485960.7237720028</v>
      </c>
      <c r="J214" s="36">
        <f t="shared" si="12"/>
        <v>-332904.27622799715</v>
      </c>
      <c r="K214" s="5">
        <f t="shared" si="13"/>
        <v>-8.7173617351751678E-2</v>
      </c>
    </row>
    <row r="215" spans="1:11">
      <c r="A215">
        <v>2008</v>
      </c>
      <c r="B215" s="6">
        <f>SUM(B63:B74)</f>
        <v>3372873</v>
      </c>
      <c r="C215" s="107">
        <f t="shared" si="14"/>
        <v>-445992</v>
      </c>
      <c r="D215" s="109">
        <f t="shared" si="15"/>
        <v>-0.11678653212407351</v>
      </c>
      <c r="E215" s="109" t="e">
        <f>RATE(5,0,-B$210,B215)</f>
        <v>#NUM!</v>
      </c>
      <c r="F215" s="180"/>
      <c r="G215" s="180"/>
      <c r="H215"/>
      <c r="I215" s="6">
        <f>SUM(I63:I74)</f>
        <v>3298044.6106679323</v>
      </c>
      <c r="J215" s="36">
        <f t="shared" si="12"/>
        <v>-74828.389332067687</v>
      </c>
      <c r="K215" s="5">
        <f t="shared" si="13"/>
        <v>-2.2185356321470652E-2</v>
      </c>
    </row>
    <row r="216" spans="1:11">
      <c r="A216" s="16">
        <v>2009</v>
      </c>
      <c r="B216" s="6">
        <f>SUM(B75:B86)</f>
        <v>2825455</v>
      </c>
      <c r="C216" s="107">
        <f t="shared" si="14"/>
        <v>-547418</v>
      </c>
      <c r="D216" s="109">
        <f t="shared" si="15"/>
        <v>-0.16230021112564866</v>
      </c>
      <c r="E216" s="109" t="e">
        <f>RATE(6,0,-B$210,B216)</f>
        <v>#NUM!</v>
      </c>
      <c r="F216" s="180"/>
      <c r="G216" s="180"/>
      <c r="H216"/>
      <c r="I216" s="6">
        <f>SUM(I75:I86)</f>
        <v>2876105.3176927478</v>
      </c>
      <c r="J216" s="36">
        <f t="shared" si="12"/>
        <v>50650.317692747805</v>
      </c>
      <c r="K216" s="5">
        <f t="shared" si="13"/>
        <v>1.7926428731920276E-2</v>
      </c>
    </row>
    <row r="217" spans="1:11">
      <c r="A217">
        <v>2010</v>
      </c>
      <c r="B217" s="6">
        <f>SUM(B87:B98)</f>
        <v>2831501</v>
      </c>
      <c r="C217" s="107">
        <f t="shared" si="14"/>
        <v>6046</v>
      </c>
      <c r="D217" s="109">
        <f t="shared" si="15"/>
        <v>2.1398323455868169E-3</v>
      </c>
      <c r="E217" s="109" t="e">
        <f>RATE(7,0,-B$210,B217)</f>
        <v>#NUM!</v>
      </c>
      <c r="F217" s="180"/>
      <c r="G217" s="180"/>
      <c r="H217"/>
      <c r="I217" s="6">
        <f>SUM(I87:I98)</f>
        <v>2713323.8061339692</v>
      </c>
      <c r="J217" s="36">
        <f t="shared" si="12"/>
        <v>-118177.19386603078</v>
      </c>
      <c r="K217" s="5">
        <f t="shared" si="13"/>
        <v>-4.1736589132771194E-2</v>
      </c>
    </row>
    <row r="218" spans="1:11">
      <c r="A218">
        <v>2011</v>
      </c>
      <c r="B218" s="6">
        <f>SUM(B99:B110)</f>
        <v>2769028</v>
      </c>
      <c r="C218" s="107">
        <f t="shared" si="14"/>
        <v>-62473</v>
      </c>
      <c r="D218" s="109">
        <f t="shared" si="15"/>
        <v>-2.2063562753465389E-2</v>
      </c>
      <c r="E218" s="109" t="e">
        <f>RATE(8,0,-B$210,B218)</f>
        <v>#NUM!</v>
      </c>
      <c r="F218" s="180"/>
      <c r="G218" s="180"/>
      <c r="H218"/>
      <c r="I218" s="6">
        <f>SUM(I99:I110)</f>
        <v>3053155.6488366565</v>
      </c>
      <c r="J218" s="36">
        <f t="shared" si="12"/>
        <v>284127.64883665647</v>
      </c>
      <c r="K218" s="5">
        <f t="shared" si="13"/>
        <v>0.10260916423981863</v>
      </c>
    </row>
    <row r="219" spans="1:11">
      <c r="A219">
        <v>2012</v>
      </c>
      <c r="B219" s="6">
        <f>SUM(B111:B122)</f>
        <v>2745701</v>
      </c>
      <c r="C219" s="107">
        <f t="shared" si="14"/>
        <v>-23327</v>
      </c>
      <c r="D219" s="109">
        <f t="shared" si="15"/>
        <v>-8.4242557316141255E-3</v>
      </c>
      <c r="E219" s="109" t="e">
        <f>RATE(9,0,-B$210,B219)</f>
        <v>#NUM!</v>
      </c>
      <c r="F219" s="180"/>
      <c r="G219" s="180"/>
      <c r="H219"/>
      <c r="I219" s="6">
        <f>SUM(I111:I122)</f>
        <v>2849800.9704830777</v>
      </c>
      <c r="J219" s="36">
        <f t="shared" si="12"/>
        <v>104099.97048307769</v>
      </c>
      <c r="K219" s="5">
        <f t="shared" si="13"/>
        <v>3.7913804337427012E-2</v>
      </c>
    </row>
    <row r="220" spans="1:11">
      <c r="A220">
        <v>2013</v>
      </c>
      <c r="B220" s="6">
        <f>SUM(B123:B134)</f>
        <v>2752416</v>
      </c>
      <c r="C220" s="107">
        <f t="shared" si="14"/>
        <v>6715</v>
      </c>
      <c r="D220" s="109">
        <f t="shared" si="15"/>
        <v>2.4456413862980709E-3</v>
      </c>
      <c r="E220" s="109" t="e">
        <f>RATE(10,0,-B$210,B220)</f>
        <v>#NUM!</v>
      </c>
      <c r="F220" s="180"/>
      <c r="G220" s="180"/>
      <c r="H220"/>
      <c r="I220" s="6">
        <f ca="1">SUM(I123:I134)</f>
        <v>3083958.5080091925</v>
      </c>
      <c r="J220" s="36">
        <f t="shared" ca="1" si="12"/>
        <v>331542.50800919253</v>
      </c>
      <c r="K220" s="5">
        <f t="shared" ca="1" si="13"/>
        <v>0.12045508673441534</v>
      </c>
    </row>
    <row r="221" spans="1:11">
      <c r="A221">
        <v>2014</v>
      </c>
      <c r="B221" s="6">
        <f ca="1">+I221</f>
        <v>-385260.49307749944</v>
      </c>
      <c r="C221" s="107">
        <f t="shared" ca="1" si="14"/>
        <v>-3137676.4930774993</v>
      </c>
      <c r="D221" s="109">
        <f t="shared" ca="1" si="15"/>
        <v>-1.1399717532079088</v>
      </c>
      <c r="E221" s="109" t="e">
        <f ca="1">RATE(11,0,-B$210,B221)</f>
        <v>#NUM!</v>
      </c>
      <c r="F221" s="103"/>
      <c r="G221" s="180"/>
      <c r="H221"/>
      <c r="I221" s="6">
        <f ca="1">SUM(I135:I146)</f>
        <v>-385260.49307749944</v>
      </c>
      <c r="J221" s="36">
        <f t="shared" ca="1" si="12"/>
        <v>0</v>
      </c>
      <c r="K221" s="5">
        <f t="shared" ca="1" si="13"/>
        <v>0</v>
      </c>
    </row>
    <row r="222" spans="1:11">
      <c r="A222">
        <v>2015</v>
      </c>
      <c r="B222" s="6">
        <f t="shared" ref="B222:B226" ca="1" si="16">+I222</f>
        <v>-385393.48458069743</v>
      </c>
      <c r="C222" s="107">
        <f t="shared" ca="1" si="14"/>
        <v>-132.99150319799082</v>
      </c>
      <c r="D222" s="109">
        <f t="shared" ca="1" si="15"/>
        <v>3.4519891239208404E-4</v>
      </c>
      <c r="E222" s="109" t="e">
        <f ca="1">RATE(12,0,-B$210,B222)</f>
        <v>#NUM!</v>
      </c>
      <c r="F222" s="103"/>
      <c r="G222" s="180"/>
      <c r="H222"/>
      <c r="I222" s="6">
        <f ca="1">SUM(I147:I158)</f>
        <v>-385393.48458069743</v>
      </c>
      <c r="J222" s="36">
        <f t="shared" ca="1" si="12"/>
        <v>0</v>
      </c>
      <c r="K222" s="5">
        <f t="shared" ca="1" si="13"/>
        <v>0</v>
      </c>
    </row>
    <row r="223" spans="1:11">
      <c r="A223">
        <v>2016</v>
      </c>
      <c r="B223" s="6">
        <f t="shared" ca="1" si="16"/>
        <v>-385681.66863435967</v>
      </c>
      <c r="C223" s="107">
        <f t="shared" ca="1" si="14"/>
        <v>-288.18405366223305</v>
      </c>
      <c r="D223" s="109">
        <f t="shared" ca="1" si="15"/>
        <v>7.4776576458155004E-4</v>
      </c>
      <c r="E223" s="109" t="e">
        <f ca="1">RATE(13,0,-B$210,B223)</f>
        <v>#NUM!</v>
      </c>
      <c r="F223" s="103"/>
      <c r="G223" s="180"/>
      <c r="H223"/>
      <c r="I223" s="6">
        <f ca="1">SUM(I159:I170)</f>
        <v>-385681.66863435967</v>
      </c>
      <c r="J223" s="36">
        <f t="shared" ca="1" si="12"/>
        <v>0</v>
      </c>
      <c r="K223" s="5">
        <f t="shared" ca="1" si="13"/>
        <v>0</v>
      </c>
    </row>
    <row r="224" spans="1:11">
      <c r="A224">
        <v>2017</v>
      </c>
      <c r="B224" s="6">
        <f t="shared" ca="1" si="16"/>
        <v>-385659.46758709289</v>
      </c>
      <c r="C224" s="107">
        <f t="shared" ca="1" si="14"/>
        <v>22.201047266775277</v>
      </c>
      <c r="D224" s="109">
        <f t="shared" ca="1" si="15"/>
        <v>-5.7563138391787766E-5</v>
      </c>
      <c r="E224" s="109" t="e">
        <f ca="1">RATE(14,0,-B$210,B224)</f>
        <v>#NUM!</v>
      </c>
      <c r="F224" s="103"/>
      <c r="G224" s="180"/>
      <c r="H224"/>
      <c r="I224" s="6">
        <f ca="1">SUM(I171:I182)</f>
        <v>-385659.46758709289</v>
      </c>
      <c r="J224" s="36">
        <f t="shared" ca="1" si="12"/>
        <v>0</v>
      </c>
      <c r="K224" s="5">
        <f t="shared" ca="1" si="13"/>
        <v>0</v>
      </c>
    </row>
    <row r="225" spans="1:11">
      <c r="A225">
        <v>2018</v>
      </c>
      <c r="B225" s="6">
        <f t="shared" ca="1" si="16"/>
        <v>-385792.45909029065</v>
      </c>
      <c r="C225" s="107">
        <f t="shared" ca="1" si="14"/>
        <v>-132.99150319775799</v>
      </c>
      <c r="D225" s="109">
        <f t="shared" ca="1" si="15"/>
        <v>3.4484179535337021E-4</v>
      </c>
      <c r="E225" s="109" t="e">
        <f ca="1">RATE(15,0,-B$210,B225)</f>
        <v>#NUM!</v>
      </c>
      <c r="F225" s="103"/>
      <c r="G225" s="180"/>
      <c r="H225"/>
      <c r="I225" s="6">
        <f ca="1">SUM(I183:I194)</f>
        <v>-385792.45909029065</v>
      </c>
      <c r="J225" s="36">
        <f t="shared" ca="1" si="12"/>
        <v>0</v>
      </c>
      <c r="K225" s="5">
        <f t="shared" ca="1" si="13"/>
        <v>0</v>
      </c>
    </row>
    <row r="226" spans="1:11">
      <c r="A226">
        <v>2019</v>
      </c>
      <c r="B226" s="6">
        <f t="shared" ca="1" si="16"/>
        <v>-385925.45059348847</v>
      </c>
      <c r="C226" s="107">
        <f t="shared" ca="1" si="14"/>
        <v>-132.9915031978162</v>
      </c>
      <c r="D226" s="109">
        <f t="shared" ca="1" si="15"/>
        <v>3.4472292048272243E-4</v>
      </c>
      <c r="E226" s="109" t="e">
        <f ca="1">RATE(16,0,-B$210,B226)</f>
        <v>#NUM!</v>
      </c>
      <c r="F226" s="103"/>
      <c r="G226" s="180"/>
      <c r="H226"/>
      <c r="I226" s="6">
        <f ca="1">SUM(I195:I206)</f>
        <v>-385925.45059348847</v>
      </c>
      <c r="J226" s="36">
        <f t="shared" ca="1" si="12"/>
        <v>0</v>
      </c>
      <c r="K226" s="5">
        <f t="shared" ca="1" si="13"/>
        <v>0</v>
      </c>
    </row>
    <row r="227" spans="1:11">
      <c r="C227" s="101"/>
      <c r="D227" s="180"/>
      <c r="F227" s="180"/>
      <c r="G227" s="180"/>
      <c r="H227"/>
      <c r="J227" s="180"/>
      <c r="K227" s="180"/>
    </row>
    <row r="228" spans="1:11">
      <c r="A228" t="s">
        <v>9</v>
      </c>
      <c r="B228" s="6">
        <f ca="1">SUM(B210:B226)</f>
        <v>21007313.976436574</v>
      </c>
      <c r="C228" s="101"/>
      <c r="D228" s="180"/>
      <c r="F228" s="180"/>
      <c r="G228" s="180"/>
      <c r="H228"/>
      <c r="I228" s="6">
        <f ca="1">SUM(I210:I226)</f>
        <v>21007313.976436567</v>
      </c>
      <c r="J228" s="184">
        <f ca="1">I228-B228</f>
        <v>0</v>
      </c>
      <c r="K228" s="180"/>
    </row>
    <row r="229" spans="1:11">
      <c r="C229" s="180"/>
      <c r="D229" s="180"/>
      <c r="F229" s="180"/>
      <c r="G229" s="180"/>
      <c r="H229"/>
      <c r="I229" s="180"/>
      <c r="J229" s="62"/>
      <c r="K229" s="180"/>
    </row>
    <row r="230" spans="1:11">
      <c r="C230" s="180"/>
      <c r="D230" s="180"/>
      <c r="F230" s="180"/>
      <c r="G230" s="180"/>
      <c r="H230"/>
      <c r="I230" s="6">
        <f ca="1">SUM(I210:I226)</f>
        <v>21007313.976436567</v>
      </c>
      <c r="J230" s="184">
        <f ca="1">I208-I230</f>
        <v>0</v>
      </c>
      <c r="K230" s="180"/>
    </row>
    <row r="231" spans="1:11">
      <c r="C231" s="180"/>
      <c r="D231" s="180"/>
      <c r="F231" s="180"/>
      <c r="G231" s="180"/>
      <c r="H231"/>
      <c r="I231" s="23"/>
      <c r="J231" s="185" t="s">
        <v>69</v>
      </c>
      <c r="K231" s="18"/>
    </row>
    <row r="232" spans="1:11">
      <c r="I232" s="11"/>
      <c r="J232" s="11"/>
      <c r="K232" s="11"/>
    </row>
    <row r="244" spans="9:11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118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.2"/>
  <cols>
    <col min="1" max="1" width="26.88671875" customWidth="1"/>
    <col min="2" max="2" width="22.88671875" style="1" customWidth="1"/>
    <col min="3" max="5" width="18" style="1" customWidth="1"/>
    <col min="6" max="6" width="15.6640625" style="1" customWidth="1"/>
    <col min="7" max="7" width="15.88671875" style="6" customWidth="1"/>
    <col min="8" max="8" width="15" style="6" customWidth="1"/>
    <col min="9" max="10" width="14.109375" style="6" bestFit="1" customWidth="1"/>
    <col min="11" max="12" width="14.109375" style="6" customWidth="1"/>
    <col min="13" max="14" width="14.6640625" style="6" customWidth="1"/>
    <col min="15" max="15" width="12.5546875" style="6" customWidth="1"/>
    <col min="16" max="16" width="12.6640625" style="6" bestFit="1" customWidth="1"/>
    <col min="17" max="17" width="11.109375" style="6" bestFit="1" customWidth="1"/>
    <col min="18" max="18" width="11.6640625" style="6" bestFit="1" customWidth="1"/>
    <col min="19" max="19" width="10.6640625" style="6" bestFit="1" customWidth="1"/>
    <col min="20" max="20" width="9.109375" style="6"/>
    <col min="21" max="21" width="11.109375" style="6" bestFit="1" customWidth="1"/>
  </cols>
  <sheetData>
    <row r="2" spans="1:21" ht="42" customHeight="1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5" t="s">
        <v>71</v>
      </c>
      <c r="I2" s="65" t="s">
        <v>72</v>
      </c>
      <c r="J2" s="65" t="s">
        <v>73</v>
      </c>
      <c r="K2" s="65" t="s">
        <v>74</v>
      </c>
      <c r="L2" s="65" t="s">
        <v>77</v>
      </c>
      <c r="M2" s="65" t="s">
        <v>75</v>
      </c>
      <c r="N2" s="65" t="s">
        <v>78</v>
      </c>
      <c r="O2" s="46" t="s">
        <v>76</v>
      </c>
    </row>
    <row r="4" spans="1:21">
      <c r="A4" s="18"/>
      <c r="B4" s="64" t="s">
        <v>70</v>
      </c>
    </row>
    <row r="5" spans="1:2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>
      <c r="A7">
        <f>'Purchased Power Model '!A210</f>
        <v>2003</v>
      </c>
      <c r="B7" s="6">
        <f>'Purchased Power Model '!B210</f>
        <v>1232724170</v>
      </c>
      <c r="C7" s="6">
        <f>'Purchased Power Model '!H210</f>
        <v>1214096286.5571823</v>
      </c>
      <c r="D7" s="36">
        <f t="shared" ref="D7" si="0">C7-B7</f>
        <v>-18627883.442817688</v>
      </c>
      <c r="E7" s="5">
        <f t="shared" ref="E7" si="1">D7/B7</f>
        <v>-1.5111152921433908E-2</v>
      </c>
      <c r="F7" s="50">
        <f t="shared" ref="F7:F17" si="2">1 +(B7-G7)/G7</f>
        <v>1.0843424198345466</v>
      </c>
      <c r="G7" s="54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>
      <c r="A8">
        <f>'Purchased Power Model '!A211</f>
        <v>2004</v>
      </c>
      <c r="B8" s="6">
        <f>'Purchased Power Model '!B211</f>
        <v>1178441190</v>
      </c>
      <c r="C8" s="6">
        <f>'Purchased Power Model '!H211</f>
        <v>1198833047.1489887</v>
      </c>
      <c r="D8" s="36">
        <f t="shared" ref="D8:D23" si="5">C8-B8</f>
        <v>20391857.148988724</v>
      </c>
      <c r="E8" s="5">
        <f t="shared" ref="E8:E17" si="6">D8/B8</f>
        <v>1.7304094020159567E-2</v>
      </c>
      <c r="F8" s="50">
        <f t="shared" si="2"/>
        <v>1.0444391156043955</v>
      </c>
      <c r="G8" s="54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>
      <c r="A9">
        <f>'Purchased Power Model '!A212</f>
        <v>2005</v>
      </c>
      <c r="B9" s="6">
        <f>'Purchased Power Model '!B212</f>
        <v>1174501350</v>
      </c>
      <c r="C9" s="6">
        <f>'Purchased Power Model '!H212</f>
        <v>1207050039.1496041</v>
      </c>
      <c r="D9" s="36">
        <f t="shared" si="5"/>
        <v>32548689.149604082</v>
      </c>
      <c r="E9" s="5">
        <f t="shared" si="6"/>
        <v>2.7712772871316054E-2</v>
      </c>
      <c r="F9" s="50">
        <f t="shared" si="2"/>
        <v>1.0431377878987043</v>
      </c>
      <c r="G9" s="54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>
      <c r="A10">
        <f>'Purchased Power Model '!A213</f>
        <v>2006</v>
      </c>
      <c r="B10" s="6">
        <f>'Purchased Power Model '!B213</f>
        <v>1151360440</v>
      </c>
      <c r="C10" s="6">
        <f>'Purchased Power Model '!H213</f>
        <v>1170881307.9356413</v>
      </c>
      <c r="D10" s="36">
        <f t="shared" si="5"/>
        <v>19520867.935641289</v>
      </c>
      <c r="E10" s="5">
        <f t="shared" si="6"/>
        <v>1.6954610613198841E-2</v>
      </c>
      <c r="F10" s="50">
        <f t="shared" si="2"/>
        <v>1.0377634798748767</v>
      </c>
      <c r="G10" s="54">
        <f t="shared" si="3"/>
        <v>1109463247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2205188</v>
      </c>
      <c r="P10" s="6">
        <f t="shared" si="4"/>
        <v>1109463247</v>
      </c>
    </row>
    <row r="11" spans="1:21">
      <c r="A11">
        <f>'Purchased Power Model '!A214</f>
        <v>2007</v>
      </c>
      <c r="B11" s="6">
        <f>'Purchased Power Model '!B214</f>
        <v>1191153590</v>
      </c>
      <c r="C11" s="6">
        <f>'Purchased Power Model '!H214</f>
        <v>1147471680.5230298</v>
      </c>
      <c r="D11" s="36">
        <f t="shared" si="5"/>
        <v>-43681909.476970196</v>
      </c>
      <c r="E11" s="5">
        <f t="shared" si="6"/>
        <v>-3.667193705638766E-2</v>
      </c>
      <c r="F11" s="50">
        <f t="shared" si="2"/>
        <v>1.0414361864542629</v>
      </c>
      <c r="G11" s="54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>
      <c r="A12">
        <f>'Purchased Power Model '!A215</f>
        <v>2008</v>
      </c>
      <c r="B12" s="6">
        <f>'Purchased Power Model '!B215</f>
        <v>1158881926</v>
      </c>
      <c r="C12" s="6">
        <f>'Purchased Power Model '!H215</f>
        <v>1110172412.3567979</v>
      </c>
      <c r="D12" s="36">
        <f t="shared" si="5"/>
        <v>-48709513.643202066</v>
      </c>
      <c r="E12" s="5">
        <f t="shared" si="6"/>
        <v>-4.2031472361751261E-2</v>
      </c>
      <c r="F12" s="50">
        <f t="shared" si="2"/>
        <v>1.0372616891134989</v>
      </c>
      <c r="G12" s="54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>
      <c r="A13">
        <f>'Purchased Power Model '!A216</f>
        <v>2009</v>
      </c>
      <c r="B13" s="6">
        <f>'Purchased Power Model '!B216</f>
        <v>1128390784.5107694</v>
      </c>
      <c r="C13" s="6">
        <f>'Purchased Power Model '!H216</f>
        <v>1126724653.6746798</v>
      </c>
      <c r="D13" s="36">
        <f t="shared" si="5"/>
        <v>-1666130.8360896111</v>
      </c>
      <c r="E13" s="5">
        <f t="shared" si="6"/>
        <v>-1.4765548061543119E-3</v>
      </c>
      <c r="F13" s="50">
        <f t="shared" si="2"/>
        <v>1.0422349455190318</v>
      </c>
      <c r="G13" s="54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>
      <c r="A14">
        <f>'Purchased Power Model '!A217</f>
        <v>2010</v>
      </c>
      <c r="B14" s="6">
        <f>'Purchased Power Model '!B217</f>
        <v>1148489331.8146157</v>
      </c>
      <c r="C14" s="6">
        <f>'Purchased Power Model '!H217</f>
        <v>1129720236.440757</v>
      </c>
      <c r="D14" s="36">
        <f t="shared" si="5"/>
        <v>-18769095.37385869</v>
      </c>
      <c r="E14" s="5">
        <f t="shared" si="6"/>
        <v>-1.6342420302854252E-2</v>
      </c>
      <c r="F14" s="50">
        <f t="shared" si="2"/>
        <v>1.052753523421738</v>
      </c>
      <c r="G14" s="54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>
      <c r="A15">
        <f>'Purchased Power Model '!A218</f>
        <v>2011</v>
      </c>
      <c r="B15" s="6">
        <f>'Purchased Power Model '!B218</f>
        <v>1148632387.3953846</v>
      </c>
      <c r="C15" s="6">
        <f>'Purchased Power Model '!H218</f>
        <v>1164987379.8152349</v>
      </c>
      <c r="D15" s="36">
        <f t="shared" si="5"/>
        <v>16354992.419850349</v>
      </c>
      <c r="E15" s="5">
        <f t="shared" si="6"/>
        <v>1.4238665563781113E-2</v>
      </c>
      <c r="F15" s="50">
        <f t="shared" si="2"/>
        <v>1.0343204804658166</v>
      </c>
      <c r="G15" s="54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>
      <c r="A16">
        <f>'Purchased Power Model '!A219</f>
        <v>2012</v>
      </c>
      <c r="B16" s="6">
        <f>'Purchased Power Model '!B219</f>
        <v>1136211952.670979</v>
      </c>
      <c r="C16" s="6">
        <f>'Purchased Power Model '!H219</f>
        <v>1150628519.5562067</v>
      </c>
      <c r="D16" s="36">
        <f t="shared" si="5"/>
        <v>14416566.88522768</v>
      </c>
      <c r="E16" s="5">
        <f t="shared" si="6"/>
        <v>1.268827251054486E-2</v>
      </c>
      <c r="F16" s="50">
        <f t="shared" si="2"/>
        <v>1.0581384050896951</v>
      </c>
      <c r="G16" s="54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>
      <c r="A17">
        <f>'Purchased Power Model '!A220</f>
        <v>2013</v>
      </c>
      <c r="B17" s="6">
        <f>'Purchased Power Model '!B220</f>
        <v>1130407041.6666667</v>
      </c>
      <c r="C17" s="6">
        <f ca="1">'Purchased Power Model '!H220</f>
        <v>1158628600.9002914</v>
      </c>
      <c r="D17" s="36">
        <f t="shared" ca="1" si="5"/>
        <v>28221559.233624697</v>
      </c>
      <c r="E17" s="5">
        <f t="shared" ca="1" si="6"/>
        <v>2.4965838139167078E-2</v>
      </c>
      <c r="F17" s="50">
        <f t="shared" si="2"/>
        <v>1.0484582752843845</v>
      </c>
      <c r="G17" s="54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>
      <c r="A18">
        <f>'Purchased Power Model '!A221</f>
        <v>2014</v>
      </c>
      <c r="B18" s="6"/>
      <c r="C18" s="420">
        <f ca="1">'Purchased Power Model '!H221</f>
        <v>1152993110.0266783</v>
      </c>
      <c r="D18" s="36">
        <f t="shared" ca="1" si="5"/>
        <v>1152993110.0266783</v>
      </c>
      <c r="E18" s="5"/>
      <c r="F18" s="183"/>
      <c r="G18" s="21">
        <f t="shared" ref="G18:G23" ca="1" si="8">C18/$F$25</f>
        <v>1099554749.2148373</v>
      </c>
      <c r="H18" s="6">
        <f ca="1">+H73</f>
        <v>483864091.75938904</v>
      </c>
      <c r="I18" s="6">
        <f t="shared" ref="I18:O18" ca="1" si="9">+I73</f>
        <v>135450260.13543317</v>
      </c>
      <c r="J18" s="6">
        <f t="shared" ca="1" si="9"/>
        <v>351769937.85468596</v>
      </c>
      <c r="K18" s="6">
        <f t="shared" ca="1" si="9"/>
        <v>43895826.316082679</v>
      </c>
      <c r="L18" s="6">
        <f t="shared" ca="1" si="9"/>
        <v>72645592.446275041</v>
      </c>
      <c r="M18" s="6">
        <f ca="1">+M73</f>
        <v>9157883.1611797065</v>
      </c>
      <c r="N18" s="6">
        <f t="shared" ca="1" si="9"/>
        <v>34961.590134097416</v>
      </c>
      <c r="O18" s="6">
        <f t="shared" ca="1" si="9"/>
        <v>2736195.9516575765</v>
      </c>
      <c r="P18" s="6">
        <f ca="1">SUM(H18:O18)</f>
        <v>1099554749.2148373</v>
      </c>
      <c r="Q18" s="6">
        <f ca="1">+P18-G18</f>
        <v>0</v>
      </c>
    </row>
    <row r="19" spans="1:17">
      <c r="A19">
        <f>'Purchased Power Model '!A222</f>
        <v>2015</v>
      </c>
      <c r="B19" s="6"/>
      <c r="C19" s="420">
        <f ca="1">'Purchased Power Model '!H222</f>
        <v>1152380117.6730201</v>
      </c>
      <c r="D19" s="36">
        <f t="shared" ca="1" si="5"/>
        <v>1152380117.6730201</v>
      </c>
      <c r="E19" s="5"/>
      <c r="F19" s="183"/>
      <c r="G19" s="21">
        <f t="shared" ca="1" si="8"/>
        <v>1098970167.531013</v>
      </c>
      <c r="H19" s="6">
        <f t="shared" ref="H19:O23" ca="1" si="10">+H74</f>
        <v>481434710.21505463</v>
      </c>
      <c r="I19" s="6">
        <f t="shared" ca="1" si="10"/>
        <v>135448037.61472481</v>
      </c>
      <c r="J19" s="6">
        <f t="shared" ca="1" si="10"/>
        <v>359231572.45770758</v>
      </c>
      <c r="K19" s="6">
        <f t="shared" ca="1" si="10"/>
        <v>45523640.275350288</v>
      </c>
      <c r="L19" s="6">
        <f t="shared" ca="1" si="10"/>
        <v>65343892.510189041</v>
      </c>
      <c r="M19" s="6">
        <f t="shared" ca="1" si="10"/>
        <v>9234111.5950369798</v>
      </c>
      <c r="N19" s="6">
        <f t="shared" ca="1" si="10"/>
        <v>34131.37453101245</v>
      </c>
      <c r="O19" s="6">
        <f t="shared" ca="1" si="10"/>
        <v>2720071.4884186508</v>
      </c>
      <c r="P19" s="6">
        <f t="shared" ref="P19:P23" ca="1" si="11">SUM(H19:O19)</f>
        <v>1098970167.531013</v>
      </c>
      <c r="Q19" s="6">
        <f t="shared" ref="Q19:Q23" ca="1" si="12">+P19-G19</f>
        <v>0</v>
      </c>
    </row>
    <row r="20" spans="1:17">
      <c r="A20">
        <f>'Purchased Power Model '!A223</f>
        <v>2016</v>
      </c>
      <c r="B20" s="6"/>
      <c r="C20" s="420">
        <f ca="1">'Purchased Power Model '!H223</f>
        <v>1154601656.4752128</v>
      </c>
      <c r="D20" s="36">
        <f t="shared" ca="1" si="5"/>
        <v>1154601656.4752128</v>
      </c>
      <c r="E20" s="5"/>
      <c r="F20" s="183"/>
      <c r="G20" s="21">
        <f t="shared" ca="1" si="8"/>
        <v>1101088743.5392075</v>
      </c>
      <c r="H20" s="6">
        <f t="shared" ca="1" si="10"/>
        <v>479840944.23191994</v>
      </c>
      <c r="I20" s="6">
        <f t="shared" ca="1" si="10"/>
        <v>135678642.81409588</v>
      </c>
      <c r="J20" s="6">
        <f t="shared" ca="1" si="10"/>
        <v>367445057.52422351</v>
      </c>
      <c r="K20" s="6">
        <f t="shared" ca="1" si="10"/>
        <v>47211819.387944914</v>
      </c>
      <c r="L20" s="6">
        <f t="shared" ca="1" si="10"/>
        <v>58863942.120862857</v>
      </c>
      <c r="M20" s="6">
        <f t="shared" ca="1" si="10"/>
        <v>9310974.5395148899</v>
      </c>
      <c r="N20" s="6">
        <f t="shared" ca="1" si="10"/>
        <v>33320.873647565873</v>
      </c>
      <c r="O20" s="6">
        <f t="shared" ca="1" si="10"/>
        <v>2704042.0469980952</v>
      </c>
      <c r="P20" s="6">
        <f t="shared" ca="1" si="11"/>
        <v>1101088743.5392075</v>
      </c>
      <c r="Q20" s="6">
        <f t="shared" ca="1" si="12"/>
        <v>0</v>
      </c>
    </row>
    <row r="21" spans="1:17">
      <c r="A21">
        <f>'Purchased Power Model '!A224</f>
        <v>2017</v>
      </c>
      <c r="B21" s="6"/>
      <c r="C21" s="420">
        <f ca="1">'Purchased Power Model '!H224</f>
        <v>1151154132.9657023</v>
      </c>
      <c r="D21" s="36">
        <f t="shared" ca="1" si="5"/>
        <v>1151154132.9657023</v>
      </c>
      <c r="E21" s="5"/>
      <c r="F21" s="183"/>
      <c r="G21" s="21">
        <f t="shared" ca="1" si="8"/>
        <v>1097801004.163363</v>
      </c>
      <c r="H21" s="6">
        <f t="shared" ca="1" si="10"/>
        <v>475273703.17544752</v>
      </c>
      <c r="I21" s="6">
        <f t="shared" ca="1" si="10"/>
        <v>135063140.00674233</v>
      </c>
      <c r="J21" s="6">
        <f t="shared" ca="1" si="10"/>
        <v>373650750.2707845</v>
      </c>
      <c r="K21" s="6">
        <f t="shared" ca="1" si="10"/>
        <v>48962602.209271155</v>
      </c>
      <c r="L21" s="6">
        <f t="shared" ca="1" si="10"/>
        <v>52741694.538203083</v>
      </c>
      <c r="M21" s="6">
        <f t="shared" ca="1" si="10"/>
        <v>9388477.2761561275</v>
      </c>
      <c r="N21" s="6">
        <f t="shared" ca="1" si="10"/>
        <v>32529.619328053319</v>
      </c>
      <c r="O21" s="6">
        <f t="shared" ca="1" si="10"/>
        <v>2688107.0674302336</v>
      </c>
      <c r="P21" s="6">
        <f t="shared" ca="1" si="11"/>
        <v>1097801004.163363</v>
      </c>
      <c r="Q21" s="6">
        <f t="shared" ca="1" si="12"/>
        <v>0</v>
      </c>
    </row>
    <row r="22" spans="1:17">
      <c r="A22">
        <f>'Purchased Power Model '!A225</f>
        <v>2018</v>
      </c>
      <c r="B22" s="6"/>
      <c r="C22" s="420">
        <f ca="1">'Purchased Power Model '!H225</f>
        <v>1150541140.6120434</v>
      </c>
      <c r="D22" s="36">
        <f t="shared" ca="1" si="5"/>
        <v>1150541140.6120434</v>
      </c>
      <c r="E22" s="5"/>
      <c r="F22" s="183"/>
      <c r="G22" s="21">
        <f t="shared" ca="1" si="8"/>
        <v>1097216422.479538</v>
      </c>
      <c r="H22" s="6">
        <f t="shared" ca="1" si="10"/>
        <v>471616586.02645439</v>
      </c>
      <c r="I22" s="6">
        <f t="shared" ca="1" si="10"/>
        <v>134697952.99138987</v>
      </c>
      <c r="J22" s="6">
        <f t="shared" ca="1" si="10"/>
        <v>380620798.6447587</v>
      </c>
      <c r="K22" s="6">
        <f t="shared" ca="1" si="10"/>
        <v>50778310.308360226</v>
      </c>
      <c r="L22" s="6">
        <f t="shared" ca="1" si="10"/>
        <v>47332126.230525479</v>
      </c>
      <c r="M22" s="6">
        <f t="shared" ca="1" si="10"/>
        <v>9466625.1304659192</v>
      </c>
      <c r="N22" s="6">
        <f t="shared" ca="1" si="10"/>
        <v>31757.154533832614</v>
      </c>
      <c r="O22" s="6">
        <f t="shared" ca="1" si="10"/>
        <v>2672265.9930492793</v>
      </c>
      <c r="P22" s="6">
        <f t="shared" ca="1" si="11"/>
        <v>1097216422.4795377</v>
      </c>
      <c r="Q22" s="6">
        <f t="shared" ca="1" si="12"/>
        <v>0</v>
      </c>
    </row>
    <row r="23" spans="1:17">
      <c r="A23">
        <f>'Purchased Power Model '!A226</f>
        <v>2019</v>
      </c>
      <c r="B23" s="6"/>
      <c r="C23" s="420">
        <f ca="1">'Purchased Power Model '!H226</f>
        <v>1149928148.2583847</v>
      </c>
      <c r="D23" s="36">
        <f t="shared" ca="1" si="5"/>
        <v>1149928148.2583847</v>
      </c>
      <c r="E23" s="5"/>
      <c r="F23" s="183"/>
      <c r="G23" s="21">
        <f t="shared" ca="1" si="8"/>
        <v>1096631840.7957132</v>
      </c>
      <c r="H23" s="6">
        <f t="shared" ca="1" si="10"/>
        <v>467620617.96628708</v>
      </c>
      <c r="I23" s="6">
        <f t="shared" ca="1" si="10"/>
        <v>134228410.09195355</v>
      </c>
      <c r="J23" s="6">
        <f t="shared" ca="1" si="10"/>
        <v>387439091.94967157</v>
      </c>
      <c r="K23" s="6">
        <f t="shared" ca="1" si="10"/>
        <v>52661351.346311636</v>
      </c>
      <c r="L23" s="6">
        <f t="shared" ca="1" si="10"/>
        <v>42449424.665662229</v>
      </c>
      <c r="M23" s="6">
        <f t="shared" ca="1" si="10"/>
        <v>9545423.4722779542</v>
      </c>
      <c r="N23" s="6">
        <f t="shared" ca="1" si="10"/>
        <v>31003.033079332334</v>
      </c>
      <c r="O23" s="6">
        <f t="shared" ca="1" si="10"/>
        <v>2656518.2704698895</v>
      </c>
      <c r="P23" s="6">
        <f t="shared" ca="1" si="11"/>
        <v>1096631840.7957132</v>
      </c>
      <c r="Q23" s="6">
        <f t="shared" ca="1" si="12"/>
        <v>0</v>
      </c>
    </row>
    <row r="25" spans="1:17">
      <c r="A25" s="19" t="s">
        <v>12</v>
      </c>
      <c r="E25" s="426" t="s">
        <v>303</v>
      </c>
      <c r="F25" s="197">
        <v>1.0486</v>
      </c>
      <c r="G25" s="185" t="s">
        <v>204</v>
      </c>
      <c r="H25" s="185"/>
      <c r="I25" s="185"/>
      <c r="J25" s="185"/>
    </row>
    <row r="26" spans="1:17">
      <c r="E26" t="s">
        <v>74</v>
      </c>
      <c r="F26" s="197">
        <v>1.0449999999999999</v>
      </c>
      <c r="G26" s="185" t="s">
        <v>205</v>
      </c>
      <c r="H26" s="185"/>
      <c r="I26" s="185"/>
      <c r="J26" s="185"/>
    </row>
    <row r="27" spans="1:17">
      <c r="E27"/>
      <c r="G27" s="196" t="s">
        <v>104</v>
      </c>
      <c r="H27" s="185"/>
      <c r="I27" s="185"/>
      <c r="J27" s="185"/>
    </row>
    <row r="28" spans="1:17">
      <c r="A28" s="22" t="s">
        <v>14</v>
      </c>
      <c r="B28" s="13"/>
    </row>
    <row r="30" spans="1:17">
      <c r="A30">
        <f t="shared" ref="A30:A39" si="13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>
      <c r="A31">
        <f t="shared" si="13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>
      <c r="A32">
        <f t="shared" si="13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>
      <c r="A33">
        <f t="shared" si="13"/>
        <v>2006</v>
      </c>
      <c r="G33" s="27">
        <f>G10/'Rate Class Customer Model'!J6</f>
        <v>18226.017446301696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7399.959731543624</v>
      </c>
      <c r="P33" s="27">
        <f>P10/'Rate Class Customer Model'!J6</f>
        <v>18226.017446301696</v>
      </c>
    </row>
    <row r="34" spans="1:16">
      <c r="A34">
        <f t="shared" si="13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>
      <c r="A35">
        <f t="shared" si="13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>
      <c r="A36">
        <f t="shared" si="13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>
      <c r="A37">
        <f t="shared" si="13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>
      <c r="A38">
        <f t="shared" si="13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>
      <c r="A39">
        <f t="shared" si="13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>
      <c r="A40">
        <f t="shared" ref="A40:A46" si="14">A17</f>
        <v>2013</v>
      </c>
      <c r="B40" s="183"/>
      <c r="C40" s="183"/>
      <c r="D40" s="183"/>
      <c r="E40" s="183"/>
      <c r="F40" s="183"/>
      <c r="G40" s="27">
        <f>G17/'Rate Class Customer Model'!J13</f>
        <v>16195.537264444994</v>
      </c>
      <c r="H40" s="27">
        <f>H17/'Rate Class Customer Model'!B13</f>
        <v>9599.5324069398721</v>
      </c>
      <c r="I40" s="27">
        <f>I17/'Rate Class Customer Model'!C13</f>
        <v>33926.737057919017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736.74986818089633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16195.537264444994</v>
      </c>
    </row>
    <row r="41" spans="1:16">
      <c r="A41">
        <f t="shared" si="14"/>
        <v>2014</v>
      </c>
      <c r="B41" s="183"/>
      <c r="C41" s="183"/>
      <c r="D41" s="183"/>
      <c r="E41" s="183"/>
      <c r="F41" s="183"/>
      <c r="G41" s="21">
        <f ca="1">G18/'Rate Class Customer Model'!J14</f>
        <v>16286.794690044848</v>
      </c>
      <c r="H41" s="21">
        <f>+H40*H$60</f>
        <v>9508.0887020472655</v>
      </c>
      <c r="I41" s="21">
        <f t="shared" ref="I41:O46" si="15">+I40*I$60</f>
        <v>34035.181643015916</v>
      </c>
      <c r="J41" s="21">
        <f t="shared" si="15"/>
        <v>694278.94989987242</v>
      </c>
      <c r="K41" s="21">
        <f t="shared" si="15"/>
        <v>43895826.316082679</v>
      </c>
      <c r="L41" s="21">
        <f t="shared" si="15"/>
        <v>6524007.6214979915</v>
      </c>
      <c r="M41" s="21">
        <f t="shared" si="15"/>
        <v>727.92739975156644</v>
      </c>
      <c r="N41" s="21">
        <f t="shared" si="15"/>
        <v>1510.5695319005463</v>
      </c>
      <c r="O41" s="21">
        <f t="shared" si="15"/>
        <v>9265.764620592272</v>
      </c>
      <c r="P41" s="27">
        <f>+G65/'Rate Class Customer Model'!J14</f>
        <v>16076.648807278403</v>
      </c>
    </row>
    <row r="42" spans="1:16">
      <c r="A42">
        <f t="shared" si="14"/>
        <v>2015</v>
      </c>
      <c r="B42" s="183"/>
      <c r="C42" s="183"/>
      <c r="D42" s="183"/>
      <c r="E42" s="183"/>
      <c r="F42" s="183"/>
      <c r="G42" s="21">
        <f ca="1">G19/'Rate Class Customer Model'!J15</f>
        <v>16051.117467935126</v>
      </c>
      <c r="H42" s="21">
        <f t="shared" ref="H42:H46" si="16">+H41*H$60</f>
        <v>9417.5160761624702</v>
      </c>
      <c r="I42" s="21">
        <f t="shared" si="15"/>
        <v>34143.972864101321</v>
      </c>
      <c r="J42" s="21">
        <f t="shared" si="15"/>
        <v>714905.69489483244</v>
      </c>
      <c r="K42" s="21">
        <f t="shared" si="15"/>
        <v>45523640.275350288</v>
      </c>
      <c r="L42" s="21">
        <f t="shared" si="15"/>
        <v>5913257.2005415149</v>
      </c>
      <c r="M42" s="21">
        <f t="shared" si="15"/>
        <v>719.21057904957001</v>
      </c>
      <c r="N42" s="21">
        <f t="shared" si="15"/>
        <v>1529.1993593474156</v>
      </c>
      <c r="O42" s="21">
        <f t="shared" si="15"/>
        <v>9201.7508368083654</v>
      </c>
      <c r="P42" s="27">
        <f>+G66/'Rate Class Customer Model'!J15</f>
        <v>15973.283893534248</v>
      </c>
    </row>
    <row r="43" spans="1:16">
      <c r="A43">
        <f t="shared" si="14"/>
        <v>2016</v>
      </c>
      <c r="B43" s="183"/>
      <c r="C43" s="183"/>
      <c r="D43" s="183"/>
      <c r="E43" s="183"/>
      <c r="F43" s="183"/>
      <c r="G43" s="21">
        <f ca="1">G20/'Rate Class Customer Model'!J16</f>
        <v>15857.540423416298</v>
      </c>
      <c r="H43" s="21">
        <f t="shared" si="16"/>
        <v>9327.8062315175994</v>
      </c>
      <c r="I43" s="21">
        <f t="shared" si="15"/>
        <v>34253.111829174384</v>
      </c>
      <c r="J43" s="21">
        <f t="shared" si="15"/>
        <v>736145.25208746665</v>
      </c>
      <c r="K43" s="21">
        <f t="shared" si="15"/>
        <v>47211819.387944914</v>
      </c>
      <c r="L43" s="21">
        <f t="shared" si="15"/>
        <v>5359682.6902123261</v>
      </c>
      <c r="M43" s="21">
        <f t="shared" si="15"/>
        <v>710.59814095932404</v>
      </c>
      <c r="N43" s="21">
        <f t="shared" si="15"/>
        <v>1548.0589481282525</v>
      </c>
      <c r="O43" s="21">
        <f t="shared" si="15"/>
        <v>9138.1793008779423</v>
      </c>
      <c r="P43" s="27">
        <f>+G67/'Rate Class Customer Model'!J16</f>
        <v>15884.038737712415</v>
      </c>
    </row>
    <row r="44" spans="1:16">
      <c r="A44">
        <f t="shared" si="14"/>
        <v>2017</v>
      </c>
      <c r="B44" s="183"/>
      <c r="C44" s="183"/>
      <c r="D44" s="183"/>
      <c r="E44" s="183"/>
      <c r="F44" s="183"/>
      <c r="G44" s="21">
        <f ca="1">G21/'Rate Class Customer Model'!J17</f>
        <v>15589.235432134275</v>
      </c>
      <c r="H44" s="21">
        <f t="shared" si="16"/>
        <v>9238.9509493880578</v>
      </c>
      <c r="I44" s="21">
        <f t="shared" si="15"/>
        <v>34362.599649775904</v>
      </c>
      <c r="J44" s="21">
        <f t="shared" si="15"/>
        <v>758015.82787872257</v>
      </c>
      <c r="K44" s="21">
        <f t="shared" si="15"/>
        <v>48962602.209271155</v>
      </c>
      <c r="L44" s="21">
        <f t="shared" si="15"/>
        <v>4857931.5198958358</v>
      </c>
      <c r="M44" s="21">
        <f t="shared" si="15"/>
        <v>702.08883551481347</v>
      </c>
      <c r="N44" s="21">
        <f t="shared" si="15"/>
        <v>1567.1511318855441</v>
      </c>
      <c r="O44" s="21">
        <f t="shared" si="15"/>
        <v>9075.0469574720973</v>
      </c>
      <c r="P44" s="27">
        <f>+G68/'Rate Class Customer Model'!J17</f>
        <v>15807.660400302068</v>
      </c>
    </row>
    <row r="45" spans="1:16">
      <c r="A45">
        <f t="shared" si="14"/>
        <v>2018</v>
      </c>
      <c r="B45" s="183"/>
      <c r="C45" s="183"/>
      <c r="D45" s="183"/>
      <c r="E45" s="183"/>
      <c r="F45" s="183"/>
      <c r="G45" s="21">
        <f ca="1">G22/'Rate Class Customer Model'!J18</f>
        <v>15362.954962401294</v>
      </c>
      <c r="H45" s="21">
        <f t="shared" si="16"/>
        <v>9150.9420893395891</v>
      </c>
      <c r="I45" s="21">
        <f t="shared" si="15"/>
        <v>34472.437440999653</v>
      </c>
      <c r="J45" s="21">
        <f t="shared" si="15"/>
        <v>780536.16957430879</v>
      </c>
      <c r="K45" s="21">
        <f t="shared" si="15"/>
        <v>50778310.308360226</v>
      </c>
      <c r="L45" s="21">
        <f t="shared" si="15"/>
        <v>4403152.2043448733</v>
      </c>
      <c r="M45" s="21">
        <f t="shared" si="15"/>
        <v>693.6814277181777</v>
      </c>
      <c r="N45" s="21">
        <f t="shared" si="15"/>
        <v>1586.478779209041</v>
      </c>
      <c r="O45" s="21">
        <f t="shared" si="15"/>
        <v>9012.3507723700768</v>
      </c>
      <c r="P45" s="27">
        <f>+G69/'Rate Class Customer Model'!J18</f>
        <v>15743.030872691734</v>
      </c>
    </row>
    <row r="46" spans="1:16">
      <c r="A46">
        <f t="shared" si="14"/>
        <v>2019</v>
      </c>
      <c r="B46" s="183"/>
      <c r="C46" s="183"/>
      <c r="D46" s="183"/>
      <c r="E46" s="183"/>
      <c r="F46" s="183"/>
      <c r="G46" s="21">
        <f ca="1">G23/'Rate Class Customer Model'!J19</f>
        <v>15139.731645066589</v>
      </c>
      <c r="H46" s="21">
        <f t="shared" si="16"/>
        <v>9063.7715884824902</v>
      </c>
      <c r="I46" s="21">
        <f t="shared" si="15"/>
        <v>34582.626321503718</v>
      </c>
      <c r="J46" s="21">
        <f t="shared" si="15"/>
        <v>803725.58145475539</v>
      </c>
      <c r="K46" s="21">
        <f t="shared" si="15"/>
        <v>52661351.346311636</v>
      </c>
      <c r="L46" s="21">
        <f t="shared" si="15"/>
        <v>3990947.4341546157</v>
      </c>
      <c r="M46" s="21">
        <f t="shared" si="15"/>
        <v>685.3746973604691</v>
      </c>
      <c r="N46" s="21">
        <f t="shared" si="15"/>
        <v>1606.0447940667605</v>
      </c>
      <c r="O46" s="21">
        <f t="shared" si="15"/>
        <v>8950.08773231345</v>
      </c>
      <c r="P46" s="27">
        <f>+G70/'Rate Class Customer Model'!J19</f>
        <v>15689.152843774544</v>
      </c>
    </row>
    <row r="48" spans="1:16">
      <c r="A48" s="37">
        <v>2003</v>
      </c>
      <c r="D48" s="6"/>
      <c r="G48" s="203"/>
      <c r="H48" s="203"/>
      <c r="I48" s="203"/>
      <c r="J48" s="203"/>
      <c r="K48" s="203"/>
      <c r="L48" s="203"/>
      <c r="M48" s="203"/>
      <c r="N48" s="203"/>
      <c r="O48" s="203"/>
    </row>
    <row r="49" spans="1:15">
      <c r="A49" s="37">
        <v>2004</v>
      </c>
      <c r="D49" s="6"/>
      <c r="G49" s="25">
        <f t="shared" ref="G49" si="17">G31/G30</f>
        <v>0.97947588338602443</v>
      </c>
      <c r="H49" s="25">
        <f t="shared" ref="H49:H58" si="18">H31/H30</f>
        <v>0.96459208328463042</v>
      </c>
      <c r="I49" s="25">
        <f t="shared" ref="I49:N53" si="19">I31/I30</f>
        <v>1.0908582778368565</v>
      </c>
      <c r="J49" s="25">
        <f t="shared" si="19"/>
        <v>1.3524359755748323</v>
      </c>
      <c r="K49" s="25">
        <f t="shared" si="19"/>
        <v>0.66256671927643851</v>
      </c>
      <c r="L49" s="25">
        <f t="shared" si="19"/>
        <v>0.56908460757775015</v>
      </c>
      <c r="M49" s="25">
        <f>M31/M30</f>
        <v>1.0251639423944985</v>
      </c>
      <c r="N49" s="25">
        <f t="shared" si="19"/>
        <v>0.70253507828110928</v>
      </c>
      <c r="O49" s="25">
        <f t="shared" ref="O49" si="20">O31/O30</f>
        <v>1</v>
      </c>
    </row>
    <row r="50" spans="1:15">
      <c r="A50" s="37">
        <v>2005</v>
      </c>
      <c r="D50" s="6"/>
      <c r="G50" s="25">
        <f t="shared" ref="G50" si="21">G32/G31</f>
        <v>0.98310260978987285</v>
      </c>
      <c r="H50" s="25">
        <f t="shared" si="18"/>
        <v>1.0693485844030812</v>
      </c>
      <c r="I50" s="25">
        <f t="shared" si="19"/>
        <v>1.0353312923384042</v>
      </c>
      <c r="J50" s="25">
        <f t="shared" si="19"/>
        <v>1.0200491597243926</v>
      </c>
      <c r="K50" s="25">
        <f t="shared" si="19"/>
        <v>0.70116014965232798</v>
      </c>
      <c r="L50" s="25">
        <f t="shared" si="19"/>
        <v>0.81633341387002645</v>
      </c>
      <c r="M50" s="25">
        <f>M32/M31</f>
        <v>1.0266511605702138</v>
      </c>
      <c r="N50" s="25">
        <f t="shared" si="19"/>
        <v>1.5789925790723871</v>
      </c>
      <c r="O50" s="25">
        <f t="shared" ref="O50" si="22">O32/O31</f>
        <v>1</v>
      </c>
    </row>
    <row r="51" spans="1:15">
      <c r="A51" s="37">
        <v>2006</v>
      </c>
      <c r="D51" s="6"/>
      <c r="G51" s="25">
        <f t="shared" ref="G51" si="23">G33/G32</f>
        <v>0.96501006988957627</v>
      </c>
      <c r="H51" s="25">
        <f t="shared" si="18"/>
        <v>0.94199681266597912</v>
      </c>
      <c r="I51" s="25">
        <f t="shared" si="19"/>
        <v>0.96638399951958032</v>
      </c>
      <c r="J51" s="25">
        <f t="shared" si="19"/>
        <v>0.97995192900219585</v>
      </c>
      <c r="K51" s="25">
        <f t="shared" si="19"/>
        <v>0.94832850124568335</v>
      </c>
      <c r="L51" s="25">
        <f t="shared" si="19"/>
        <v>1.060119217212701</v>
      </c>
      <c r="M51" s="25">
        <f>M33/M32</f>
        <v>0.9920529522224395</v>
      </c>
      <c r="N51" s="25">
        <f t="shared" si="19"/>
        <v>1.0206625785010248</v>
      </c>
      <c r="O51" s="25">
        <f t="shared" ref="O51" si="24">O33/O32</f>
        <v>0.73999597315436239</v>
      </c>
    </row>
    <row r="52" spans="1:15">
      <c r="A52" s="37">
        <v>2007</v>
      </c>
      <c r="D52" s="6"/>
      <c r="G52" s="25">
        <f t="shared" ref="G52" si="25">G34/G33</f>
        <v>1.0087327848038072</v>
      </c>
      <c r="H52" s="25">
        <f t="shared" si="18"/>
        <v>0.9949077206372462</v>
      </c>
      <c r="I52" s="25">
        <f t="shared" si="19"/>
        <v>0.98427327954005928</v>
      </c>
      <c r="J52" s="25">
        <f t="shared" si="19"/>
        <v>1.0096097961620669</v>
      </c>
      <c r="K52" s="25">
        <f t="shared" si="19"/>
        <v>1.0361649490467149</v>
      </c>
      <c r="L52" s="25">
        <f t="shared" si="19"/>
        <v>1.2183426165249025</v>
      </c>
      <c r="M52" s="25">
        <f>M34/M33</f>
        <v>0.99141299957141205</v>
      </c>
      <c r="N52" s="25">
        <f t="shared" si="19"/>
        <v>1.0455013986494117</v>
      </c>
      <c r="O52" s="25">
        <f t="shared" ref="O52" si="26">O34/O33</f>
        <v>1.7145038076532986</v>
      </c>
    </row>
    <row r="53" spans="1:15">
      <c r="A53" s="37">
        <v>2008</v>
      </c>
      <c r="D53" s="6"/>
      <c r="G53" s="25">
        <f t="shared" ref="G53" si="27">G35/G34</f>
        <v>0.95934324471684929</v>
      </c>
      <c r="H53" s="25">
        <f t="shared" si="18"/>
        <v>0.97953259079188659</v>
      </c>
      <c r="I53" s="25">
        <f t="shared" si="19"/>
        <v>0.98470012831565834</v>
      </c>
      <c r="J53" s="25">
        <f t="shared" si="19"/>
        <v>0.96254198971188476</v>
      </c>
      <c r="K53" s="25">
        <f t="shared" si="19"/>
        <v>0.60132190195387458</v>
      </c>
      <c r="L53" s="25">
        <f t="shared" si="19"/>
        <v>0.98616804619720932</v>
      </c>
      <c r="M53" s="25">
        <f>M35/M34</f>
        <v>0.97279018442106457</v>
      </c>
      <c r="N53" s="25">
        <f t="shared" si="19"/>
        <v>0.96569457035429807</v>
      </c>
      <c r="O53" s="25">
        <f t="shared" ref="O53" si="28">O35/O34</f>
        <v>0.88321346787592647</v>
      </c>
    </row>
    <row r="54" spans="1:15">
      <c r="A54" s="37">
        <v>2009</v>
      </c>
      <c r="D54" s="6"/>
      <c r="G54" s="25">
        <f t="shared" ref="G54" si="29">G36/G35</f>
        <v>0.95720347132836214</v>
      </c>
      <c r="H54" s="25">
        <f t="shared" si="18"/>
        <v>0.98279461300438953</v>
      </c>
      <c r="I54" s="25">
        <f t="shared" ref="I54:O54" si="30">I36/I35</f>
        <v>0.95421384004790699</v>
      </c>
      <c r="J54" s="25">
        <f t="shared" si="30"/>
        <v>1.0079837456600111</v>
      </c>
      <c r="K54" s="25">
        <f t="shared" si="30"/>
        <v>0.98416608731004862</v>
      </c>
      <c r="L54" s="25">
        <f t="shared" si="30"/>
        <v>0.80682902472712614</v>
      </c>
      <c r="M54" s="25">
        <f t="shared" si="30"/>
        <v>1.0330797319726048</v>
      </c>
      <c r="N54" s="25">
        <f>N36/N35</f>
        <v>0.93778196926057145</v>
      </c>
      <c r="O54" s="25">
        <f t="shared" si="30"/>
        <v>0.83354590562373465</v>
      </c>
    </row>
    <row r="55" spans="1:15">
      <c r="A55" s="37">
        <v>2010</v>
      </c>
      <c r="D55" s="6"/>
      <c r="G55" s="25">
        <f t="shared" ref="G55:O58" si="31">G37/G36</f>
        <v>0.99574816087047791</v>
      </c>
      <c r="H55" s="25">
        <f t="shared" si="18"/>
        <v>1.0083079826061891</v>
      </c>
      <c r="I55" s="25">
        <f t="shared" ref="I55:O55" si="32">I37/I36</f>
        <v>1.0073453774605363</v>
      </c>
      <c r="J55" s="25">
        <f t="shared" si="32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32"/>
        <v>1.0054949504946402</v>
      </c>
      <c r="N55" s="25">
        <f>N37/N36</f>
        <v>1.0122983257229832</v>
      </c>
      <c r="O55" s="25">
        <f t="shared" si="32"/>
        <v>0.98906133534923335</v>
      </c>
    </row>
    <row r="56" spans="1:15">
      <c r="A56" s="37">
        <v>2011</v>
      </c>
      <c r="B56" s="183"/>
      <c r="C56" s="183"/>
      <c r="D56" s="6"/>
      <c r="E56" s="183"/>
      <c r="F56" s="183"/>
      <c r="G56" s="25">
        <f t="shared" si="31"/>
        <v>1.0081531246371136</v>
      </c>
      <c r="H56" s="25">
        <f t="shared" si="18"/>
        <v>1.0048269554705549</v>
      </c>
      <c r="I56" s="25">
        <f t="shared" si="31"/>
        <v>1.0443860346710048</v>
      </c>
      <c r="J56" s="25">
        <f t="shared" si="31"/>
        <v>0.99654922429387527</v>
      </c>
      <c r="K56" s="25">
        <f t="shared" si="31"/>
        <v>1.129867580116052</v>
      </c>
      <c r="L56" s="25">
        <f t="shared" si="31"/>
        <v>0.98916698473014308</v>
      </c>
      <c r="M56" s="25">
        <f t="shared" si="31"/>
        <v>0.97252712875515746</v>
      </c>
      <c r="N56" s="25">
        <f>N38/N37</f>
        <v>1.0416666666666667</v>
      </c>
      <c r="O56" s="25">
        <f t="shared" si="31"/>
        <v>0.99086782815227392</v>
      </c>
    </row>
    <row r="57" spans="1:15">
      <c r="A57" s="37">
        <v>2012</v>
      </c>
      <c r="B57" s="183"/>
      <c r="C57" s="183"/>
      <c r="D57" s="6"/>
      <c r="E57" s="183"/>
      <c r="F57" s="183"/>
      <c r="G57" s="25">
        <f t="shared" si="31"/>
        <v>0.96101760740704145</v>
      </c>
      <c r="H57" s="25">
        <f t="shared" si="18"/>
        <v>0.96931239576818207</v>
      </c>
      <c r="I57" s="25">
        <f t="shared" si="31"/>
        <v>0.97931825637170078</v>
      </c>
      <c r="J57" s="25">
        <f t="shared" si="31"/>
        <v>0.95761565939939775</v>
      </c>
      <c r="K57" s="25">
        <f t="shared" si="31"/>
        <v>1.0813985453740536</v>
      </c>
      <c r="L57" s="25">
        <f t="shared" si="31"/>
        <v>0.91567351998470703</v>
      </c>
      <c r="M57" s="25">
        <f t="shared" si="31"/>
        <v>0.98202534647603412</v>
      </c>
      <c r="N57" s="25">
        <f t="shared" si="31"/>
        <v>1</v>
      </c>
      <c r="O57" s="25">
        <f t="shared" si="31"/>
        <v>1.0150648481935254</v>
      </c>
    </row>
    <row r="58" spans="1:15">
      <c r="A58" s="37">
        <v>2013</v>
      </c>
      <c r="B58" s="183"/>
      <c r="C58" s="183"/>
      <c r="D58" s="6"/>
      <c r="E58" s="183"/>
      <c r="F58" s="183"/>
      <c r="G58" s="25">
        <f t="shared" si="31"/>
        <v>0.99435576755190902</v>
      </c>
      <c r="H58" s="25">
        <f t="shared" si="18"/>
        <v>0.99427454911197943</v>
      </c>
      <c r="I58" s="25">
        <f t="shared" si="31"/>
        <v>0.99273581472854766</v>
      </c>
      <c r="J58" s="25">
        <f t="shared" si="31"/>
        <v>1.019314763084143</v>
      </c>
      <c r="K58" s="25">
        <f t="shared" si="31"/>
        <v>1.0370835702589611</v>
      </c>
      <c r="L58" s="25">
        <f t="shared" si="31"/>
        <v>0.98371919806127561</v>
      </c>
      <c r="M58" s="25">
        <f t="shared" si="31"/>
        <v>0.88739499599922278</v>
      </c>
      <c r="N58" s="25">
        <f t="shared" si="31"/>
        <v>1</v>
      </c>
      <c r="O58" s="25">
        <f t="shared" si="31"/>
        <v>1.0041447017954275</v>
      </c>
    </row>
    <row r="59" spans="1:15">
      <c r="A59" s="3"/>
      <c r="D59" s="6"/>
      <c r="E59" s="6"/>
      <c r="F59" s="6"/>
    </row>
    <row r="60" spans="1:15">
      <c r="A60" t="s">
        <v>16</v>
      </c>
      <c r="D60" s="6"/>
      <c r="G60" s="99">
        <f t="shared" ref="G60" si="33">G62</f>
        <v>0.9810311601810523</v>
      </c>
      <c r="H60" s="99">
        <f>H62</f>
        <v>0.99047415009230044</v>
      </c>
      <c r="I60" s="99">
        <f t="shared" ref="I60:M60" si="34">I62</f>
        <v>1.0031964342728203</v>
      </c>
      <c r="J60" s="99">
        <f>J62</f>
        <v>1.029709592949541</v>
      </c>
      <c r="K60" s="99">
        <f>+K58</f>
        <v>1.0370835702589611</v>
      </c>
      <c r="L60" s="99">
        <f t="shared" si="34"/>
        <v>0.90638416501171393</v>
      </c>
      <c r="M60" s="99">
        <f t="shared" si="34"/>
        <v>0.98802515099037158</v>
      </c>
      <c r="N60" s="99">
        <f>N62</f>
        <v>1.0123329823973279</v>
      </c>
      <c r="O60" s="99">
        <f>O62</f>
        <v>0.99309136521322361</v>
      </c>
    </row>
    <row r="61" spans="1:15">
      <c r="A61" s="3"/>
      <c r="D61" s="6"/>
      <c r="G61" s="13"/>
      <c r="H61" s="13"/>
      <c r="I61" s="13"/>
      <c r="M61" s="11"/>
      <c r="N61" s="11"/>
      <c r="O61" s="11"/>
    </row>
    <row r="62" spans="1:15">
      <c r="A62" s="66" t="s">
        <v>103</v>
      </c>
      <c r="D62" s="6"/>
      <c r="G62" s="25">
        <f t="shared" ref="G62:O62" si="35">GEOMEAN(G49:G58)</f>
        <v>0.9810311601810523</v>
      </c>
      <c r="H62" s="25">
        <f t="shared" si="35"/>
        <v>0.99047415009230044</v>
      </c>
      <c r="I62" s="25">
        <f t="shared" si="35"/>
        <v>1.0031964342728203</v>
      </c>
      <c r="J62" s="25">
        <f t="shared" si="35"/>
        <v>1.029709592949541</v>
      </c>
      <c r="K62" s="25">
        <f t="shared" si="35"/>
        <v>0.95411391539303769</v>
      </c>
      <c r="L62" s="25">
        <f t="shared" si="35"/>
        <v>0.90638416501171393</v>
      </c>
      <c r="M62" s="25">
        <f t="shared" si="35"/>
        <v>0.98802515099037158</v>
      </c>
      <c r="N62" s="25">
        <f t="shared" si="35"/>
        <v>1.0123329823973279</v>
      </c>
      <c r="O62" s="25">
        <f t="shared" si="35"/>
        <v>0.99309136521322361</v>
      </c>
    </row>
    <row r="63" spans="1:15">
      <c r="D63" s="6"/>
      <c r="H63" s="25"/>
      <c r="I63" s="25"/>
      <c r="J63" s="25"/>
      <c r="K63" s="25"/>
      <c r="L63" s="25"/>
      <c r="M63" s="25"/>
      <c r="N63" s="25"/>
      <c r="O63" s="25"/>
    </row>
    <row r="64" spans="1:15">
      <c r="A64" s="19" t="s">
        <v>44</v>
      </c>
    </row>
    <row r="65" spans="1:16">
      <c r="A65">
        <v>2014</v>
      </c>
      <c r="G65" s="36">
        <f>SUM(H65:O65)</f>
        <v>1085367371.7829216</v>
      </c>
      <c r="H65" s="36">
        <f>+H41*'Rate Class Customer Model'!B14</f>
        <v>477086084.12561047</v>
      </c>
      <c r="I65" s="36">
        <f>I41*'Rate Class Customer Model'!C14</f>
        <v>133552861.85184284</v>
      </c>
      <c r="J65" s="36">
        <f>J41*'Rate Class Customer Model'!D14</f>
        <v>347139474.94993621</v>
      </c>
      <c r="K65" s="36">
        <f>K41*'Rate Class Customer Model'!E14</f>
        <v>43895826.316082679</v>
      </c>
      <c r="L65" s="36">
        <f>L41*'Rate Class Customer Model'!F14</f>
        <v>71764083.836477906</v>
      </c>
      <c r="M65" s="36">
        <f>M41*'Rate Class Customer Model'!G14</f>
        <v>9157883.1611797065</v>
      </c>
      <c r="N65" s="36">
        <f>N41*'Rate Class Customer Model'!H14</f>
        <v>34961.590134097416</v>
      </c>
      <c r="O65" s="36">
        <f>O41*'Rate Class Customer Model'!I14</f>
        <v>2736195.9516575765</v>
      </c>
      <c r="P65" s="36"/>
    </row>
    <row r="66" spans="1:16">
      <c r="A66">
        <v>2015</v>
      </c>
      <c r="G66" s="36">
        <f>SUM(H66:O66)</f>
        <v>1093641144.3979044</v>
      </c>
      <c r="H66" s="36">
        <f>+H42*'Rate Class Customer Model'!B15</f>
        <v>478896563.81211978</v>
      </c>
      <c r="I66" s="36">
        <f>I42*'Rate Class Customer Model'!C15</f>
        <v>134733949.19907477</v>
      </c>
      <c r="J66" s="36">
        <f>J42*'Rate Class Customer Model'!D15</f>
        <v>357452847.44741625</v>
      </c>
      <c r="K66" s="36">
        <f>K42*'Rate Class Customer Model'!E15</f>
        <v>45523640.275350288</v>
      </c>
      <c r="L66" s="36">
        <f>L42*'Rate Class Customer Model'!F15</f>
        <v>65045829.205956668</v>
      </c>
      <c r="M66" s="36">
        <f>M42*'Rate Class Customer Model'!G15</f>
        <v>9234111.5950369798</v>
      </c>
      <c r="N66" s="36">
        <f>N42*'Rate Class Customer Model'!H15</f>
        <v>34131.37453101245</v>
      </c>
      <c r="O66" s="36">
        <f>O42*'Rate Class Customer Model'!I15</f>
        <v>2720071.4884186508</v>
      </c>
      <c r="P66" s="36"/>
    </row>
    <row r="67" spans="1:16">
      <c r="A67">
        <v>2016</v>
      </c>
      <c r="B67" s="183"/>
      <c r="C67" s="183"/>
      <c r="D67" s="183"/>
      <c r="E67" s="183"/>
      <c r="F67" s="183"/>
      <c r="G67" s="36">
        <f t="shared" ref="G67:G70" si="36">SUM(H67:O67)</f>
        <v>1102928688.1217313</v>
      </c>
      <c r="H67" s="36">
        <f>+H43*'Rate Class Customer Model'!B16</f>
        <v>480713914.03374696</v>
      </c>
      <c r="I67" s="36">
        <f>I43*'Rate Class Customer Model'!C16</f>
        <v>135925481.60381019</v>
      </c>
      <c r="J67" s="36">
        <f>J43*'Rate Class Customer Model'!D16</f>
        <v>368072626.0437333</v>
      </c>
      <c r="K67" s="36">
        <f>K43*'Rate Class Customer Model'!E16</f>
        <v>47211819.387944914</v>
      </c>
      <c r="L67" s="36">
        <f>L43*'Rate Class Customer Model'!F16</f>
        <v>58956509.592335589</v>
      </c>
      <c r="M67" s="36">
        <f>M43*'Rate Class Customer Model'!G16</f>
        <v>9310974.5395148899</v>
      </c>
      <c r="N67" s="36">
        <f>N43*'Rate Class Customer Model'!H16</f>
        <v>33320.873647565873</v>
      </c>
      <c r="O67" s="36">
        <f>O43*'Rate Class Customer Model'!I16</f>
        <v>2704042.0469980952</v>
      </c>
      <c r="P67" s="36"/>
    </row>
    <row r="68" spans="1:16">
      <c r="A68">
        <v>2017</v>
      </c>
      <c r="B68" s="183"/>
      <c r="C68" s="183"/>
      <c r="D68" s="183"/>
      <c r="E68" s="183"/>
      <c r="F68" s="183"/>
      <c r="G68" s="36">
        <f t="shared" si="36"/>
        <v>1113182589.1315825</v>
      </c>
      <c r="H68" s="36">
        <f>+H44*'Rate Class Customer Model'!B17</f>
        <v>482538160.86327994</v>
      </c>
      <c r="I68" s="36">
        <f>I44*'Rate Class Customer Model'!C17</f>
        <v>137127551.43790153</v>
      </c>
      <c r="J68" s="36">
        <f>J44*'Rate Class Customer Model'!D17</f>
        <v>379007913.93936127</v>
      </c>
      <c r="K68" s="36">
        <f>K44*'Rate Class Customer Model'!E17</f>
        <v>48962602.209271155</v>
      </c>
      <c r="L68" s="36">
        <f>L44*'Rate Class Customer Model'!F17</f>
        <v>53437246.718854196</v>
      </c>
      <c r="M68" s="36">
        <f>M44*'Rate Class Customer Model'!G17</f>
        <v>9388477.2761561275</v>
      </c>
      <c r="N68" s="36">
        <f>N44*'Rate Class Customer Model'!H17</f>
        <v>32529.619328053319</v>
      </c>
      <c r="O68" s="36">
        <f>O44*'Rate Class Customer Model'!I17</f>
        <v>2688107.0674302336</v>
      </c>
      <c r="P68" s="36"/>
    </row>
    <row r="69" spans="1:16">
      <c r="A69">
        <v>2018</v>
      </c>
      <c r="B69" s="183"/>
      <c r="C69" s="183"/>
      <c r="D69" s="183"/>
      <c r="E69" s="183"/>
      <c r="F69" s="183"/>
      <c r="G69" s="36">
        <f t="shared" si="36"/>
        <v>1124361299.9839075</v>
      </c>
      <c r="H69" s="36">
        <f>+H45*'Rate Class Customer Model'!B18</f>
        <v>484369330.47244942</v>
      </c>
      <c r="I69" s="36">
        <f>I45*'Rate Class Customer Model'!C18</f>
        <v>138340251.89010054</v>
      </c>
      <c r="J69" s="36">
        <f>J45*'Rate Class Customer Model'!D18</f>
        <v>390268084.78715438</v>
      </c>
      <c r="K69" s="36">
        <f>K45*'Rate Class Customer Model'!E18</f>
        <v>50778310.308360226</v>
      </c>
      <c r="L69" s="36">
        <f>L45*'Rate Class Customer Model'!F18</f>
        <v>48434674.247793607</v>
      </c>
      <c r="M69" s="36">
        <f>M45*'Rate Class Customer Model'!G18</f>
        <v>9466625.1304659192</v>
      </c>
      <c r="N69" s="36">
        <f>N45*'Rate Class Customer Model'!H18</f>
        <v>31757.154533832614</v>
      </c>
      <c r="O69" s="36">
        <f>O45*'Rate Class Customer Model'!I18</f>
        <v>2672265.9930492793</v>
      </c>
      <c r="P69" s="36"/>
    </row>
    <row r="70" spans="1:16">
      <c r="A70">
        <v>2019</v>
      </c>
      <c r="B70" s="183"/>
      <c r="C70" s="183"/>
      <c r="D70" s="183"/>
      <c r="E70" s="183"/>
      <c r="F70" s="183"/>
      <c r="G70" s="36">
        <f t="shared" si="36"/>
        <v>1136428634.7308042</v>
      </c>
      <c r="H70" s="36">
        <f>+H46*'Rate Class Customer Model'!B19</f>
        <v>486207449.13230449</v>
      </c>
      <c r="I70" s="36">
        <f>I46*'Rate Class Customer Model'!C19</f>
        <v>139563676.97328246</v>
      </c>
      <c r="J70" s="36">
        <f>J46*'Rate Class Customer Model'!D19</f>
        <v>401862790.72737771</v>
      </c>
      <c r="K70" s="36">
        <f>K46*'Rate Class Customer Model'!E19</f>
        <v>52661351.346311636</v>
      </c>
      <c r="L70" s="36">
        <f>L46*'Rate Class Customer Model'!F19</f>
        <v>43900421.77570077</v>
      </c>
      <c r="M70" s="36">
        <f>M46*'Rate Class Customer Model'!G19</f>
        <v>9545423.4722779542</v>
      </c>
      <c r="N70" s="36">
        <f>N46*'Rate Class Customer Model'!H19</f>
        <v>31003.033079332334</v>
      </c>
      <c r="O70" s="36">
        <f>O46*'Rate Class Customer Model'!I19</f>
        <v>2656518.2704698895</v>
      </c>
      <c r="P70" s="36"/>
    </row>
    <row r="71" spans="1:16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>
      <c r="A72" s="19" t="s">
        <v>43</v>
      </c>
      <c r="G72" s="36"/>
      <c r="H72" s="36"/>
      <c r="I72" s="36"/>
      <c r="J72" s="36"/>
      <c r="K72" s="36"/>
      <c r="L72" s="36"/>
      <c r="M72" s="36"/>
      <c r="N72" s="36"/>
      <c r="O72" s="36"/>
      <c r="P72" s="36" t="s">
        <v>15</v>
      </c>
    </row>
    <row r="73" spans="1:16">
      <c r="A73">
        <v>2014</v>
      </c>
      <c r="G73" s="55">
        <f ca="1">G18</f>
        <v>1099554749.2148373</v>
      </c>
      <c r="H73" s="36">
        <f t="shared" ref="H73:O73" ca="1" si="37">H65+H89</f>
        <v>483864091.75938904</v>
      </c>
      <c r="I73" s="36">
        <f t="shared" ca="1" si="37"/>
        <v>135450260.13543317</v>
      </c>
      <c r="J73" s="36">
        <f t="shared" ca="1" si="37"/>
        <v>351769937.85468596</v>
      </c>
      <c r="K73" s="36">
        <f t="shared" ca="1" si="37"/>
        <v>43895826.316082679</v>
      </c>
      <c r="L73" s="36">
        <f t="shared" ca="1" si="37"/>
        <v>72645592.446275041</v>
      </c>
      <c r="M73" s="36">
        <f t="shared" ca="1" si="37"/>
        <v>9157883.1611797065</v>
      </c>
      <c r="N73" s="36">
        <f t="shared" ca="1" si="37"/>
        <v>34961.590134097416</v>
      </c>
      <c r="O73" s="36">
        <f t="shared" ca="1" si="37"/>
        <v>2736195.9516575765</v>
      </c>
      <c r="P73" s="36">
        <f ca="1">SUM(H73:O73)</f>
        <v>1099554749.2148373</v>
      </c>
    </row>
    <row r="74" spans="1:16">
      <c r="A74">
        <v>2015</v>
      </c>
      <c r="G74" s="55">
        <f t="shared" ref="G74:G78" ca="1" si="38">G19</f>
        <v>1098970167.531013</v>
      </c>
      <c r="H74" s="36">
        <f t="shared" ref="H74:O74" ca="1" si="39">H66+H90</f>
        <v>481434710.21505463</v>
      </c>
      <c r="I74" s="36">
        <f t="shared" ca="1" si="39"/>
        <v>135448037.61472481</v>
      </c>
      <c r="J74" s="36">
        <f t="shared" ca="1" si="39"/>
        <v>359231572.45770758</v>
      </c>
      <c r="K74" s="36">
        <f t="shared" ca="1" si="39"/>
        <v>45523640.275350288</v>
      </c>
      <c r="L74" s="36">
        <f t="shared" ca="1" si="39"/>
        <v>65343892.510189041</v>
      </c>
      <c r="M74" s="36">
        <f t="shared" ca="1" si="39"/>
        <v>9234111.5950369798</v>
      </c>
      <c r="N74" s="36">
        <f t="shared" ca="1" si="39"/>
        <v>34131.37453101245</v>
      </c>
      <c r="O74" s="36">
        <f t="shared" ca="1" si="39"/>
        <v>2720071.4884186508</v>
      </c>
      <c r="P74" s="36">
        <f t="shared" ref="P74:P78" ca="1" si="40">SUM(H74:O74)</f>
        <v>1098970167.531013</v>
      </c>
    </row>
    <row r="75" spans="1:16">
      <c r="A75">
        <v>2016</v>
      </c>
      <c r="B75" s="183"/>
      <c r="C75" s="183"/>
      <c r="D75" s="183"/>
      <c r="E75" s="183"/>
      <c r="F75" s="183"/>
      <c r="G75" s="55">
        <f t="shared" ca="1" si="38"/>
        <v>1101088743.5392075</v>
      </c>
      <c r="H75" s="36">
        <f t="shared" ref="H75:O75" ca="1" si="41">H67+H91</f>
        <v>479840944.23191994</v>
      </c>
      <c r="I75" s="36">
        <f t="shared" ca="1" si="41"/>
        <v>135678642.81409588</v>
      </c>
      <c r="J75" s="36">
        <f t="shared" ca="1" si="41"/>
        <v>367445057.52422351</v>
      </c>
      <c r="K75" s="36">
        <f t="shared" ca="1" si="41"/>
        <v>47211819.387944914</v>
      </c>
      <c r="L75" s="36">
        <f t="shared" ca="1" si="41"/>
        <v>58863942.120862857</v>
      </c>
      <c r="M75" s="36">
        <f t="shared" ca="1" si="41"/>
        <v>9310974.5395148899</v>
      </c>
      <c r="N75" s="36">
        <f t="shared" ca="1" si="41"/>
        <v>33320.873647565873</v>
      </c>
      <c r="O75" s="36">
        <f t="shared" ca="1" si="41"/>
        <v>2704042.0469980952</v>
      </c>
      <c r="P75" s="36">
        <f t="shared" ca="1" si="40"/>
        <v>1101088743.5392075</v>
      </c>
    </row>
    <row r="76" spans="1:16">
      <c r="A76">
        <v>2017</v>
      </c>
      <c r="B76" s="183"/>
      <c r="C76" s="183"/>
      <c r="D76" s="183"/>
      <c r="E76" s="183"/>
      <c r="F76" s="183"/>
      <c r="G76" s="55">
        <f t="shared" ca="1" si="38"/>
        <v>1097801004.163363</v>
      </c>
      <c r="H76" s="36">
        <f t="shared" ref="H76:O76" ca="1" si="42">H68+H92</f>
        <v>475273703.17544752</v>
      </c>
      <c r="I76" s="36">
        <f t="shared" ca="1" si="42"/>
        <v>135063140.00674233</v>
      </c>
      <c r="J76" s="36">
        <f t="shared" ca="1" si="42"/>
        <v>373650750.2707845</v>
      </c>
      <c r="K76" s="36">
        <f t="shared" ca="1" si="42"/>
        <v>48962602.209271155</v>
      </c>
      <c r="L76" s="36">
        <f t="shared" ca="1" si="42"/>
        <v>52741694.538203083</v>
      </c>
      <c r="M76" s="36">
        <f t="shared" ca="1" si="42"/>
        <v>9388477.2761561275</v>
      </c>
      <c r="N76" s="36">
        <f t="shared" ca="1" si="42"/>
        <v>32529.619328053319</v>
      </c>
      <c r="O76" s="36">
        <f t="shared" ca="1" si="42"/>
        <v>2688107.0674302336</v>
      </c>
      <c r="P76" s="36">
        <f t="shared" ca="1" si="40"/>
        <v>1097801004.163363</v>
      </c>
    </row>
    <row r="77" spans="1:16">
      <c r="A77">
        <v>2018</v>
      </c>
      <c r="B77" s="183"/>
      <c r="C77" s="183"/>
      <c r="D77" s="183"/>
      <c r="E77" s="183"/>
      <c r="F77" s="183"/>
      <c r="G77" s="55">
        <f t="shared" ca="1" si="38"/>
        <v>1097216422.479538</v>
      </c>
      <c r="H77" s="36">
        <f t="shared" ref="H77:O77" ca="1" si="43">H69+H93</f>
        <v>471616586.02645439</v>
      </c>
      <c r="I77" s="36">
        <f t="shared" ca="1" si="43"/>
        <v>134697952.99138987</v>
      </c>
      <c r="J77" s="36">
        <f t="shared" ca="1" si="43"/>
        <v>380620798.6447587</v>
      </c>
      <c r="K77" s="36">
        <f t="shared" ca="1" si="43"/>
        <v>50778310.308360226</v>
      </c>
      <c r="L77" s="36">
        <f t="shared" ca="1" si="43"/>
        <v>47332126.230525479</v>
      </c>
      <c r="M77" s="36">
        <f t="shared" ca="1" si="43"/>
        <v>9466625.1304659192</v>
      </c>
      <c r="N77" s="36">
        <f t="shared" ca="1" si="43"/>
        <v>31757.154533832614</v>
      </c>
      <c r="O77" s="36">
        <f t="shared" ca="1" si="43"/>
        <v>2672265.9930492793</v>
      </c>
      <c r="P77" s="36">
        <f t="shared" ca="1" si="40"/>
        <v>1097216422.4795377</v>
      </c>
    </row>
    <row r="78" spans="1:16">
      <c r="A78">
        <v>2019</v>
      </c>
      <c r="B78" s="183"/>
      <c r="C78" s="183"/>
      <c r="D78" s="183"/>
      <c r="E78" s="183"/>
      <c r="F78" s="183"/>
      <c r="G78" s="55">
        <f t="shared" ca="1" si="38"/>
        <v>1096631840.7957132</v>
      </c>
      <c r="H78" s="36">
        <f t="shared" ref="H78:O78" ca="1" si="44">H70+H94</f>
        <v>467620617.96628708</v>
      </c>
      <c r="I78" s="36">
        <f t="shared" ca="1" si="44"/>
        <v>134228410.09195355</v>
      </c>
      <c r="J78" s="36">
        <f t="shared" ca="1" si="44"/>
        <v>387439091.94967157</v>
      </c>
      <c r="K78" s="36">
        <f t="shared" ca="1" si="44"/>
        <v>52661351.346311636</v>
      </c>
      <c r="L78" s="36">
        <f t="shared" ca="1" si="44"/>
        <v>42449424.665662229</v>
      </c>
      <c r="M78" s="36">
        <f t="shared" ca="1" si="44"/>
        <v>9545423.4722779542</v>
      </c>
      <c r="N78" s="36">
        <f t="shared" ca="1" si="44"/>
        <v>31003.033079332334</v>
      </c>
      <c r="O78" s="36">
        <f t="shared" ca="1" si="44"/>
        <v>2656518.2704698895</v>
      </c>
      <c r="P78" s="36">
        <f t="shared" ca="1" si="40"/>
        <v>1096631840.7957132</v>
      </c>
    </row>
    <row r="79" spans="1:16"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1:16">
      <c r="A80" s="49" t="s">
        <v>45</v>
      </c>
      <c r="G80" s="36"/>
      <c r="H80" s="56">
        <f>(100%+J80)/2</f>
        <v>0.94241011075586667</v>
      </c>
      <c r="I80" s="56">
        <f>H80</f>
        <v>0.94241011075586667</v>
      </c>
      <c r="J80" s="56">
        <v>0.88482022151173345</v>
      </c>
      <c r="K80" s="56">
        <v>0</v>
      </c>
      <c r="L80" s="56">
        <v>0.81480567631147327</v>
      </c>
      <c r="M80" s="56">
        <v>0</v>
      </c>
      <c r="N80" s="56">
        <v>0</v>
      </c>
      <c r="O80" s="56">
        <v>0</v>
      </c>
      <c r="P80" s="36" t="s">
        <v>15</v>
      </c>
    </row>
    <row r="81" spans="1:16">
      <c r="A81">
        <v>2014</v>
      </c>
      <c r="G81" s="36">
        <f t="shared" ref="G81:G86" ca="1" si="45">G73-G65</f>
        <v>14187377.43191576</v>
      </c>
      <c r="H81" s="36">
        <f t="shared" ref="H81:O81" si="46">H65*H$80</f>
        <v>449610749.38089931</v>
      </c>
      <c r="I81" s="36">
        <f t="shared" si="46"/>
        <v>125861567.32955816</v>
      </c>
      <c r="J81" s="36">
        <f t="shared" si="46"/>
        <v>307156027.12066942</v>
      </c>
      <c r="K81" s="36">
        <f t="shared" si="46"/>
        <v>0</v>
      </c>
      <c r="L81" s="36">
        <f t="shared" si="46"/>
        <v>58473782.865254648</v>
      </c>
      <c r="M81" s="36">
        <f t="shared" si="46"/>
        <v>0</v>
      </c>
      <c r="N81" s="36">
        <f t="shared" si="46"/>
        <v>0</v>
      </c>
      <c r="O81" s="36">
        <f t="shared" si="46"/>
        <v>0</v>
      </c>
      <c r="P81" s="36">
        <f>SUM(H81:O81)</f>
        <v>941102126.69638157</v>
      </c>
    </row>
    <row r="82" spans="1:16">
      <c r="A82">
        <v>2015</v>
      </c>
      <c r="G82" s="36">
        <f t="shared" ca="1" si="45"/>
        <v>5329023.1331086159</v>
      </c>
      <c r="H82" s="36">
        <f t="shared" ref="H82:I86" si="47">H66*H$80</f>
        <v>451316963.74278378</v>
      </c>
      <c r="I82" s="36">
        <f t="shared" si="47"/>
        <v>126974635.98727538</v>
      </c>
      <c r="J82" s="36">
        <f t="shared" ref="J82:O82" si="48">J66*J$80</f>
        <v>316281507.65842271</v>
      </c>
      <c r="K82" s="36">
        <f t="shared" si="48"/>
        <v>0</v>
      </c>
      <c r="L82" s="36">
        <f t="shared" si="48"/>
        <v>52999710.857400104</v>
      </c>
      <c r="M82" s="36">
        <f t="shared" si="48"/>
        <v>0</v>
      </c>
      <c r="N82" s="36">
        <f t="shared" si="48"/>
        <v>0</v>
      </c>
      <c r="O82" s="36">
        <f t="shared" si="48"/>
        <v>0</v>
      </c>
      <c r="P82" s="36">
        <f t="shared" ref="P82:P86" si="49">SUM(H82:O82)</f>
        <v>947572818.24588192</v>
      </c>
    </row>
    <row r="83" spans="1:16">
      <c r="A83">
        <v>2016</v>
      </c>
      <c r="B83" s="183"/>
      <c r="C83" s="183"/>
      <c r="D83" s="183"/>
      <c r="E83" s="183"/>
      <c r="F83" s="183"/>
      <c r="G83" s="36">
        <f t="shared" ca="1" si="45"/>
        <v>-1839944.5825238228</v>
      </c>
      <c r="H83" s="36">
        <f t="shared" si="47"/>
        <v>453029652.96642965</v>
      </c>
      <c r="I83" s="36">
        <f t="shared" si="47"/>
        <v>128097548.17279127</v>
      </c>
      <c r="J83" s="36">
        <f t="shared" ref="J83:O83" si="50">J67*J$80</f>
        <v>325678102.50842154</v>
      </c>
      <c r="K83" s="36">
        <f t="shared" si="50"/>
        <v>0</v>
      </c>
      <c r="L83" s="36">
        <f t="shared" si="50"/>
        <v>48038098.671346858</v>
      </c>
      <c r="M83" s="36">
        <f t="shared" si="50"/>
        <v>0</v>
      </c>
      <c r="N83" s="36">
        <f t="shared" si="50"/>
        <v>0</v>
      </c>
      <c r="O83" s="36">
        <f t="shared" si="50"/>
        <v>0</v>
      </c>
      <c r="P83" s="36">
        <f t="shared" si="49"/>
        <v>954843402.3189894</v>
      </c>
    </row>
    <row r="84" spans="1:16">
      <c r="A84">
        <v>2017</v>
      </c>
      <c r="B84" s="183"/>
      <c r="C84" s="183"/>
      <c r="D84" s="183"/>
      <c r="E84" s="183"/>
      <c r="F84" s="183"/>
      <c r="G84" s="36">
        <f t="shared" ca="1" si="45"/>
        <v>-15381584.968219519</v>
      </c>
      <c r="H84" s="36">
        <f t="shared" si="47"/>
        <v>454748841.62309587</v>
      </c>
      <c r="I84" s="36">
        <f t="shared" si="47"/>
        <v>129230390.93827358</v>
      </c>
      <c r="J84" s="36">
        <f t="shared" ref="J84:O84" si="51">J68*J$80</f>
        <v>335353866.36652565</v>
      </c>
      <c r="K84" s="36">
        <f t="shared" si="51"/>
        <v>0</v>
      </c>
      <c r="L84" s="36">
        <f t="shared" si="51"/>
        <v>43540971.952979051</v>
      </c>
      <c r="M84" s="36">
        <f t="shared" si="51"/>
        <v>0</v>
      </c>
      <c r="N84" s="36">
        <f t="shared" si="51"/>
        <v>0</v>
      </c>
      <c r="O84" s="36">
        <f t="shared" si="51"/>
        <v>0</v>
      </c>
      <c r="P84" s="36">
        <f t="shared" si="49"/>
        <v>962874070.88087416</v>
      </c>
    </row>
    <row r="85" spans="1:16">
      <c r="A85">
        <v>2018</v>
      </c>
      <c r="B85" s="183"/>
      <c r="C85" s="183"/>
      <c r="D85" s="183"/>
      <c r="E85" s="183"/>
      <c r="F85" s="183"/>
      <c r="G85" s="36">
        <f t="shared" ca="1" si="45"/>
        <v>-27144877.504369497</v>
      </c>
      <c r="H85" s="36">
        <f t="shared" si="47"/>
        <v>456474554.37728602</v>
      </c>
      <c r="I85" s="36">
        <f t="shared" si="47"/>
        <v>130373252.10574414</v>
      </c>
      <c r="J85" s="36">
        <f t="shared" ref="J85:O85" si="52">J69*J$80</f>
        <v>345317093.23032993</v>
      </c>
      <c r="K85" s="36">
        <f t="shared" si="52"/>
        <v>0</v>
      </c>
      <c r="L85" s="36">
        <f t="shared" si="52"/>
        <v>39464847.507399365</v>
      </c>
      <c r="M85" s="36">
        <f t="shared" si="52"/>
        <v>0</v>
      </c>
      <c r="N85" s="36">
        <f t="shared" si="52"/>
        <v>0</v>
      </c>
      <c r="O85" s="36">
        <f t="shared" si="52"/>
        <v>0</v>
      </c>
      <c r="P85" s="36">
        <f t="shared" si="49"/>
        <v>971629747.22075939</v>
      </c>
    </row>
    <row r="86" spans="1:16">
      <c r="A86">
        <v>2019</v>
      </c>
      <c r="B86" s="183"/>
      <c r="C86" s="183"/>
      <c r="D86" s="183"/>
      <c r="E86" s="183"/>
      <c r="F86" s="183"/>
      <c r="G86" s="36">
        <f t="shared" ca="1" si="45"/>
        <v>-39796793.935091019</v>
      </c>
      <c r="H86" s="36">
        <f t="shared" si="47"/>
        <v>458206815.98710251</v>
      </c>
      <c r="I86" s="36">
        <f t="shared" si="47"/>
        <v>131526220.27388711</v>
      </c>
      <c r="J86" s="36">
        <f t="shared" ref="J86:O86" si="53">J70*J$80</f>
        <v>355576323.50872171</v>
      </c>
      <c r="K86" s="36">
        <f t="shared" si="53"/>
        <v>0</v>
      </c>
      <c r="L86" s="36">
        <f t="shared" si="53"/>
        <v>35770312.855308793</v>
      </c>
      <c r="M86" s="36">
        <f t="shared" si="53"/>
        <v>0</v>
      </c>
      <c r="N86" s="36">
        <f t="shared" si="53"/>
        <v>0</v>
      </c>
      <c r="O86" s="36">
        <f t="shared" si="53"/>
        <v>0</v>
      </c>
      <c r="P86" s="36">
        <f t="shared" si="49"/>
        <v>981079672.62502015</v>
      </c>
    </row>
    <row r="87" spans="1:16" ht="12" customHeight="1"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>
      <c r="A88" t="s">
        <v>46</v>
      </c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>
      <c r="A89">
        <v>2014</v>
      </c>
      <c r="G89" s="36"/>
      <c r="H89" s="36">
        <f t="shared" ref="H89:O89" ca="1" si="54">H81/$P81*$G81</f>
        <v>6778007.6337785516</v>
      </c>
      <c r="I89" s="36">
        <f t="shared" ca="1" si="54"/>
        <v>1897398.2835903254</v>
      </c>
      <c r="J89" s="36">
        <f t="shared" ca="1" si="54"/>
        <v>4630462.9047497455</v>
      </c>
      <c r="K89" s="36">
        <f t="shared" ca="1" si="54"/>
        <v>0</v>
      </c>
      <c r="L89" s="36">
        <f t="shared" ca="1" si="54"/>
        <v>881508.60979713686</v>
      </c>
      <c r="M89" s="36">
        <f t="shared" ca="1" si="54"/>
        <v>0</v>
      </c>
      <c r="N89" s="36">
        <f t="shared" ca="1" si="54"/>
        <v>0</v>
      </c>
      <c r="O89" s="36">
        <f t="shared" ca="1" si="54"/>
        <v>0</v>
      </c>
      <c r="P89" s="36">
        <f ca="1">SUM(H89:O89)</f>
        <v>14187377.43191576</v>
      </c>
    </row>
    <row r="90" spans="1:16">
      <c r="A90">
        <v>2015</v>
      </c>
      <c r="G90" s="36"/>
      <c r="H90" s="36">
        <f t="shared" ref="H90:O90" ca="1" si="55">H82/$P82*$G82</f>
        <v>2538146.4029348646</v>
      </c>
      <c r="I90" s="36">
        <f t="shared" ca="1" si="55"/>
        <v>714088.4156500306</v>
      </c>
      <c r="J90" s="36">
        <f t="shared" ca="1" si="55"/>
        <v>1778725.0102913443</v>
      </c>
      <c r="K90" s="36">
        <f t="shared" ca="1" si="55"/>
        <v>0</v>
      </c>
      <c r="L90" s="36">
        <f t="shared" ca="1" si="55"/>
        <v>298063.30423237686</v>
      </c>
      <c r="M90" s="36">
        <f t="shared" ca="1" si="55"/>
        <v>0</v>
      </c>
      <c r="N90" s="36">
        <f t="shared" ca="1" si="55"/>
        <v>0</v>
      </c>
      <c r="O90" s="36">
        <f t="shared" ca="1" si="55"/>
        <v>0</v>
      </c>
      <c r="P90" s="36">
        <f ca="1">SUM(H90:O90)</f>
        <v>5329023.1331086159</v>
      </c>
    </row>
    <row r="91" spans="1:16">
      <c r="A91">
        <v>2016</v>
      </c>
      <c r="B91" s="183"/>
      <c r="C91" s="183"/>
      <c r="D91" s="183"/>
      <c r="E91" s="183"/>
      <c r="F91" s="183"/>
      <c r="G91" s="36"/>
      <c r="H91" s="36">
        <f t="shared" ref="H91:O91" ca="1" si="56">H83/$P83*$G83</f>
        <v>-872969.80182700336</v>
      </c>
      <c r="I91" s="36">
        <f t="shared" ca="1" si="56"/>
        <v>-246838.78971430834</v>
      </c>
      <c r="J91" s="36">
        <f t="shared" ca="1" si="56"/>
        <v>-627568.51950977906</v>
      </c>
      <c r="K91" s="36">
        <f t="shared" ca="1" si="56"/>
        <v>0</v>
      </c>
      <c r="L91" s="36">
        <f t="shared" ca="1" si="56"/>
        <v>-92567.471472732097</v>
      </c>
      <c r="M91" s="36">
        <f t="shared" ca="1" si="56"/>
        <v>0</v>
      </c>
      <c r="N91" s="36">
        <f t="shared" ca="1" si="56"/>
        <v>0</v>
      </c>
      <c r="O91" s="36">
        <f t="shared" ca="1" si="56"/>
        <v>0</v>
      </c>
      <c r="P91" s="36">
        <f t="shared" ref="P91:P94" ca="1" si="57">SUM(H91:O91)</f>
        <v>-1839944.5825238228</v>
      </c>
    </row>
    <row r="92" spans="1:16">
      <c r="A92">
        <v>2017</v>
      </c>
      <c r="B92" s="183"/>
      <c r="C92" s="183"/>
      <c r="D92" s="183"/>
      <c r="E92" s="183"/>
      <c r="F92" s="183"/>
      <c r="G92" s="36"/>
      <c r="H92" s="36">
        <f t="shared" ref="H92:O92" ca="1" si="58">H84/$P84*$G84</f>
        <v>-7264457.6878324049</v>
      </c>
      <c r="I92" s="36">
        <f t="shared" ca="1" si="58"/>
        <v>-2064411.4311592109</v>
      </c>
      <c r="J92" s="36">
        <f t="shared" ca="1" si="58"/>
        <v>-5357163.6685767863</v>
      </c>
      <c r="K92" s="36">
        <f t="shared" ca="1" si="58"/>
        <v>0</v>
      </c>
      <c r="L92" s="36">
        <f t="shared" ca="1" si="58"/>
        <v>-695552.180651117</v>
      </c>
      <c r="M92" s="36">
        <f t="shared" ca="1" si="58"/>
        <v>0</v>
      </c>
      <c r="N92" s="36">
        <f t="shared" ca="1" si="58"/>
        <v>0</v>
      </c>
      <c r="O92" s="36">
        <f t="shared" ca="1" si="58"/>
        <v>0</v>
      </c>
      <c r="P92" s="36">
        <f t="shared" ca="1" si="57"/>
        <v>-15381584.968219519</v>
      </c>
    </row>
    <row r="93" spans="1:16">
      <c r="A93">
        <v>2018</v>
      </c>
      <c r="B93" s="183"/>
      <c r="C93" s="183"/>
      <c r="D93" s="183"/>
      <c r="E93" s="183"/>
      <c r="F93" s="183"/>
      <c r="G93" s="36"/>
      <c r="H93" s="36">
        <f t="shared" ref="H93:O93" ca="1" si="59">H85/$P85*$G85</f>
        <v>-12752744.445995016</v>
      </c>
      <c r="I93" s="36">
        <f t="shared" ca="1" si="59"/>
        <v>-3642298.8987106793</v>
      </c>
      <c r="J93" s="36">
        <f t="shared" ca="1" si="59"/>
        <v>-9647286.142395677</v>
      </c>
      <c r="K93" s="36">
        <f t="shared" ca="1" si="59"/>
        <v>0</v>
      </c>
      <c r="L93" s="36">
        <f t="shared" ca="1" si="59"/>
        <v>-1102548.017268125</v>
      </c>
      <c r="M93" s="36">
        <f t="shared" ca="1" si="59"/>
        <v>0</v>
      </c>
      <c r="N93" s="36">
        <f t="shared" ca="1" si="59"/>
        <v>0</v>
      </c>
      <c r="O93" s="36">
        <f t="shared" ca="1" si="59"/>
        <v>0</v>
      </c>
      <c r="P93" s="36">
        <f t="shared" ca="1" si="57"/>
        <v>-27144877.504369497</v>
      </c>
    </row>
    <row r="94" spans="1:16">
      <c r="A94">
        <v>2019</v>
      </c>
      <c r="B94" s="183"/>
      <c r="C94" s="183"/>
      <c r="D94" s="183"/>
      <c r="E94" s="183"/>
      <c r="F94" s="183"/>
      <c r="G94" s="36"/>
      <c r="H94" s="36">
        <f t="shared" ref="H94:O94" ca="1" si="60">H86/$P86*$G86</f>
        <v>-18586831.166017417</v>
      </c>
      <c r="I94" s="36">
        <f t="shared" ca="1" si="60"/>
        <v>-5335266.8813289069</v>
      </c>
      <c r="J94" s="36">
        <f t="shared" ca="1" si="60"/>
        <v>-14423698.777706156</v>
      </c>
      <c r="K94" s="36">
        <f t="shared" ca="1" si="60"/>
        <v>0</v>
      </c>
      <c r="L94" s="36">
        <f t="shared" ca="1" si="60"/>
        <v>-1450997.1100385401</v>
      </c>
      <c r="M94" s="36">
        <f t="shared" ca="1" si="60"/>
        <v>0</v>
      </c>
      <c r="N94" s="36">
        <f t="shared" ca="1" si="60"/>
        <v>0</v>
      </c>
      <c r="O94" s="36">
        <f t="shared" ca="1" si="60"/>
        <v>0</v>
      </c>
      <c r="P94" s="36">
        <f t="shared" ca="1" si="57"/>
        <v>-39796793.935091019</v>
      </c>
    </row>
    <row r="96" spans="1:16">
      <c r="F96" s="422" t="s">
        <v>302</v>
      </c>
    </row>
    <row r="97" spans="1:16">
      <c r="A97" s="421">
        <v>2014</v>
      </c>
      <c r="B97" s="422"/>
      <c r="C97" s="422"/>
      <c r="D97" s="422"/>
      <c r="E97" s="422"/>
      <c r="F97" s="422"/>
      <c r="G97" s="420">
        <f>' CDM Summary'!J21</f>
        <v>6337000</v>
      </c>
      <c r="H97" s="420">
        <f>($G$97-$M$97)*H65/($G$65-$M$65)</f>
        <v>2809206.3367475094</v>
      </c>
      <c r="I97" s="420">
        <f>($G$97-$M$97)*I65/($G$65-$M$65)</f>
        <v>786393.81505452225</v>
      </c>
      <c r="J97" s="420">
        <f t="shared" ref="J97:L97" si="61">($G$97-$M$97)*J65/($G$65-$M$65)</f>
        <v>2044047.0707751988</v>
      </c>
      <c r="K97" s="420">
        <f t="shared" si="61"/>
        <v>258469.98591440995</v>
      </c>
      <c r="L97" s="420">
        <f t="shared" si="61"/>
        <v>422565.49870617187</v>
      </c>
      <c r="M97" s="420">
        <f>' CDM Summary'!J18</f>
        <v>0</v>
      </c>
      <c r="N97" s="420">
        <f t="shared" ref="N97:O97" si="62">($G$97-$M$97)*N65/($G$65-$M$65)</f>
        <v>205.86289102831415</v>
      </c>
      <c r="O97" s="420">
        <f t="shared" si="62"/>
        <v>16111.429911159557</v>
      </c>
      <c r="P97" s="420">
        <f>SUM(H97:O97)</f>
        <v>6337000.0000000019</v>
      </c>
    </row>
    <row r="98" spans="1:16">
      <c r="A98" s="421">
        <v>2015</v>
      </c>
      <c r="B98" s="422"/>
      <c r="C98" s="422"/>
      <c r="D98" s="422"/>
      <c r="E98" s="422"/>
      <c r="F98" s="422"/>
      <c r="G98" s="420">
        <f>' CDM Summary'!K21</f>
        <v>15178000</v>
      </c>
      <c r="H98" s="420">
        <f ca="1">($G$98-$M$98)*H66/($G$66-$M$66)</f>
        <v>5633877.5415072404</v>
      </c>
      <c r="I98" s="420">
        <f ca="1">($G$98-$M$98)*I66/($G$66-$M$66)</f>
        <v>1585049.1062805874</v>
      </c>
      <c r="J98" s="420">
        <f t="shared" ref="J98:L98" ca="1" si="63">($G$98-$M$98)*J66/($G$66-$M$66)</f>
        <v>4205178.5741604986</v>
      </c>
      <c r="K98" s="420">
        <f t="shared" ca="1" si="63"/>
        <v>535553.25708198291</v>
      </c>
      <c r="L98" s="420">
        <f t="shared" ca="1" si="63"/>
        <v>765217.92809506215</v>
      </c>
      <c r="M98" s="420">
        <f ca="1">' CDM Summary'!K18</f>
        <v>2420722.3546389453</v>
      </c>
      <c r="N98" s="420">
        <f t="shared" ref="N98:O98" ca="1" si="64">($G$98-$M$98)*N66/($G$66-$M$66)</f>
        <v>401.53135136397231</v>
      </c>
      <c r="O98" s="420">
        <f t="shared" ca="1" si="64"/>
        <v>31999.706884320265</v>
      </c>
      <c r="P98" s="420">
        <f t="shared" ref="P98:P102" ca="1" si="65">SUM(H98:O98)</f>
        <v>15178000</v>
      </c>
    </row>
    <row r="99" spans="1:16">
      <c r="A99" s="421">
        <v>2016</v>
      </c>
      <c r="B99" s="422"/>
      <c r="C99" s="422"/>
      <c r="D99" s="422"/>
      <c r="E99" s="422"/>
      <c r="F99" s="422"/>
      <c r="G99" s="420">
        <f>' CDM Summary'!L21</f>
        <v>25092000</v>
      </c>
      <c r="H99" s="420">
        <f ca="1">($G$99-$M$99)*H67/($G$67-$M$67)</f>
        <v>8883681.3524931017</v>
      </c>
      <c r="I99" s="420">
        <f ca="1">($G$99-$M$99)*I67/($G$67-$M$67)</f>
        <v>2511927.8452332099</v>
      </c>
      <c r="J99" s="420">
        <f t="shared" ref="J99:L99" ca="1" si="66">($G$99-$M$99)*J67/($G$67-$M$67)</f>
        <v>6802049.6783838281</v>
      </c>
      <c r="K99" s="420">
        <f t="shared" ca="1" si="66"/>
        <v>872483.08665456017</v>
      </c>
      <c r="L99" s="420">
        <f t="shared" ca="1" si="66"/>
        <v>1089527.1170302427</v>
      </c>
      <c r="M99" s="420">
        <f ca="1">' CDM Summary'!L18</f>
        <v>4881743.9510676563</v>
      </c>
      <c r="N99" s="420">
        <f t="shared" ref="N99:O99" ca="1" si="67">($G$99-$M$99)*N67/($G$67-$M$67)</f>
        <v>615.77586009062168</v>
      </c>
      <c r="O99" s="420">
        <f t="shared" ca="1" si="67"/>
        <v>49971.193277313527</v>
      </c>
      <c r="P99" s="420">
        <f t="shared" ca="1" si="65"/>
        <v>25092000.000000004</v>
      </c>
    </row>
    <row r="100" spans="1:16">
      <c r="A100" s="421">
        <v>2017</v>
      </c>
      <c r="B100" s="422"/>
      <c r="C100" s="422"/>
      <c r="D100" s="422"/>
      <c r="E100" s="422"/>
      <c r="F100" s="422"/>
      <c r="G100" s="420">
        <f>' CDM Summary'!M21</f>
        <v>35348000</v>
      </c>
      <c r="H100" s="420">
        <f ca="1">($G$100-$M$100)*H68/($G$68-$M$68)</f>
        <v>13300961.853729997</v>
      </c>
      <c r="I100" s="420">
        <f ca="1">($G$100-$M$100)*I68/($G$68-$M$68)</f>
        <v>3779863.3946543122</v>
      </c>
      <c r="J100" s="420">
        <f t="shared" ref="J100:L100" ca="1" si="68">($G$100-$M$100)*J68/($G$68-$M$68)</f>
        <v>10447194.055181818</v>
      </c>
      <c r="K100" s="420">
        <f t="shared" ca="1" si="68"/>
        <v>1349633.5773315008</v>
      </c>
      <c r="L100" s="420">
        <f t="shared" ca="1" si="68"/>
        <v>1472975.274959079</v>
      </c>
      <c r="M100" s="420">
        <f ca="1">' CDM Summary'!M18</f>
        <v>4922378.6358886575</v>
      </c>
      <c r="N100" s="420">
        <f t="shared" ref="N100:O100" ca="1" si="69">($G$100-$M$100)*N68/($G$68-$M$68)</f>
        <v>896.66530212806799</v>
      </c>
      <c r="O100" s="420">
        <f t="shared" ca="1" si="69"/>
        <v>74096.542952510703</v>
      </c>
      <c r="P100" s="420">
        <f t="shared" ca="1" si="65"/>
        <v>35348000</v>
      </c>
    </row>
    <row r="101" spans="1:16">
      <c r="A101" s="421">
        <v>2018</v>
      </c>
      <c r="B101" s="422"/>
      <c r="C101" s="422"/>
      <c r="D101" s="422"/>
      <c r="E101" s="422"/>
      <c r="F101" s="422"/>
      <c r="G101" s="420">
        <f>' CDM Summary'!N21</f>
        <v>46629500</v>
      </c>
      <c r="H101" s="420">
        <f ca="1">($G$101-$M$101)*H69/($G$69-$M$69)</f>
        <v>18101982.976899426</v>
      </c>
      <c r="I101" s="420">
        <f ca="1">($G$101-$M$101)*I69/($G$69-$M$69)</f>
        <v>5170089.6964140413</v>
      </c>
      <c r="J101" s="420">
        <f t="shared" ref="J101:L101" ca="1" si="70">($G$101-$M$101)*J69/($G$69-$M$69)</f>
        <v>14585205.509096621</v>
      </c>
      <c r="K101" s="420">
        <f t="shared" ca="1" si="70"/>
        <v>1897700.8884957391</v>
      </c>
      <c r="L101" s="420">
        <f t="shared" ca="1" si="70"/>
        <v>1810113.8812196092</v>
      </c>
      <c r="M101" s="420">
        <f ca="1">' CDM Summary'!N18</f>
        <v>4963351.5559032811</v>
      </c>
      <c r="N101" s="420">
        <f t="shared" ref="N101:O101" ca="1" si="71">($G$101-$M$101)*N69/($G$69-$M$69)</f>
        <v>1186.8370571800695</v>
      </c>
      <c r="O101" s="420">
        <f t="shared" ca="1" si="71"/>
        <v>99868.654914097075</v>
      </c>
      <c r="P101" s="420">
        <f t="shared" ca="1" si="65"/>
        <v>46629499.999999993</v>
      </c>
    </row>
    <row r="102" spans="1:16">
      <c r="A102" s="421">
        <v>2019</v>
      </c>
      <c r="B102" s="421"/>
      <c r="C102" s="421"/>
      <c r="D102" s="421"/>
      <c r="E102" s="421"/>
      <c r="F102" s="421"/>
      <c r="G102" s="420">
        <f>' CDM Summary'!O21</f>
        <v>58594500</v>
      </c>
      <c r="H102" s="420">
        <f ca="1">($G$102-$M$102)*H70/($G$70-$M$70)</f>
        <v>23121985.010031149</v>
      </c>
      <c r="I102" s="420">
        <f ca="1">($G$102-$M$102)*I70/($G$70-$M$70)</f>
        <v>6637062.5392104052</v>
      </c>
      <c r="J102" s="420">
        <f t="shared" ref="J102:L102" ca="1" si="72">($G$102-$M$102)*J70/($G$70-$M$70)</f>
        <v>19110907.164976928</v>
      </c>
      <c r="K102" s="420">
        <f t="shared" ca="1" si="72"/>
        <v>2504352.779066666</v>
      </c>
      <c r="L102" s="420">
        <f t="shared" ca="1" si="72"/>
        <v>2087719.7501669368</v>
      </c>
      <c r="M102" s="420">
        <f ca="1">' CDM Summary'!O18</f>
        <v>5004665.5265153311</v>
      </c>
      <c r="N102" s="420">
        <f t="shared" ref="N102:O102" ca="1" si="73">($G$102-$M$102)*N70/($G$70-$M$70)</f>
        <v>1474.3740915634467</v>
      </c>
      <c r="O102" s="420">
        <f t="shared" ca="1" si="73"/>
        <v>126332.85594101268</v>
      </c>
      <c r="P102" s="420">
        <f t="shared" ca="1" si="65"/>
        <v>58594500</v>
      </c>
    </row>
    <row r="103" spans="1:16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6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6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6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6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6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6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6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2:14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>
      <c r="B118"/>
      <c r="C118"/>
      <c r="D118"/>
      <c r="E118"/>
      <c r="F118"/>
      <c r="G118"/>
      <c r="H118"/>
      <c r="I118"/>
      <c r="J118"/>
      <c r="K118"/>
      <c r="L118"/>
      <c r="M118"/>
      <c r="N118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zoomScale="89" zoomScaleNormal="89" workbookViewId="0">
      <pane xSplit="1" ySplit="2" topLeftCell="B18" activePane="bottomRight" state="frozen"/>
      <selection pane="topRight"/>
      <selection pane="bottomLeft"/>
      <selection pane="bottomRight"/>
    </sheetView>
  </sheetViews>
  <sheetFormatPr defaultRowHeight="13.2"/>
  <cols>
    <col min="1" max="1" width="11" customWidth="1"/>
    <col min="2" max="2" width="15" style="6" customWidth="1"/>
    <col min="3" max="4" width="14.109375" style="6" bestFit="1" customWidth="1"/>
    <col min="5" max="6" width="14.109375" style="6" customWidth="1"/>
    <col min="7" max="8" width="17.5546875" style="6" customWidth="1"/>
    <col min="9" max="9" width="12.5546875" style="6" customWidth="1"/>
    <col min="10" max="11" width="12.6640625" style="6" bestFit="1" customWidth="1"/>
  </cols>
  <sheetData>
    <row r="2" spans="1:11" ht="42" customHeight="1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4" si="0">SUM(B4:I4)</f>
        <v>58730.5</v>
      </c>
    </row>
    <row r="5" spans="1:11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176">
        <f t="shared" ref="K5:K19" si="1">+J5/J4</f>
        <v>1.015051804428704</v>
      </c>
    </row>
    <row r="6" spans="1:11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176">
        <f t="shared" si="1"/>
        <v>1.0211022486140118</v>
      </c>
    </row>
    <row r="7" spans="1:11">
      <c r="A7" s="4">
        <v>2007</v>
      </c>
      <c r="B7" s="39">
        <f>AVERAGE('Year End Customer'!B10:B11)</f>
        <v>46320</v>
      </c>
      <c r="C7" s="39">
        <f>AVERAGE('Year End Customer'!C10:C11)</f>
        <v>3749</v>
      </c>
      <c r="D7" s="39">
        <f>AVERAGE('Year End Customer'!D10:D11)</f>
        <v>523</v>
      </c>
      <c r="E7" s="38">
        <f>AVERAGE('Year End Customer'!E10:E11)</f>
        <v>2</v>
      </c>
      <c r="F7" s="38">
        <f>AVERAGE('Year End Customer'!F10:F11)</f>
        <v>9</v>
      </c>
      <c r="G7" s="38">
        <f>AVERAGE('Year End Customer'!G10:G11)</f>
        <v>11280.5</v>
      </c>
      <c r="H7" s="39">
        <f>AVERAGE('Year End Customer'!H10:H11)</f>
        <v>26.5</v>
      </c>
      <c r="I7" s="39">
        <f>AVERAGE('Year End Customer'!I10:I11)</f>
        <v>301</v>
      </c>
      <c r="J7" s="38">
        <f t="shared" si="0"/>
        <v>62211</v>
      </c>
      <c r="K7" s="176">
        <f t="shared" si="1"/>
        <v>1.0219885826933344</v>
      </c>
    </row>
    <row r="8" spans="1:11">
      <c r="A8" s="4">
        <v>2008</v>
      </c>
      <c r="B8" s="39">
        <f>AVERAGE('Year End Customer'!B11:B12)</f>
        <v>47057.5</v>
      </c>
      <c r="C8" s="39">
        <f>AVERAGE('Year End Customer'!C11:C12)</f>
        <v>3793.5</v>
      </c>
      <c r="D8" s="39">
        <f>AVERAGE('Year End Customer'!D11:D12)</f>
        <v>533.5</v>
      </c>
      <c r="E8" s="38">
        <f>AVERAGE('Year End Customer'!E11:E12)</f>
        <v>2.5</v>
      </c>
      <c r="F8" s="38">
        <f>AVERAGE('Year End Customer'!F11:F12)</f>
        <v>9</v>
      </c>
      <c r="G8" s="38">
        <f>AVERAGE('Year End Customer'!G11:G12)</f>
        <v>11621.5</v>
      </c>
      <c r="H8" s="39">
        <f>AVERAGE('Year End Customer'!H11:H12)</f>
        <v>26</v>
      </c>
      <c r="I8" s="39">
        <f>AVERAGE('Year End Customer'!I11:I12)</f>
        <v>301</v>
      </c>
      <c r="J8" s="38">
        <f t="shared" si="0"/>
        <v>63344.5</v>
      </c>
      <c r="K8" s="176">
        <f t="shared" si="1"/>
        <v>1.0182202504380253</v>
      </c>
    </row>
    <row r="9" spans="1:11">
      <c r="A9" s="4">
        <v>2009</v>
      </c>
      <c r="B9" s="39">
        <f>AVERAGE('Year End Customer'!B12:B13)</f>
        <v>47602.5</v>
      </c>
      <c r="C9" s="38">
        <f>AVERAGE('Year End Customer'!C12:C13)</f>
        <v>3859.5</v>
      </c>
      <c r="D9" s="39">
        <f>AVERAGE('Year End Customer'!D12:D13)</f>
        <v>525</v>
      </c>
      <c r="E9" s="38">
        <f>AVERAGE('Year End Customer'!E12:E13)</f>
        <v>2</v>
      </c>
      <c r="F9" s="38">
        <f>AVERAGE('Year End Customer'!F12:F13)</f>
        <v>9.5</v>
      </c>
      <c r="G9" s="38">
        <f>AVERAGE('Year End Customer'!G12:G13)</f>
        <v>11801</v>
      </c>
      <c r="H9" s="39">
        <f>AVERAGE('Year End Customer'!H12:H13)</f>
        <v>26</v>
      </c>
      <c r="I9" s="39">
        <f>AVERAGE('Year End Customer'!I12:I13)</f>
        <v>302.5</v>
      </c>
      <c r="J9" s="38">
        <f t="shared" si="0"/>
        <v>64128</v>
      </c>
      <c r="K9" s="176">
        <f t="shared" si="1"/>
        <v>1.0123688718041819</v>
      </c>
    </row>
    <row r="10" spans="1:11">
      <c r="A10" s="4">
        <v>2010</v>
      </c>
      <c r="B10" s="39">
        <f>AVERAGE('Year End Customer'!B13:B14)</f>
        <v>48114.5</v>
      </c>
      <c r="C10" s="39">
        <f>AVERAGE('Year End Customer'!C13:C14)</f>
        <v>3929</v>
      </c>
      <c r="D10" s="39">
        <f>AVERAGE('Year End Customer'!D13:D14)</f>
        <v>512.5</v>
      </c>
      <c r="E10" s="38">
        <f>AVERAGE('Year End Customer'!E13:E14)</f>
        <v>1</v>
      </c>
      <c r="F10" s="38">
        <f>AVERAGE('Year End Customer'!F13:F14)</f>
        <v>10</v>
      </c>
      <c r="G10" s="38">
        <f>AVERAGE('Year End Customer'!G13:G14)</f>
        <v>11995.5</v>
      </c>
      <c r="H10" s="39">
        <f>AVERAGE('Year End Customer'!H13:H14)</f>
        <v>25</v>
      </c>
      <c r="I10" s="39">
        <f>AVERAGE('Year End Customer'!I13:I14)</f>
        <v>306.5</v>
      </c>
      <c r="J10" s="38">
        <f t="shared" si="0"/>
        <v>64894</v>
      </c>
      <c r="K10" s="176">
        <f t="shared" si="1"/>
        <v>1.0119448602794412</v>
      </c>
    </row>
    <row r="11" spans="1:11">
      <c r="A11" s="4">
        <v>2011</v>
      </c>
      <c r="B11" s="39">
        <f>AVERAGE('Year End Customer'!B14:B15)</f>
        <v>48650.5</v>
      </c>
      <c r="C11" s="39">
        <f>AVERAGE('Year End Customer'!C14:C15)</f>
        <v>3888.5</v>
      </c>
      <c r="D11" s="39">
        <f>AVERAGE('Year End Customer'!D14:D15)</f>
        <v>520.5</v>
      </c>
      <c r="E11" s="38">
        <f>AVERAGE('Year End Customer'!E14:E15)</f>
        <v>1</v>
      </c>
      <c r="F11" s="38">
        <f>AVERAGE('Year End Customer'!F14:F15)</f>
        <v>10</v>
      </c>
      <c r="G11" s="38">
        <f>AVERAGE('Year End Customer'!G14:G15)</f>
        <v>12127.5</v>
      </c>
      <c r="H11" s="39">
        <f>AVERAGE('Year End Customer'!H14:H15)</f>
        <v>24</v>
      </c>
      <c r="I11" s="39">
        <f>AVERAGE('Year End Customer'!I14:I15)</f>
        <v>302.5</v>
      </c>
      <c r="J11" s="38">
        <f t="shared" si="0"/>
        <v>65524.5</v>
      </c>
      <c r="K11" s="176">
        <f t="shared" si="1"/>
        <v>1.0097158442999352</v>
      </c>
    </row>
    <row r="12" spans="1:11">
      <c r="A12" s="4">
        <v>2012</v>
      </c>
      <c r="B12" s="39">
        <f>AVERAGE('Year End Customer'!B15:B16)</f>
        <v>49021</v>
      </c>
      <c r="C12" s="39">
        <f>AVERAGE('Year End Customer'!C15:C16)</f>
        <v>3850.5</v>
      </c>
      <c r="D12" s="39">
        <f>AVERAGE('Year End Customer'!D15:D16)</f>
        <v>511.5</v>
      </c>
      <c r="E12" s="38">
        <f>AVERAGE('Year End Customer'!E15:E16)</f>
        <v>1</v>
      </c>
      <c r="F12" s="38">
        <f>AVERAGE('Year End Customer'!F15:F16)</f>
        <v>10.5</v>
      </c>
      <c r="G12" s="38">
        <f>AVERAGE('Year End Customer'!G15:G16)</f>
        <v>12213</v>
      </c>
      <c r="H12" s="39">
        <f>AVERAGE('Year End Customer'!H15:H16)</f>
        <v>24</v>
      </c>
      <c r="I12" s="39">
        <f>AVERAGE('Year End Customer'!I15:I16)</f>
        <v>295.5</v>
      </c>
      <c r="J12" s="38">
        <f t="shared" si="0"/>
        <v>65927</v>
      </c>
      <c r="K12" s="176">
        <f t="shared" si="1"/>
        <v>1.0061427405016443</v>
      </c>
    </row>
    <row r="13" spans="1:11">
      <c r="A13" s="4">
        <v>2013</v>
      </c>
      <c r="B13" s="199">
        <f>AVERAGE('Year End Customer'!B16:B17)</f>
        <v>49511</v>
      </c>
      <c r="C13" s="199">
        <f>AVERAGE('Year End Customer'!C16:C17)</f>
        <v>3902</v>
      </c>
      <c r="D13" s="199">
        <f>AVERAGE('Year End Customer'!D16:D17)</f>
        <v>500</v>
      </c>
      <c r="E13" s="198">
        <f>AVERAGE('Year End Customer'!E16:E17)</f>
        <v>1</v>
      </c>
      <c r="F13" s="198">
        <f>AVERAGE('Year End Customer'!F16:F17)</f>
        <v>11</v>
      </c>
      <c r="G13" s="198">
        <f>AVERAGE('Year End Customer'!G16:G17)</f>
        <v>12327.5</v>
      </c>
      <c r="H13" s="199">
        <f>AVERAGE('Year End Customer'!H16:H17)</f>
        <v>24</v>
      </c>
      <c r="I13" s="199">
        <f>AVERAGE('Year End Customer'!I16:I17)</f>
        <v>295</v>
      </c>
      <c r="J13" s="198">
        <f t="shared" si="0"/>
        <v>66571.5</v>
      </c>
      <c r="K13" s="176">
        <f t="shared" si="1"/>
        <v>1.0097759643241768</v>
      </c>
    </row>
    <row r="14" spans="1:11">
      <c r="A14" s="4">
        <v>2014</v>
      </c>
      <c r="B14" s="21">
        <f>+B13*B$40</f>
        <v>50176.865096229601</v>
      </c>
      <c r="C14" s="21">
        <f t="shared" ref="C14:I14" si="2">+C13*C$40</f>
        <v>3923.9650092846832</v>
      </c>
      <c r="D14" s="21">
        <f t="shared" si="2"/>
        <v>500</v>
      </c>
      <c r="E14" s="21">
        <f t="shared" si="2"/>
        <v>1</v>
      </c>
      <c r="F14" s="21">
        <f t="shared" si="2"/>
        <v>11</v>
      </c>
      <c r="G14" s="21">
        <f t="shared" si="2"/>
        <v>12580.764461270714</v>
      </c>
      <c r="H14" s="21">
        <f t="shared" si="2"/>
        <v>23.144641405622657</v>
      </c>
      <c r="I14" s="21">
        <f t="shared" si="2"/>
        <v>295.30169000587858</v>
      </c>
      <c r="J14" s="21">
        <f t="shared" si="0"/>
        <v>67512.040898196501</v>
      </c>
      <c r="K14" s="176">
        <f t="shared" si="1"/>
        <v>1.0141282815949242</v>
      </c>
    </row>
    <row r="15" spans="1:11">
      <c r="A15" s="4">
        <v>2015</v>
      </c>
      <c r="B15" s="21">
        <f>+B14*B$40</f>
        <v>50851.685299937883</v>
      </c>
      <c r="C15" s="21">
        <f t="shared" ref="C15:C19" si="3">+C14*C$40</f>
        <v>3946.0536632728204</v>
      </c>
      <c r="D15" s="21">
        <f t="shared" ref="D15:D19" si="4">+D14*D$40</f>
        <v>500</v>
      </c>
      <c r="E15" s="21">
        <f t="shared" ref="E15:E19" si="5">+E14*E$40</f>
        <v>1</v>
      </c>
      <c r="F15" s="21">
        <f t="shared" ref="F15:F19" si="6">+F14*F$40</f>
        <v>11</v>
      </c>
      <c r="G15" s="21">
        <f t="shared" ref="G15:G19" si="7">+G14*G$40</f>
        <v>12839.232158180668</v>
      </c>
      <c r="H15" s="21">
        <f t="shared" ref="H15:H19" si="8">+H14*H$40</f>
        <v>22.319767741452615</v>
      </c>
      <c r="I15" s="21">
        <f t="shared" ref="I15:I19" si="9">+I14*I$40</f>
        <v>295.60368854348479</v>
      </c>
      <c r="J15" s="21">
        <f t="shared" ref="J15:J19" si="10">SUM(B15:I15)</f>
        <v>68466.894577676314</v>
      </c>
      <c r="K15" s="176">
        <f t="shared" si="1"/>
        <v>1.0141434574747883</v>
      </c>
    </row>
    <row r="16" spans="1:11">
      <c r="A16" s="4">
        <v>2016</v>
      </c>
      <c r="B16" s="21">
        <f t="shared" ref="B16:B19" si="11">+B15*B$40</f>
        <v>51535.58104685635</v>
      </c>
      <c r="C16" s="21">
        <f t="shared" si="3"/>
        <v>3968.2666579810843</v>
      </c>
      <c r="D16" s="21">
        <f t="shared" si="4"/>
        <v>500</v>
      </c>
      <c r="E16" s="21">
        <f t="shared" si="5"/>
        <v>1</v>
      </c>
      <c r="F16" s="21">
        <f t="shared" si="6"/>
        <v>11</v>
      </c>
      <c r="G16" s="21">
        <f t="shared" si="7"/>
        <v>13103.009989506667</v>
      </c>
      <c r="H16" s="21">
        <f t="shared" si="8"/>
        <v>21.524292526362714</v>
      </c>
      <c r="I16" s="21">
        <f t="shared" si="9"/>
        <v>295.90599592834724</v>
      </c>
      <c r="J16" s="21">
        <f t="shared" si="10"/>
        <v>69436.287982798807</v>
      </c>
      <c r="K16" s="176">
        <f t="shared" si="1"/>
        <v>1.0141585712496819</v>
      </c>
    </row>
    <row r="17" spans="1:11">
      <c r="A17" s="4">
        <v>2017</v>
      </c>
      <c r="B17" s="21">
        <f t="shared" si="11"/>
        <v>52228.674392436391</v>
      </c>
      <c r="C17" s="21">
        <f t="shared" si="3"/>
        <v>3990.6046933441426</v>
      </c>
      <c r="D17" s="21">
        <f t="shared" si="4"/>
        <v>500</v>
      </c>
      <c r="E17" s="21">
        <f t="shared" si="5"/>
        <v>1</v>
      </c>
      <c r="F17" s="21">
        <f t="shared" si="6"/>
        <v>11</v>
      </c>
      <c r="G17" s="21">
        <f t="shared" si="7"/>
        <v>13372.207050225967</v>
      </c>
      <c r="H17" s="21">
        <f t="shared" si="8"/>
        <v>20.757168001349534</v>
      </c>
      <c r="I17" s="21">
        <f t="shared" si="9"/>
        <v>296.20861247631717</v>
      </c>
      <c r="J17" s="21">
        <f t="shared" si="10"/>
        <v>70420.451916484162</v>
      </c>
      <c r="K17" s="176">
        <f t="shared" si="1"/>
        <v>1.0141736253805669</v>
      </c>
    </row>
    <row r="18" spans="1:11">
      <c r="A18" s="4">
        <v>2018</v>
      </c>
      <c r="B18" s="21">
        <f t="shared" si="11"/>
        <v>52931.089033632568</v>
      </c>
      <c r="C18" s="21">
        <f t="shared" si="3"/>
        <v>4013.0684732367117</v>
      </c>
      <c r="D18" s="21">
        <f t="shared" si="4"/>
        <v>500</v>
      </c>
      <c r="E18" s="21">
        <f t="shared" si="5"/>
        <v>1</v>
      </c>
      <c r="F18" s="21">
        <f t="shared" si="6"/>
        <v>11</v>
      </c>
      <c r="G18" s="21">
        <f t="shared" si="7"/>
        <v>13646.934676636505</v>
      </c>
      <c r="H18" s="21">
        <f t="shared" si="8"/>
        <v>20.017383749479173</v>
      </c>
      <c r="I18" s="21">
        <f t="shared" si="9"/>
        <v>296.51153850356894</v>
      </c>
      <c r="J18" s="21">
        <f t="shared" si="10"/>
        <v>71419.621105758837</v>
      </c>
      <c r="K18" s="176">
        <f t="shared" si="1"/>
        <v>1.0141886222266743</v>
      </c>
    </row>
    <row r="19" spans="1:11">
      <c r="A19" s="4">
        <v>2019</v>
      </c>
      <c r="B19" s="21">
        <f t="shared" si="11"/>
        <v>53642.950330978958</v>
      </c>
      <c r="C19" s="21">
        <f t="shared" si="3"/>
        <v>4035.6587054957363</v>
      </c>
      <c r="D19" s="21">
        <f t="shared" si="4"/>
        <v>500</v>
      </c>
      <c r="E19" s="21">
        <f t="shared" si="5"/>
        <v>1</v>
      </c>
      <c r="F19" s="21">
        <f t="shared" si="6"/>
        <v>11</v>
      </c>
      <c r="G19" s="21">
        <f t="shared" si="7"/>
        <v>13927.306492404095</v>
      </c>
      <c r="H19" s="21">
        <f t="shared" si="8"/>
        <v>19.303965365018076</v>
      </c>
      <c r="I19" s="21">
        <f t="shared" si="9"/>
        <v>296.81477432660017</v>
      </c>
      <c r="J19" s="21">
        <f t="shared" si="10"/>
        <v>72434.034268570409</v>
      </c>
      <c r="K19" s="176">
        <f t="shared" si="1"/>
        <v>1.0142035640501288</v>
      </c>
    </row>
    <row r="20" spans="1:11">
      <c r="A20" s="20"/>
    </row>
    <row r="21" spans="1:11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2">D4/D3</f>
        <v>0.94812164579606439</v>
      </c>
      <c r="E23" s="24">
        <f t="shared" si="12"/>
        <v>1</v>
      </c>
      <c r="F23" s="24">
        <f t="shared" si="12"/>
        <v>1.2</v>
      </c>
      <c r="G23" s="24">
        <f t="shared" si="12"/>
        <v>1.0201809324982603</v>
      </c>
      <c r="H23" s="24">
        <f t="shared" si="12"/>
        <v>0.86956521739130432</v>
      </c>
      <c r="I23" s="24">
        <f t="shared" ref="I23" si="13">I4/I3</f>
        <v>1.0068493150684932</v>
      </c>
      <c r="J23" s="24">
        <f>J4/J3</f>
        <v>1.0132849095504697</v>
      </c>
    </row>
    <row r="24" spans="1:11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2"/>
        <v>0.98396226415094334</v>
      </c>
      <c r="E24" s="24">
        <f t="shared" si="12"/>
        <v>0.8</v>
      </c>
      <c r="F24" s="24">
        <f t="shared" si="12"/>
        <v>1.25</v>
      </c>
      <c r="G24" s="24">
        <f t="shared" si="12"/>
        <v>1.0230461898265446</v>
      </c>
      <c r="H24" s="24">
        <f t="shared" si="12"/>
        <v>0.98333333333333328</v>
      </c>
      <c r="I24" s="24">
        <f t="shared" ref="I24" si="14">I5/I4</f>
        <v>1.0034013605442176</v>
      </c>
      <c r="J24" s="24">
        <f t="shared" ref="J24:J31" si="15">J5/J4</f>
        <v>1.015051804428704</v>
      </c>
    </row>
    <row r="25" spans="1:11">
      <c r="A25" s="4">
        <v>2006</v>
      </c>
      <c r="B25" s="24">
        <f t="shared" si="12"/>
        <v>1.0188459253113893</v>
      </c>
      <c r="C25" s="24">
        <f t="shared" ref="C25:C32" si="16">C6/C5</f>
        <v>1.0214363735663572</v>
      </c>
      <c r="D25" s="24">
        <f t="shared" si="12"/>
        <v>1.0067114093959733</v>
      </c>
      <c r="E25" s="24">
        <f t="shared" si="12"/>
        <v>1</v>
      </c>
      <c r="F25" s="24">
        <f t="shared" si="12"/>
        <v>1.1333333333333333</v>
      </c>
      <c r="G25" s="24">
        <f t="shared" si="12"/>
        <v>1.0316711911225414</v>
      </c>
      <c r="H25" s="24">
        <f t="shared" si="12"/>
        <v>0.96610169491525422</v>
      </c>
      <c r="I25" s="24">
        <f t="shared" ref="I25" si="17">I6/I5</f>
        <v>1.0101694915254238</v>
      </c>
      <c r="J25" s="24">
        <f t="shared" si="15"/>
        <v>1.0211022486140118</v>
      </c>
    </row>
    <row r="26" spans="1:11">
      <c r="A26" s="4">
        <v>2007</v>
      </c>
      <c r="B26" s="24">
        <f t="shared" si="12"/>
        <v>1.0193886309117719</v>
      </c>
      <c r="C26" s="24">
        <f t="shared" si="16"/>
        <v>1.0022724234727978</v>
      </c>
      <c r="D26" s="24">
        <f t="shared" si="12"/>
        <v>0.99619047619047618</v>
      </c>
      <c r="E26" s="24">
        <f t="shared" si="12"/>
        <v>1</v>
      </c>
      <c r="F26" s="24">
        <f t="shared" si="12"/>
        <v>1.0588235294117647</v>
      </c>
      <c r="G26" s="24">
        <f t="shared" si="12"/>
        <v>1.0415012464223063</v>
      </c>
      <c r="H26" s="24">
        <f t="shared" si="12"/>
        <v>0.92982456140350878</v>
      </c>
      <c r="I26" s="24">
        <f t="shared" ref="I26" si="18">I7/I6</f>
        <v>1.0100671140939597</v>
      </c>
      <c r="J26" s="24">
        <f t="shared" si="15"/>
        <v>1.0219885826933344</v>
      </c>
    </row>
    <row r="27" spans="1:11">
      <c r="A27" s="4">
        <v>2008</v>
      </c>
      <c r="B27" s="24">
        <f t="shared" si="12"/>
        <v>1.015921848013817</v>
      </c>
      <c r="C27" s="24">
        <f t="shared" si="16"/>
        <v>1.011869831955188</v>
      </c>
      <c r="D27" s="24">
        <f t="shared" si="12"/>
        <v>1.0200764818355641</v>
      </c>
      <c r="E27" s="24">
        <f t="shared" si="12"/>
        <v>1.25</v>
      </c>
      <c r="F27" s="24">
        <f t="shared" si="12"/>
        <v>1</v>
      </c>
      <c r="G27" s="24">
        <f t="shared" si="12"/>
        <v>1.03022915650902</v>
      </c>
      <c r="H27" s="24">
        <f t="shared" si="12"/>
        <v>0.98113207547169812</v>
      </c>
      <c r="I27" s="24">
        <f t="shared" ref="I27" si="19">I8/I7</f>
        <v>1</v>
      </c>
      <c r="J27" s="24">
        <f t="shared" si="15"/>
        <v>1.0182202504380253</v>
      </c>
    </row>
    <row r="28" spans="1:11">
      <c r="A28" s="4">
        <v>2009</v>
      </c>
      <c r="B28" s="24">
        <f t="shared" si="12"/>
        <v>1.0115815757318174</v>
      </c>
      <c r="C28" s="24">
        <f t="shared" si="16"/>
        <v>1.0173981810992487</v>
      </c>
      <c r="D28" s="24">
        <f t="shared" si="12"/>
        <v>0.98406747891283974</v>
      </c>
      <c r="E28" s="24">
        <f t="shared" si="12"/>
        <v>0.8</v>
      </c>
      <c r="F28" s="24">
        <f t="shared" si="12"/>
        <v>1.0555555555555556</v>
      </c>
      <c r="G28" s="24">
        <f t="shared" si="12"/>
        <v>1.0154455104762725</v>
      </c>
      <c r="H28" s="24">
        <f t="shared" si="12"/>
        <v>1</v>
      </c>
      <c r="I28" s="24">
        <f t="shared" ref="I28" si="20">I9/I8</f>
        <v>1.0049833887043189</v>
      </c>
      <c r="J28" s="24">
        <f t="shared" si="15"/>
        <v>1.0123688718041819</v>
      </c>
    </row>
    <row r="29" spans="1:11">
      <c r="A29" s="4">
        <v>2010</v>
      </c>
      <c r="B29" s="24">
        <f t="shared" si="12"/>
        <v>1.0107557376188225</v>
      </c>
      <c r="C29" s="24">
        <f t="shared" si="16"/>
        <v>1.0180075139266744</v>
      </c>
      <c r="D29" s="24">
        <f t="shared" si="12"/>
        <v>0.97619047619047616</v>
      </c>
      <c r="E29" s="24">
        <f t="shared" si="12"/>
        <v>0.5</v>
      </c>
      <c r="F29" s="24">
        <f t="shared" si="12"/>
        <v>1.0526315789473684</v>
      </c>
      <c r="G29" s="24">
        <f t="shared" si="12"/>
        <v>1.0164816540971104</v>
      </c>
      <c r="H29" s="24">
        <f t="shared" si="12"/>
        <v>0.96153846153846156</v>
      </c>
      <c r="I29" s="24">
        <f t="shared" ref="I29" si="21">I10/I9</f>
        <v>1.0132231404958678</v>
      </c>
      <c r="J29" s="24">
        <f t="shared" si="15"/>
        <v>1.0119448602794412</v>
      </c>
    </row>
    <row r="30" spans="1:11">
      <c r="A30" s="4">
        <v>2011</v>
      </c>
      <c r="B30" s="24">
        <f t="shared" ref="B30:H30" si="22">B11/B10</f>
        <v>1.0111400929033867</v>
      </c>
      <c r="C30" s="24">
        <f t="shared" si="16"/>
        <v>0.98969203359633495</v>
      </c>
      <c r="D30" s="24">
        <f t="shared" si="22"/>
        <v>1.015609756097561</v>
      </c>
      <c r="E30" s="24">
        <f t="shared" si="22"/>
        <v>1</v>
      </c>
      <c r="F30" s="24">
        <f t="shared" si="22"/>
        <v>1</v>
      </c>
      <c r="G30" s="24">
        <f t="shared" si="22"/>
        <v>1.0110041265474552</v>
      </c>
      <c r="H30" s="24">
        <f t="shared" si="22"/>
        <v>0.96</v>
      </c>
      <c r="I30" s="24">
        <f t="shared" ref="I30" si="23">I11/I10</f>
        <v>0.98694942903752036</v>
      </c>
      <c r="J30" s="24">
        <f t="shared" si="15"/>
        <v>1.0097158442999352</v>
      </c>
    </row>
    <row r="31" spans="1:11">
      <c r="A31" s="4">
        <v>2012</v>
      </c>
      <c r="B31" s="24">
        <f t="shared" ref="B31:H31" si="24">B12/B11</f>
        <v>1.0076155435195939</v>
      </c>
      <c r="C31" s="24">
        <f t="shared" si="16"/>
        <v>0.99022759418799022</v>
      </c>
      <c r="D31" s="24">
        <f t="shared" si="24"/>
        <v>0.98270893371757928</v>
      </c>
      <c r="E31" s="24">
        <f t="shared" si="24"/>
        <v>1</v>
      </c>
      <c r="F31" s="24">
        <f t="shared" si="24"/>
        <v>1.05</v>
      </c>
      <c r="G31" s="24">
        <f t="shared" si="24"/>
        <v>1.0070500927643784</v>
      </c>
      <c r="H31" s="24">
        <f t="shared" si="24"/>
        <v>1</v>
      </c>
      <c r="I31" s="24">
        <f t="shared" ref="I31" si="25">I12/I11</f>
        <v>0.97685950413223144</v>
      </c>
      <c r="J31" s="24">
        <f t="shared" si="15"/>
        <v>1.0061427405016443</v>
      </c>
    </row>
    <row r="32" spans="1:11">
      <c r="A32" s="4">
        <v>2013</v>
      </c>
      <c r="B32" s="200">
        <f t="shared" ref="B32:B37" si="26">B13/B12</f>
        <v>1.0099957161216622</v>
      </c>
      <c r="C32" s="200">
        <f t="shared" si="16"/>
        <v>1.0133748863783925</v>
      </c>
      <c r="D32" s="200">
        <f t="shared" ref="D32:H32" si="27">D13/D12</f>
        <v>0.97751710654936463</v>
      </c>
      <c r="E32" s="200">
        <f t="shared" si="27"/>
        <v>1</v>
      </c>
      <c r="F32" s="200">
        <f t="shared" si="27"/>
        <v>1.0476190476190477</v>
      </c>
      <c r="G32" s="200">
        <f t="shared" si="27"/>
        <v>1.0093752558748874</v>
      </c>
      <c r="H32" s="200">
        <f t="shared" si="27"/>
        <v>1</v>
      </c>
      <c r="I32" s="200">
        <f t="shared" ref="I32:J32" si="28">I13/I12</f>
        <v>0.99830795262267347</v>
      </c>
      <c r="J32" s="200">
        <f t="shared" si="28"/>
        <v>1.0097759643241768</v>
      </c>
    </row>
    <row r="33" spans="1:10">
      <c r="A33" s="4">
        <v>2014</v>
      </c>
      <c r="B33" s="200">
        <f t="shared" si="26"/>
        <v>1.013448831496629</v>
      </c>
      <c r="C33" s="200">
        <f t="shared" ref="C33:J33" si="29">C14/C13</f>
        <v>1.0056291669104775</v>
      </c>
      <c r="D33" s="200">
        <f t="shared" si="29"/>
        <v>1</v>
      </c>
      <c r="E33" s="200">
        <f t="shared" si="29"/>
        <v>1</v>
      </c>
      <c r="F33" s="200">
        <f t="shared" si="29"/>
        <v>1</v>
      </c>
      <c r="G33" s="200">
        <f t="shared" si="29"/>
        <v>1.0205446733945012</v>
      </c>
      <c r="H33" s="200">
        <f t="shared" si="29"/>
        <v>0.96436005856761076</v>
      </c>
      <c r="I33" s="200">
        <f t="shared" si="29"/>
        <v>1.0010226779860292</v>
      </c>
      <c r="J33" s="200">
        <f t="shared" si="29"/>
        <v>1.0141282815949242</v>
      </c>
    </row>
    <row r="34" spans="1:10">
      <c r="A34" s="4">
        <v>2015</v>
      </c>
      <c r="B34" s="200">
        <f t="shared" si="26"/>
        <v>1.013448831496629</v>
      </c>
      <c r="C34" s="200">
        <f t="shared" ref="C34:J34" si="30">C15/C14</f>
        <v>1.0056291669104775</v>
      </c>
      <c r="D34" s="200">
        <f t="shared" si="30"/>
        <v>1</v>
      </c>
      <c r="E34" s="200">
        <f t="shared" si="30"/>
        <v>1</v>
      </c>
      <c r="F34" s="200">
        <f t="shared" si="30"/>
        <v>1</v>
      </c>
      <c r="G34" s="200">
        <f t="shared" si="30"/>
        <v>1.0205446733945012</v>
      </c>
      <c r="H34" s="200">
        <f t="shared" si="30"/>
        <v>0.96436005856761076</v>
      </c>
      <c r="I34" s="200">
        <f t="shared" si="30"/>
        <v>1.0010226779860292</v>
      </c>
      <c r="J34" s="200">
        <f t="shared" si="30"/>
        <v>1.0141434574747883</v>
      </c>
    </row>
    <row r="35" spans="1:10">
      <c r="A35" s="4">
        <v>2016</v>
      </c>
      <c r="B35" s="200">
        <f t="shared" si="26"/>
        <v>1.013448831496629</v>
      </c>
      <c r="C35" s="200">
        <f t="shared" ref="C35:J35" si="31">C16/C15</f>
        <v>1.0056291669104775</v>
      </c>
      <c r="D35" s="200">
        <f t="shared" si="31"/>
        <v>1</v>
      </c>
      <c r="E35" s="200">
        <f t="shared" si="31"/>
        <v>1</v>
      </c>
      <c r="F35" s="200">
        <f t="shared" si="31"/>
        <v>1</v>
      </c>
      <c r="G35" s="200">
        <f t="shared" si="31"/>
        <v>1.0205446733945012</v>
      </c>
      <c r="H35" s="200">
        <f t="shared" si="31"/>
        <v>0.96436005856761076</v>
      </c>
      <c r="I35" s="200">
        <f t="shared" si="31"/>
        <v>1.0010226779860292</v>
      </c>
      <c r="J35" s="200">
        <f t="shared" si="31"/>
        <v>1.0141585712496819</v>
      </c>
    </row>
    <row r="36" spans="1:10">
      <c r="A36" s="4">
        <v>2017</v>
      </c>
      <c r="B36" s="200">
        <f t="shared" si="26"/>
        <v>1.013448831496629</v>
      </c>
      <c r="C36" s="200">
        <f t="shared" ref="C36:J36" si="32">C17/C16</f>
        <v>1.0056291669104775</v>
      </c>
      <c r="D36" s="200">
        <f t="shared" si="32"/>
        <v>1</v>
      </c>
      <c r="E36" s="200">
        <f t="shared" si="32"/>
        <v>1</v>
      </c>
      <c r="F36" s="200">
        <f t="shared" si="32"/>
        <v>1</v>
      </c>
      <c r="G36" s="200">
        <f t="shared" si="32"/>
        <v>1.0205446733945012</v>
      </c>
      <c r="H36" s="200">
        <f t="shared" si="32"/>
        <v>0.96436005856761076</v>
      </c>
      <c r="I36" s="200">
        <f t="shared" si="32"/>
        <v>1.0010226779860292</v>
      </c>
      <c r="J36" s="200">
        <f t="shared" si="32"/>
        <v>1.0141736253805669</v>
      </c>
    </row>
    <row r="37" spans="1:10">
      <c r="A37" s="4">
        <v>2018</v>
      </c>
      <c r="B37" s="200">
        <f t="shared" si="26"/>
        <v>1.013448831496629</v>
      </c>
      <c r="C37" s="200">
        <f t="shared" ref="C37:J37" si="33">C18/C17</f>
        <v>1.0056291669104775</v>
      </c>
      <c r="D37" s="200">
        <f t="shared" si="33"/>
        <v>1</v>
      </c>
      <c r="E37" s="200">
        <f t="shared" si="33"/>
        <v>1</v>
      </c>
      <c r="F37" s="200">
        <f t="shared" si="33"/>
        <v>1</v>
      </c>
      <c r="G37" s="200">
        <f t="shared" si="33"/>
        <v>1.0205446733945012</v>
      </c>
      <c r="H37" s="200">
        <f t="shared" si="33"/>
        <v>0.96436005856761076</v>
      </c>
      <c r="I37" s="200">
        <f t="shared" si="33"/>
        <v>1.0010226779860292</v>
      </c>
      <c r="J37" s="200">
        <f t="shared" si="33"/>
        <v>1.0141886222266743</v>
      </c>
    </row>
    <row r="38" spans="1:10">
      <c r="A38" s="4">
        <v>2019</v>
      </c>
      <c r="B38" s="201"/>
      <c r="C38" s="201"/>
      <c r="D38" s="201"/>
      <c r="E38" s="201"/>
      <c r="F38" s="201"/>
      <c r="G38" s="201"/>
      <c r="H38" s="201"/>
      <c r="I38" s="201"/>
      <c r="J38" s="202"/>
    </row>
    <row r="40" spans="1:10">
      <c r="A40" t="s">
        <v>56</v>
      </c>
      <c r="B40" s="99">
        <f>+B42</f>
        <v>1.013448831496629</v>
      </c>
      <c r="C40" s="102">
        <f>+C42</f>
        <v>1.0056291669104775</v>
      </c>
      <c r="D40" s="102">
        <v>1</v>
      </c>
      <c r="E40" s="99">
        <f>+D40</f>
        <v>1</v>
      </c>
      <c r="F40" s="99">
        <f>+D40</f>
        <v>1</v>
      </c>
      <c r="G40" s="99">
        <f>+G42</f>
        <v>1.0205446733945012</v>
      </c>
      <c r="H40" s="99">
        <f>+H42</f>
        <v>0.96436005856761076</v>
      </c>
      <c r="I40" s="99">
        <f>+I42</f>
        <v>1.0010226779860292</v>
      </c>
      <c r="J40" s="99">
        <f>+J42</f>
        <v>1.0139478576365799</v>
      </c>
    </row>
    <row r="41" spans="1:10">
      <c r="B41" s="25"/>
      <c r="C41" s="25"/>
      <c r="D41" s="25"/>
      <c r="E41" s="25"/>
      <c r="F41" s="25"/>
      <c r="G41" s="25"/>
      <c r="H41" s="25"/>
      <c r="I41" s="25"/>
    </row>
    <row r="42" spans="1:10">
      <c r="A42" t="s">
        <v>13</v>
      </c>
      <c r="B42" s="25">
        <f>GEOMEAN(B23:B32)</f>
        <v>1.013448831496629</v>
      </c>
      <c r="C42" s="25">
        <f>GEOMEAN(C23:C32)</f>
        <v>1.0056291669104775</v>
      </c>
      <c r="D42" s="25">
        <f>GEOMEAN(D23:D32)</f>
        <v>0.98890783927168779</v>
      </c>
      <c r="E42" s="25">
        <f>GEOMEAN(E23:E32)</f>
        <v>0.91244353655548083</v>
      </c>
      <c r="F42" s="25">
        <f t="shared" ref="F42:J42" si="34">GEOMEAN(F23:F32)</f>
        <v>1.0820373898183429</v>
      </c>
      <c r="G42" s="25">
        <f t="shared" si="34"/>
        <v>1.0205446733945012</v>
      </c>
      <c r="H42" s="25">
        <f t="shared" si="34"/>
        <v>0.96436005856761076</v>
      </c>
      <c r="I42" s="25">
        <f t="shared" si="34"/>
        <v>1.0010226779860292</v>
      </c>
      <c r="J42" s="25">
        <f t="shared" si="34"/>
        <v>1.0139478576365799</v>
      </c>
    </row>
    <row r="43" spans="1:10">
      <c r="A43" s="4"/>
      <c r="B43" s="25"/>
      <c r="C43" s="25"/>
      <c r="D43" s="25"/>
      <c r="E43" s="25"/>
      <c r="F43" s="25"/>
      <c r="G43" s="25"/>
      <c r="H43" s="25"/>
      <c r="I43" s="25"/>
    </row>
    <row r="44" spans="1:10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5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2"/>
  <cols>
    <col min="1" max="1" width="11" customWidth="1"/>
    <col min="2" max="2" width="14.109375" style="6" bestFit="1" customWidth="1"/>
    <col min="3" max="4" width="14.109375" style="6" customWidth="1"/>
    <col min="5" max="6" width="17.6640625" style="6" customWidth="1"/>
    <col min="7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/>
  </cols>
  <sheetData>
    <row r="1" spans="1:7" ht="42" customHeight="1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69" t="s">
        <v>78</v>
      </c>
      <c r="G1" s="6" t="s">
        <v>9</v>
      </c>
    </row>
    <row r="2" spans="1:7">
      <c r="A2" s="29">
        <v>2003</v>
      </c>
      <c r="B2" s="44">
        <v>806199.49000000011</v>
      </c>
      <c r="C2" s="43">
        <v>349045.15</v>
      </c>
      <c r="D2" s="43">
        <v>197712.36</v>
      </c>
      <c r="E2" s="44">
        <v>23226.94</v>
      </c>
      <c r="F2" s="44">
        <v>126.50277777777779</v>
      </c>
      <c r="G2" s="6">
        <f>SUM(B2:F2)</f>
        <v>1376310.4427777778</v>
      </c>
    </row>
    <row r="3" spans="1:7">
      <c r="A3" s="29">
        <v>2004</v>
      </c>
      <c r="B3" s="44">
        <v>957450.82</v>
      </c>
      <c r="C3" s="43">
        <v>243130.85</v>
      </c>
      <c r="D3" s="43">
        <v>135213.89000000001</v>
      </c>
      <c r="E3" s="44">
        <v>23584.5</v>
      </c>
      <c r="F3" s="44">
        <v>123.24722222222222</v>
      </c>
      <c r="G3" s="6">
        <f t="shared" ref="G3:G11" si="0">SUM(B3:F3)</f>
        <v>1359503.3072222222</v>
      </c>
    </row>
    <row r="4" spans="1:7">
      <c r="A4" s="29">
        <v>2005</v>
      </c>
      <c r="B4" s="44">
        <v>913899.12999999989</v>
      </c>
      <c r="C4" s="43">
        <v>154705.01</v>
      </c>
      <c r="D4" s="43">
        <v>142187.47</v>
      </c>
      <c r="E4" s="44">
        <v>24114.33</v>
      </c>
      <c r="F4" s="44">
        <v>119.99166666666666</v>
      </c>
      <c r="G4" s="6">
        <f t="shared" si="0"/>
        <v>1235025.9316666666</v>
      </c>
    </row>
    <row r="5" spans="1:7">
      <c r="A5" s="29">
        <v>2006</v>
      </c>
      <c r="B5" s="44">
        <v>893943</v>
      </c>
      <c r="C5" s="43">
        <v>134252</v>
      </c>
      <c r="D5" s="43">
        <v>178422</v>
      </c>
      <c r="E5" s="44">
        <v>24802</v>
      </c>
      <c r="F5" s="44">
        <v>118.31944444444447</v>
      </c>
      <c r="G5" s="6">
        <f t="shared" si="0"/>
        <v>1231537.3194444445</v>
      </c>
    </row>
    <row r="6" spans="1:7">
      <c r="A6" s="29">
        <v>2007</v>
      </c>
      <c r="B6" s="44">
        <v>887017</v>
      </c>
      <c r="C6" s="43">
        <v>135954</v>
      </c>
      <c r="D6" s="43">
        <v>214029</v>
      </c>
      <c r="E6" s="44">
        <v>25740</v>
      </c>
      <c r="F6" s="44">
        <v>115.0222222222222</v>
      </c>
      <c r="G6" s="6">
        <f t="shared" si="0"/>
        <v>1262855.0222222223</v>
      </c>
    </row>
    <row r="7" spans="1:7">
      <c r="A7" s="29">
        <v>2008</v>
      </c>
      <c r="B7" s="44">
        <v>876464</v>
      </c>
      <c r="C7" s="43">
        <v>124131</v>
      </c>
      <c r="D7" s="43">
        <v>204487</v>
      </c>
      <c r="E7" s="44">
        <v>26489</v>
      </c>
      <c r="F7" s="44">
        <v>108.9805555555556</v>
      </c>
      <c r="G7" s="6">
        <f t="shared" si="0"/>
        <v>1231679.9805555556</v>
      </c>
    </row>
    <row r="8" spans="1:7">
      <c r="A8" s="29">
        <v>2009</v>
      </c>
      <c r="B8" s="44">
        <v>861503</v>
      </c>
      <c r="C8" s="43">
        <v>89007</v>
      </c>
      <c r="D8" s="43">
        <v>190299</v>
      </c>
      <c r="E8" s="44">
        <v>27041</v>
      </c>
      <c r="F8" s="44">
        <v>102.2</v>
      </c>
      <c r="G8" s="6">
        <f t="shared" si="0"/>
        <v>1167952.2</v>
      </c>
    </row>
    <row r="9" spans="1:7">
      <c r="A9" s="29">
        <v>2010</v>
      </c>
      <c r="B9" s="44">
        <v>871715</v>
      </c>
      <c r="C9" s="43">
        <v>70585</v>
      </c>
      <c r="D9" s="43">
        <v>195141</v>
      </c>
      <c r="E9" s="44">
        <v>27634</v>
      </c>
      <c r="F9" s="44">
        <v>99.477777777777803</v>
      </c>
      <c r="G9" s="6">
        <f t="shared" si="0"/>
        <v>1165174.4777777777</v>
      </c>
    </row>
    <row r="10" spans="1:7">
      <c r="A10" s="29">
        <v>2011</v>
      </c>
      <c r="B10" s="204">
        <v>867070</v>
      </c>
      <c r="C10" s="204">
        <v>83704</v>
      </c>
      <c r="D10" s="204">
        <v>192700</v>
      </c>
      <c r="E10" s="204">
        <v>27830</v>
      </c>
      <c r="F10" s="204">
        <v>100</v>
      </c>
      <c r="G10" s="6">
        <f t="shared" si="0"/>
        <v>1171404</v>
      </c>
    </row>
    <row r="11" spans="1:7">
      <c r="A11" s="29">
        <v>2012</v>
      </c>
      <c r="B11" s="204">
        <v>846459</v>
      </c>
      <c r="C11" s="204">
        <v>89554</v>
      </c>
      <c r="D11" s="204">
        <v>182189</v>
      </c>
      <c r="E11" s="204">
        <v>27720</v>
      </c>
      <c r="F11" s="204">
        <v>100</v>
      </c>
      <c r="G11" s="6">
        <f t="shared" si="0"/>
        <v>1146022</v>
      </c>
    </row>
    <row r="12" spans="1:7">
      <c r="A12" s="29">
        <v>2013</v>
      </c>
      <c r="B12" s="204">
        <v>844838</v>
      </c>
      <c r="C12" s="204">
        <v>93930</v>
      </c>
      <c r="D12" s="204">
        <v>186993</v>
      </c>
      <c r="E12" s="204">
        <v>25374</v>
      </c>
      <c r="F12" s="204">
        <v>100</v>
      </c>
      <c r="G12" s="6">
        <f t="shared" ref="G12:G18" si="1">SUM(B12:F12)</f>
        <v>1151235</v>
      </c>
    </row>
    <row r="13" spans="1:7">
      <c r="A13" s="29">
        <v>2014</v>
      </c>
      <c r="B13" s="30">
        <f ca="1">'Rate Class Energy Model'!J73*'Rate Class Load Model'!B$43</f>
        <v>890341.30888604652</v>
      </c>
      <c r="C13" s="30">
        <f ca="1">'Rate Class Energy Model'!K73*'Rate Class Load Model'!C$43</f>
        <v>99719.184321219553</v>
      </c>
      <c r="D13" s="30">
        <f ca="1">'Rate Class Energy Model'!L73*'Rate Class Load Model'!D$43</f>
        <v>160154.9419082847</v>
      </c>
      <c r="E13" s="30">
        <f ca="1">'Rate Class Energy Model'!M73*'Rate Class Load Model'!E$43</f>
        <v>24692.191175639095</v>
      </c>
      <c r="F13" s="30">
        <f ca="1">'Rate Class Energy Model'!N73*'Rate Class Load Model'!F$43</f>
        <v>102.50589374206074</v>
      </c>
      <c r="G13" s="6">
        <f t="shared" ca="1" si="1"/>
        <v>1175010.132184932</v>
      </c>
    </row>
    <row r="14" spans="1:7">
      <c r="A14" s="29">
        <v>2015</v>
      </c>
      <c r="B14" s="30">
        <f ca="1">'Rate Class Energy Model'!J74*'Rate Class Load Model'!B$43</f>
        <v>909226.9520407723</v>
      </c>
      <c r="C14" s="30">
        <f ca="1">'Rate Class Energy Model'!K74*'Rate Class Load Model'!C$43</f>
        <v>103417.12769916181</v>
      </c>
      <c r="D14" s="30">
        <f ca="1">'Rate Class Energy Model'!L74*'Rate Class Load Model'!D$43</f>
        <v>144057.56710938812</v>
      </c>
      <c r="E14" s="30">
        <f ca="1">'Rate Class Energy Model'!M74*'Rate Class Load Model'!E$43</f>
        <v>24897.72416057629</v>
      </c>
      <c r="F14" s="30">
        <f ca="1">'Rate Class Energy Model'!N74*'Rate Class Load Model'!F$43</f>
        <v>100.07173694122832</v>
      </c>
      <c r="G14" s="6">
        <f t="shared" ca="1" si="1"/>
        <v>1181699.4427468395</v>
      </c>
    </row>
    <row r="15" spans="1:7">
      <c r="A15" s="29">
        <v>2016</v>
      </c>
      <c r="B15" s="30">
        <f ca="1">'Rate Class Energy Model'!J75*'Rate Class Load Model'!B$43</f>
        <v>930015.55350352335</v>
      </c>
      <c r="C15" s="30">
        <f ca="1">'Rate Class Energy Model'!K75*'Rate Class Load Model'!C$43</f>
        <v>107252.20402017362</v>
      </c>
      <c r="D15" s="30">
        <f ca="1">'Rate Class Energy Model'!L75*'Rate Class Load Model'!D$43</f>
        <v>129771.82666424544</v>
      </c>
      <c r="E15" s="30">
        <f ca="1">'Rate Class Energy Model'!M75*'Rate Class Load Model'!E$43</f>
        <v>25104.9679620059</v>
      </c>
      <c r="F15" s="30">
        <f ca="1">'Rate Class Energy Model'!N75*'Rate Class Load Model'!F$43</f>
        <v>97.69538285899813</v>
      </c>
      <c r="G15" s="6">
        <f t="shared" ca="1" si="1"/>
        <v>1192242.2475328073</v>
      </c>
    </row>
    <row r="16" spans="1:7">
      <c r="A16" s="29">
        <v>2017</v>
      </c>
      <c r="B16" s="30">
        <f ca="1">'Rate Class Energy Model'!J76*'Rate Class Load Model'!B$43</f>
        <v>945722.36641713907</v>
      </c>
      <c r="C16" s="30">
        <f ca="1">'Rate Class Energy Model'!K76*'Rate Class Load Model'!C$43</f>
        <v>111229.49866338418</v>
      </c>
      <c r="D16" s="30">
        <f ca="1">'Rate Class Energy Model'!L76*'Rate Class Load Model'!D$43</f>
        <v>116274.6801350304</v>
      </c>
      <c r="E16" s="30">
        <f ca="1">'Rate Class Energy Model'!M76*'Rate Class Load Model'!E$43</f>
        <v>25313.936820430834</v>
      </c>
      <c r="F16" s="30">
        <f ca="1">'Rate Class Energy Model'!N76*'Rate Class Load Model'!F$43</f>
        <v>95.375458882777238</v>
      </c>
      <c r="G16" s="6">
        <f t="shared" ca="1" si="1"/>
        <v>1198635.8574948674</v>
      </c>
    </row>
    <row r="17" spans="1:8">
      <c r="A17" s="29">
        <v>2018</v>
      </c>
      <c r="B17" s="30">
        <f ca="1">'Rate Class Energy Model'!J77*'Rate Class Load Model'!B$43</f>
        <v>963363.78862089431</v>
      </c>
      <c r="C17" s="30">
        <f ca="1">'Rate Class Energy Model'!K77*'Rate Class Load Model'!C$43</f>
        <v>115354.2855919368</v>
      </c>
      <c r="D17" s="30">
        <f ca="1">'Rate Class Energy Model'!L77*'Rate Class Load Model'!D$43</f>
        <v>104348.71093454893</v>
      </c>
      <c r="E17" s="30">
        <f ca="1">'Rate Class Energy Model'!M77*'Rate Class Load Model'!E$43</f>
        <v>25524.645094889183</v>
      </c>
      <c r="F17" s="30">
        <f ca="1">'Rate Class Energy Model'!N77*'Rate Class Load Model'!F$43</f>
        <v>93.110624994725754</v>
      </c>
      <c r="G17" s="6">
        <f t="shared" ca="1" si="1"/>
        <v>1208684.5408672639</v>
      </c>
    </row>
    <row r="18" spans="1:8">
      <c r="A18" s="29">
        <v>2019</v>
      </c>
      <c r="B18" s="30">
        <f ca="1">'Rate Class Energy Model'!J78*'Rate Class Load Model'!B$43</f>
        <v>980621.11374221498</v>
      </c>
      <c r="C18" s="30">
        <f ca="1">'Rate Class Energy Model'!K78*'Rate Class Load Model'!C$43</f>
        <v>119632.03434635766</v>
      </c>
      <c r="D18" s="30">
        <f ca="1">'Rate Class Energy Model'!L78*'Rate Class Load Model'!D$43</f>
        <v>93584.275555286484</v>
      </c>
      <c r="E18" s="30">
        <f ca="1">'Rate Class Energy Model'!M78*'Rate Class Load Model'!E$43</f>
        <v>25737.107263940867</v>
      </c>
      <c r="F18" s="30">
        <f ca="1">'Rate Class Energy Model'!N78*'Rate Class Load Model'!F$43</f>
        <v>90.899572997745139</v>
      </c>
      <c r="G18" s="6">
        <f t="shared" ca="1" si="1"/>
        <v>1219665.4304807978</v>
      </c>
    </row>
    <row r="19" spans="1:8">
      <c r="A19" s="20"/>
    </row>
    <row r="20" spans="1:8">
      <c r="A20" s="19" t="s">
        <v>57</v>
      </c>
      <c r="B20" s="5"/>
      <c r="C20" s="5"/>
      <c r="D20" s="5"/>
      <c r="E20" s="5"/>
      <c r="F20" s="5"/>
    </row>
    <row r="21" spans="1:8">
      <c r="A21" s="4">
        <v>1999</v>
      </c>
      <c r="B21" s="205"/>
      <c r="C21" s="205"/>
      <c r="D21" s="205"/>
      <c r="E21" s="205"/>
      <c r="F21" s="205"/>
      <c r="G21" s="202"/>
      <c r="H21" s="202"/>
    </row>
    <row r="22" spans="1:8">
      <c r="A22" s="4">
        <v>2000</v>
      </c>
      <c r="B22" s="205"/>
      <c r="C22" s="205"/>
      <c r="D22" s="205"/>
      <c r="E22" s="205"/>
      <c r="F22" s="205"/>
      <c r="G22" s="202"/>
      <c r="H22" s="202"/>
    </row>
    <row r="23" spans="1:8">
      <c r="A23" s="4">
        <v>2001</v>
      </c>
      <c r="B23" s="205"/>
      <c r="C23" s="205"/>
      <c r="D23" s="205"/>
      <c r="E23" s="205"/>
      <c r="F23" s="205"/>
      <c r="G23" s="202"/>
      <c r="H23" s="202"/>
    </row>
    <row r="24" spans="1:8">
      <c r="A24" s="4">
        <v>2002</v>
      </c>
      <c r="B24" s="205"/>
      <c r="C24" s="205"/>
      <c r="D24" s="205"/>
      <c r="E24" s="205"/>
      <c r="F24" s="205"/>
      <c r="G24" s="202"/>
      <c r="H24" s="202"/>
    </row>
    <row r="25" spans="1:8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>
      <c r="A35" s="4">
        <v>2013</v>
      </c>
      <c r="B35" s="28">
        <f>B12/'Rate Class Energy Model'!J17</f>
        <v>2.5060180586312319E-3</v>
      </c>
      <c r="C35" s="28">
        <f>C12/'Rate Class Energy Model'!K17</f>
        <v>2.2191918441852791E-3</v>
      </c>
      <c r="D35" s="28">
        <f>D12/'Rate Class Energy Model'!L17</f>
        <v>2.3617314554482531E-3</v>
      </c>
      <c r="E35" s="28">
        <f>E12/'Rate Class Energy Model'!M17</f>
        <v>2.7937906368045748E-3</v>
      </c>
      <c r="F35" s="28">
        <f>F12/'Rate Class Energy Model'!N17</f>
        <v>2.7923601027588516E-3</v>
      </c>
      <c r="G35" s="28">
        <f t="shared" si="3"/>
        <v>2.4612490344509143E-3</v>
      </c>
      <c r="H35" s="6">
        <f>SUM('Rate Class Energy Model'!J17:N17)</f>
        <v>467744216</v>
      </c>
    </row>
    <row r="36" spans="1:8">
      <c r="A36" s="4">
        <v>2014</v>
      </c>
      <c r="B36" s="205"/>
      <c r="C36" s="205"/>
      <c r="D36" s="205"/>
      <c r="E36" s="205"/>
      <c r="F36" s="205"/>
      <c r="G36" s="205"/>
      <c r="H36" s="202"/>
    </row>
    <row r="37" spans="1:8">
      <c r="A37" s="4">
        <v>2015</v>
      </c>
      <c r="B37" s="205"/>
      <c r="C37" s="205"/>
      <c r="D37" s="205"/>
      <c r="E37" s="205"/>
      <c r="F37" s="205"/>
      <c r="G37" s="205"/>
      <c r="H37" s="202"/>
    </row>
    <row r="38" spans="1:8">
      <c r="A38" s="4">
        <v>2016</v>
      </c>
      <c r="B38" s="205"/>
      <c r="C38" s="205"/>
      <c r="D38" s="205"/>
      <c r="E38" s="205"/>
      <c r="F38" s="205"/>
      <c r="G38" s="205"/>
      <c r="H38" s="202"/>
    </row>
    <row r="39" spans="1:8">
      <c r="A39" s="4">
        <v>2017</v>
      </c>
      <c r="B39" s="205"/>
      <c r="C39" s="205"/>
      <c r="D39" s="205"/>
      <c r="E39" s="205"/>
      <c r="F39" s="205"/>
      <c r="G39" s="205"/>
      <c r="H39" s="202"/>
    </row>
    <row r="40" spans="1:8">
      <c r="A40" s="4">
        <v>2018</v>
      </c>
      <c r="B40" s="205"/>
      <c r="C40" s="205"/>
      <c r="D40" s="205"/>
      <c r="E40" s="205"/>
      <c r="F40" s="205"/>
      <c r="G40" s="205"/>
      <c r="H40" s="202"/>
    </row>
    <row r="41" spans="1:8">
      <c r="A41" s="4">
        <v>2019</v>
      </c>
      <c r="B41" s="205"/>
      <c r="C41" s="205"/>
      <c r="D41" s="205"/>
      <c r="E41" s="205"/>
      <c r="F41" s="205"/>
      <c r="G41" s="205"/>
      <c r="H41" s="202"/>
    </row>
    <row r="43" spans="1:8">
      <c r="A43" s="66" t="s">
        <v>56</v>
      </c>
      <c r="B43" s="100">
        <f t="shared" ref="B43:G43" si="4">+B45</f>
        <v>2.5310329652269521E-3</v>
      </c>
      <c r="C43" s="100">
        <f t="shared" si="4"/>
        <v>2.2717235940193283E-3</v>
      </c>
      <c r="D43" s="100">
        <f t="shared" si="4"/>
        <v>2.2046064532645539E-3</v>
      </c>
      <c r="E43" s="100">
        <f t="shared" si="4"/>
        <v>2.6962771571829355E-3</v>
      </c>
      <c r="F43" s="100">
        <f t="shared" si="4"/>
        <v>2.9319574238154734E-3</v>
      </c>
      <c r="G43" s="100">
        <f t="shared" si="4"/>
        <v>2.4359006905262355E-3</v>
      </c>
    </row>
    <row r="45" spans="1:8">
      <c r="A45" t="s">
        <v>12</v>
      </c>
      <c r="B45" s="404">
        <f>AVERAGE(B25:B35)</f>
        <v>2.5310329652269521E-3</v>
      </c>
      <c r="C45" s="404">
        <f t="shared" ref="C45:G45" si="5">AVERAGE(C25:C35)</f>
        <v>2.2717235940193283E-3</v>
      </c>
      <c r="D45" s="404">
        <f t="shared" si="5"/>
        <v>2.2046064532645539E-3</v>
      </c>
      <c r="E45" s="404">
        <f t="shared" si="5"/>
        <v>2.6962771571829355E-3</v>
      </c>
      <c r="F45" s="404">
        <f t="shared" si="5"/>
        <v>2.9319574238154734E-3</v>
      </c>
      <c r="G45" s="404">
        <f t="shared" si="5"/>
        <v>2.4359006905262355E-3</v>
      </c>
    </row>
    <row r="48" spans="1:8">
      <c r="A48" s="4">
        <v>2014</v>
      </c>
      <c r="B48" s="28">
        <f ca="1">B13/'Rate Class Energy Model'!J73</f>
        <v>2.5310329652269521E-3</v>
      </c>
      <c r="C48" s="28">
        <f ca="1">C13/'Rate Class Energy Model'!K73</f>
        <v>2.2717235940193283E-3</v>
      </c>
      <c r="D48" s="28">
        <f ca="1">D13/'Rate Class Energy Model'!L73</f>
        <v>2.2046064532645539E-3</v>
      </c>
      <c r="E48" s="28">
        <f ca="1">E13/'Rate Class Energy Model'!M73</f>
        <v>2.6962771571829355E-3</v>
      </c>
      <c r="F48" s="28">
        <f ca="1">F13/'Rate Class Energy Model'!N73</f>
        <v>2.9319574238154734E-3</v>
      </c>
      <c r="G48" s="28">
        <f ca="1">G13/H48</f>
        <v>2.4607325523372781E-3</v>
      </c>
      <c r="H48" s="6">
        <f ca="1">SUM('Rate Class Energy Model'!J73:N73)</f>
        <v>477504201.36835748</v>
      </c>
    </row>
    <row r="49" spans="1:8">
      <c r="A49" s="4">
        <v>2015</v>
      </c>
      <c r="B49" s="28">
        <f ca="1">B14/'Rate Class Energy Model'!J74</f>
        <v>2.5310329652269521E-3</v>
      </c>
      <c r="C49" s="28">
        <f ca="1">C14/'Rate Class Energy Model'!K74</f>
        <v>2.2717235940193283E-3</v>
      </c>
      <c r="D49" s="28">
        <f ca="1">D14/'Rate Class Energy Model'!L74</f>
        <v>2.2046064532645539E-3</v>
      </c>
      <c r="E49" s="28">
        <f ca="1">E14/'Rate Class Energy Model'!M74</f>
        <v>2.6962771571829355E-3</v>
      </c>
      <c r="F49" s="28">
        <f ca="1">F14/'Rate Class Energy Model'!N74</f>
        <v>2.9319574238154734E-3</v>
      </c>
      <c r="G49" s="28">
        <f t="shared" ref="G49:G53" ca="1" si="6">G14/H49</f>
        <v>2.4651229316149095E-3</v>
      </c>
      <c r="H49" s="6">
        <f ca="1">SUM('Rate Class Energy Model'!J74:N74)</f>
        <v>479367348.21281493</v>
      </c>
    </row>
    <row r="50" spans="1:8">
      <c r="A50" s="4">
        <v>2016</v>
      </c>
      <c r="B50" s="28">
        <f ca="1">B15/'Rate Class Energy Model'!J75</f>
        <v>2.5310329652269521E-3</v>
      </c>
      <c r="C50" s="28">
        <f ca="1">C15/'Rate Class Energy Model'!K75</f>
        <v>2.2717235940193283E-3</v>
      </c>
      <c r="D50" s="28">
        <f ca="1">D15/'Rate Class Energy Model'!L75</f>
        <v>2.2046064532645539E-3</v>
      </c>
      <c r="E50" s="28">
        <f ca="1">E15/'Rate Class Energy Model'!M75</f>
        <v>2.6962771571829355E-3</v>
      </c>
      <c r="F50" s="28">
        <f ca="1">F15/'Rate Class Energy Model'!N75</f>
        <v>2.9319574238154734E-3</v>
      </c>
      <c r="G50" s="28">
        <f t="shared" ca="1" si="6"/>
        <v>2.4690999864428191E-3</v>
      </c>
      <c r="H50" s="6">
        <f ca="1">SUM('Rate Class Energy Model'!J75:N75)</f>
        <v>482865114.44619375</v>
      </c>
    </row>
    <row r="51" spans="1:8">
      <c r="A51" s="4">
        <v>2017</v>
      </c>
      <c r="B51" s="28">
        <f ca="1">B16/'Rate Class Energy Model'!J76</f>
        <v>2.5310329652269521E-3</v>
      </c>
      <c r="C51" s="28">
        <f ca="1">C16/'Rate Class Energy Model'!K76</f>
        <v>2.2717235940193283E-3</v>
      </c>
      <c r="D51" s="28">
        <f ca="1">D16/'Rate Class Energy Model'!L76</f>
        <v>2.2046064532645539E-3</v>
      </c>
      <c r="E51" s="28">
        <f ca="1">E16/'Rate Class Energy Model'!M76</f>
        <v>2.6962771571829355E-3</v>
      </c>
      <c r="F51" s="28">
        <f ca="1">F16/'Rate Class Energy Model'!N76</f>
        <v>2.9319574238154734E-3</v>
      </c>
      <c r="G51" s="28">
        <f t="shared" ca="1" si="6"/>
        <v>2.4725558282384609E-3</v>
      </c>
      <c r="H51" s="6">
        <f ca="1">SUM('Rate Class Energy Model'!J76:N76)</f>
        <v>484776053.9137429</v>
      </c>
    </row>
    <row r="52" spans="1:8">
      <c r="A52" s="4">
        <v>2018</v>
      </c>
      <c r="B52" s="28">
        <f ca="1">B17/'Rate Class Energy Model'!J77</f>
        <v>2.5310329652269521E-3</v>
      </c>
      <c r="C52" s="28">
        <f ca="1">C17/'Rate Class Energy Model'!K77</f>
        <v>2.2717235940193283E-3</v>
      </c>
      <c r="D52" s="28">
        <f ca="1">D17/'Rate Class Energy Model'!L77</f>
        <v>2.2046064532645539E-3</v>
      </c>
      <c r="E52" s="28">
        <f ca="1">E17/'Rate Class Energy Model'!M77</f>
        <v>2.6962771571829355E-3</v>
      </c>
      <c r="F52" s="28">
        <f ca="1">F17/'Rate Class Energy Model'!N77</f>
        <v>2.9319574238154734E-3</v>
      </c>
      <c r="G52" s="28">
        <f t="shared" ca="1" si="6"/>
        <v>2.4756477231635582E-3</v>
      </c>
      <c r="H52" s="6">
        <f ca="1">SUM('Rate Class Energy Model'!J77:N77)</f>
        <v>488229617.46864414</v>
      </c>
    </row>
    <row r="53" spans="1:8">
      <c r="A53" s="4">
        <v>2019</v>
      </c>
      <c r="B53" s="28">
        <f ca="1">B18/'Rate Class Energy Model'!J78</f>
        <v>2.5310329652269521E-3</v>
      </c>
      <c r="C53" s="28">
        <f ca="1">C18/'Rate Class Energy Model'!K78</f>
        <v>2.2717235940193283E-3</v>
      </c>
      <c r="D53" s="28">
        <f ca="1">D18/'Rate Class Energy Model'!L78</f>
        <v>2.2046064532645539E-3</v>
      </c>
      <c r="E53" s="28">
        <f ca="1">E18/'Rate Class Energy Model'!M78</f>
        <v>2.6962771571829355E-3</v>
      </c>
      <c r="F53" s="28">
        <f ca="1">F18/'Rate Class Energy Model'!N78</f>
        <v>2.9319574238154734E-3</v>
      </c>
      <c r="G53" s="28">
        <f t="shared" ca="1" si="6"/>
        <v>2.4783585924864193E-3</v>
      </c>
      <c r="H53" s="6">
        <f ca="1">SUM('Rate Class Energy Model'!J78:N78)</f>
        <v>492126294.46700269</v>
      </c>
    </row>
    <row r="54" spans="1:8">
      <c r="B54" s="26"/>
      <c r="C54" s="26"/>
      <c r="D54" s="26"/>
      <c r="E54" s="26"/>
      <c r="F54" s="26"/>
    </row>
    <row r="55" spans="1:8">
      <c r="B55" s="26"/>
      <c r="C55" s="26"/>
      <c r="D55" s="26"/>
      <c r="E55" s="26"/>
      <c r="F55" s="26"/>
    </row>
    <row r="74" spans="2:6">
      <c r="B74" s="15"/>
      <c r="C74" s="15"/>
      <c r="D74" s="15"/>
      <c r="E74" s="15"/>
      <c r="F74" s="15"/>
    </row>
    <row r="75" spans="2:6">
      <c r="B75" s="15"/>
      <c r="C75" s="15"/>
      <c r="D75" s="15"/>
      <c r="E75" s="15"/>
      <c r="F75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2:R115"/>
  <sheetViews>
    <sheetView workbookViewId="0"/>
  </sheetViews>
  <sheetFormatPr defaultRowHeight="13.2"/>
  <cols>
    <col min="1" max="1" width="32.6640625" customWidth="1"/>
    <col min="2" max="2" width="13.44140625" bestFit="1" customWidth="1"/>
    <col min="3" max="3" width="12.6640625" bestFit="1" customWidth="1"/>
    <col min="4" max="4" width="13.5546875" customWidth="1"/>
    <col min="5" max="5" width="12.6640625" customWidth="1"/>
    <col min="6" max="6" width="13" customWidth="1"/>
    <col min="7" max="7" width="12.6640625" bestFit="1" customWidth="1"/>
    <col min="8" max="16" width="12.88671875" customWidth="1"/>
    <col min="17" max="17" width="13.44140625" bestFit="1" customWidth="1"/>
    <col min="18" max="18" width="14.109375" bestFit="1" customWidth="1"/>
    <col min="20" max="21" width="12.6640625" bestFit="1" customWidth="1"/>
  </cols>
  <sheetData>
    <row r="2" spans="1:18" ht="13.8" thickBot="1"/>
    <row r="3" spans="1:18">
      <c r="A3" s="302"/>
      <c r="B3" s="443" t="s">
        <v>206</v>
      </c>
      <c r="C3" s="443"/>
      <c r="D3" s="443"/>
      <c r="E3" s="443"/>
      <c r="F3" s="443"/>
      <c r="G3" s="443"/>
      <c r="H3" s="443"/>
      <c r="I3" s="443"/>
      <c r="J3" s="443"/>
      <c r="K3" s="443"/>
      <c r="L3" s="444"/>
      <c r="M3" s="445" t="s">
        <v>207</v>
      </c>
      <c r="N3" s="443"/>
      <c r="O3" s="443"/>
      <c r="P3" s="443"/>
      <c r="Q3" s="443"/>
      <c r="R3" s="446"/>
    </row>
    <row r="4" spans="1:18" ht="13.8" thickBot="1">
      <c r="A4" s="309" t="s">
        <v>112</v>
      </c>
      <c r="B4" s="310">
        <v>2003</v>
      </c>
      <c r="C4" s="310">
        <v>2004</v>
      </c>
      <c r="D4" s="310">
        <v>2005</v>
      </c>
      <c r="E4" s="310">
        <v>2006</v>
      </c>
      <c r="F4" s="310">
        <v>2007</v>
      </c>
      <c r="G4" s="310">
        <v>2008</v>
      </c>
      <c r="H4" s="310">
        <v>2009</v>
      </c>
      <c r="I4" s="310">
        <v>2010</v>
      </c>
      <c r="J4" s="310">
        <v>2011</v>
      </c>
      <c r="K4" s="310">
        <v>2012</v>
      </c>
      <c r="L4" s="311">
        <v>2013</v>
      </c>
      <c r="M4" s="312">
        <v>2014</v>
      </c>
      <c r="N4" s="310">
        <v>2015</v>
      </c>
      <c r="O4" s="310">
        <v>2016</v>
      </c>
      <c r="P4" s="310">
        <v>2017</v>
      </c>
      <c r="Q4" s="310">
        <v>2018</v>
      </c>
      <c r="R4" s="313">
        <v>2019</v>
      </c>
    </row>
    <row r="5" spans="1:18">
      <c r="A5" s="303" t="s">
        <v>52</v>
      </c>
      <c r="B5" s="215">
        <f>+Chart!$C7</f>
        <v>1232724170</v>
      </c>
      <c r="C5" s="215">
        <f>+Chart!$C8</f>
        <v>1178441190</v>
      </c>
      <c r="D5" s="215">
        <f>+Chart!$C9</f>
        <v>1174501350</v>
      </c>
      <c r="E5" s="215">
        <f>+Chart!$C10</f>
        <v>1151360440</v>
      </c>
      <c r="F5" s="215">
        <f>+Chart!$C11</f>
        <v>1191153590</v>
      </c>
      <c r="G5" s="215">
        <f>+Chart!$C12</f>
        <v>1158881926</v>
      </c>
      <c r="H5" s="215">
        <f>+Chart!$C13</f>
        <v>1128390784.5107694</v>
      </c>
      <c r="I5" s="215">
        <f>+Chart!$C14</f>
        <v>1148489331.8146157</v>
      </c>
      <c r="J5" s="215">
        <f>+Chart!$C15</f>
        <v>1148632387.3953846</v>
      </c>
      <c r="K5" s="215">
        <f>+Chart!$C16</f>
        <v>1136211952.670979</v>
      </c>
      <c r="L5" s="215">
        <f>+Chart!$C17</f>
        <v>1130407041.6666667</v>
      </c>
      <c r="M5" s="314"/>
      <c r="N5" s="315"/>
      <c r="O5" s="315"/>
      <c r="P5" s="315"/>
      <c r="Q5" s="315"/>
      <c r="R5" s="316"/>
    </row>
    <row r="6" spans="1:18">
      <c r="A6" s="303" t="s">
        <v>53</v>
      </c>
      <c r="B6" s="215">
        <f>+Chart!$D7</f>
        <v>1214096286.5571823</v>
      </c>
      <c r="C6" s="215">
        <f>+Chart!$D8</f>
        <v>1198833047.1489887</v>
      </c>
      <c r="D6" s="215">
        <f>+Chart!$D9</f>
        <v>1207050039.1496041</v>
      </c>
      <c r="E6" s="215">
        <f>+Chart!$D10</f>
        <v>1170881307.9356413</v>
      </c>
      <c r="F6" s="215">
        <f>+Chart!$D11</f>
        <v>1147471680.5230298</v>
      </c>
      <c r="G6" s="215">
        <f>+Chart!$D12</f>
        <v>1110172412.3567979</v>
      </c>
      <c r="H6" s="215">
        <f>+Chart!$D13</f>
        <v>1126724653.6746798</v>
      </c>
      <c r="I6" s="215">
        <f>+Chart!$D14</f>
        <v>1129720236.440757</v>
      </c>
      <c r="J6" s="215">
        <f>+Chart!$D15</f>
        <v>1164987379.8152349</v>
      </c>
      <c r="K6" s="215">
        <f>+Chart!$D16</f>
        <v>1150628519.5562067</v>
      </c>
      <c r="L6" s="215">
        <f ca="1">+Chart!$D17</f>
        <v>1158628600.9002914</v>
      </c>
      <c r="M6" s="214">
        <f ca="1">+Chart!$D18</f>
        <v>1146348131.8266783</v>
      </c>
      <c r="N6" s="215">
        <f ca="1">+Chart!$D19</f>
        <v>1161409405.5438561</v>
      </c>
      <c r="O6" s="215">
        <f ca="1">+Chart!$D20</f>
        <v>1179453259.4483292</v>
      </c>
      <c r="P6" s="215">
        <f ca="1">+Chart!$D21</f>
        <v>1191117841.5283267</v>
      </c>
      <c r="Q6" s="215">
        <f ca="1">+Chart!$D22</f>
        <v>1205768874.1562457</v>
      </c>
      <c r="R6" s="233">
        <f ca="1">+Chart!$D23</f>
        <v>1220192559.2700689</v>
      </c>
    </row>
    <row r="7" spans="1:18">
      <c r="A7" s="303" t="s">
        <v>8</v>
      </c>
      <c r="B7" s="217">
        <f t="shared" ref="B7:L7" si="0">(B6-B5)/B5</f>
        <v>-1.5111152921433908E-2</v>
      </c>
      <c r="C7" s="217">
        <f t="shared" si="0"/>
        <v>1.7304094020159567E-2</v>
      </c>
      <c r="D7" s="217">
        <f t="shared" si="0"/>
        <v>2.7712772871316054E-2</v>
      </c>
      <c r="E7" s="217">
        <f t="shared" si="0"/>
        <v>1.6954610613198841E-2</v>
      </c>
      <c r="F7" s="217">
        <f t="shared" si="0"/>
        <v>-3.667193705638766E-2</v>
      </c>
      <c r="G7" s="217">
        <f t="shared" si="0"/>
        <v>-4.2031472361751261E-2</v>
      </c>
      <c r="H7" s="217">
        <f t="shared" si="0"/>
        <v>-1.4765548061543119E-3</v>
      </c>
      <c r="I7" s="217">
        <f t="shared" si="0"/>
        <v>-1.6342420302854252E-2</v>
      </c>
      <c r="J7" s="217">
        <f t="shared" si="0"/>
        <v>1.4238665563781113E-2</v>
      </c>
      <c r="K7" s="217">
        <f t="shared" si="0"/>
        <v>1.268827251054486E-2</v>
      </c>
      <c r="L7" s="217">
        <f t="shared" ca="1" si="0"/>
        <v>2.4965838139167078E-2</v>
      </c>
      <c r="M7" s="216"/>
      <c r="N7" s="217"/>
      <c r="O7" s="217"/>
      <c r="P7" s="217"/>
      <c r="Q7" s="217"/>
      <c r="R7" s="234"/>
    </row>
    <row r="8" spans="1:18">
      <c r="A8" s="303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8"/>
      <c r="N8" s="219"/>
      <c r="O8" s="219"/>
      <c r="P8" s="219"/>
      <c r="Q8" s="219"/>
      <c r="R8" s="235"/>
    </row>
    <row r="9" spans="1:18">
      <c r="A9" s="303" t="s">
        <v>55</v>
      </c>
      <c r="B9" s="215">
        <f>+'Chart II'!$J58</f>
        <v>1136840307.5</v>
      </c>
      <c r="C9" s="215">
        <f>+'Chart II'!$J59</f>
        <v>1128300513.0634735</v>
      </c>
      <c r="D9" s="215">
        <f>+'Chart II'!$J60</f>
        <v>1125931170</v>
      </c>
      <c r="E9" s="215">
        <f>+'Chart II'!$J61</f>
        <v>1109463247</v>
      </c>
      <c r="F9" s="215">
        <f>+'Chart II'!$J62</f>
        <v>1143760516</v>
      </c>
      <c r="G9" s="215">
        <f>+'Chart II'!$J63</f>
        <v>1117251257</v>
      </c>
      <c r="H9" s="215">
        <f>+'Chart II'!$J64</f>
        <v>1082664508</v>
      </c>
      <c r="I9" s="215">
        <f>+'Chart II'!$J65</f>
        <v>1090938483</v>
      </c>
      <c r="J9" s="215">
        <f>+'Chart II'!$J66</f>
        <v>1110518847</v>
      </c>
      <c r="K9" s="215">
        <f>+'Chart II'!$J67</f>
        <v>1073783871</v>
      </c>
      <c r="L9" s="215">
        <f>+'Chart II'!$J68</f>
        <v>1078161209</v>
      </c>
      <c r="M9" s="214">
        <f ca="1">+'Chart II'!$J69</f>
        <v>1093217749.2148373</v>
      </c>
      <c r="N9" s="215">
        <f ca="1">+'Chart II'!$J70</f>
        <v>1107580970.3832314</v>
      </c>
      <c r="O9" s="215">
        <f ca="1">+'Chart II'!$J71</f>
        <v>1124788536.5709801</v>
      </c>
      <c r="P9" s="215">
        <f ca="1">+'Chart II'!$J72</f>
        <v>1135912494.3050995</v>
      </c>
      <c r="Q9" s="215">
        <f ca="1">+'Chart II'!$J73</f>
        <v>1149884488.0376174</v>
      </c>
      <c r="R9" s="233">
        <f ca="1">+'Chart II'!$J74</f>
        <v>1163639671.2474432</v>
      </c>
    </row>
    <row r="10" spans="1:18">
      <c r="A10" s="303" t="s">
        <v>269</v>
      </c>
      <c r="B10" s="215">
        <f>+'Chart II'!$G269</f>
        <v>1376310.4427777778</v>
      </c>
      <c r="C10" s="215">
        <f>+'Chart II'!$G270</f>
        <v>1359503.3072222222</v>
      </c>
      <c r="D10" s="215">
        <f>+'Chart II'!$G271</f>
        <v>1235025.9316666666</v>
      </c>
      <c r="E10" s="215">
        <f>+'Chart II'!$G272</f>
        <v>1231537.3194444445</v>
      </c>
      <c r="F10" s="215">
        <f>+'Chart II'!$G273</f>
        <v>1262855.0222222223</v>
      </c>
      <c r="G10" s="215">
        <f>+'Chart II'!$G274</f>
        <v>1231679.9805555556</v>
      </c>
      <c r="H10" s="215">
        <f>+'Chart II'!$G275</f>
        <v>1167952.2</v>
      </c>
      <c r="I10" s="215">
        <f>+'Chart II'!$G276</f>
        <v>1165174.4777777777</v>
      </c>
      <c r="J10" s="215">
        <f>+'Chart II'!$G277</f>
        <v>1171404</v>
      </c>
      <c r="K10" s="215">
        <f>+'Chart II'!$G278</f>
        <v>1146022</v>
      </c>
      <c r="L10" s="215">
        <f>+'Chart II'!$G279</f>
        <v>1151235</v>
      </c>
      <c r="M10" s="214">
        <f ca="1">+'Chart II'!$G313</f>
        <v>1168317.2150943705</v>
      </c>
      <c r="N10" s="215">
        <f ca="1">+'Chart II'!$G314</f>
        <v>1193060.6631732266</v>
      </c>
      <c r="O10" s="215">
        <f ca="1">+'Chart II'!$G315</f>
        <v>1222934.1373928364</v>
      </c>
      <c r="P10" s="215">
        <f ca="1">+'Chart II'!$G316</f>
        <v>1251649.1488065664</v>
      </c>
      <c r="Q10" s="215">
        <f ca="1">+'Chart II'!$G317</f>
        <v>1285319.5692610343</v>
      </c>
      <c r="R10" s="233">
        <f ca="1">+'Chart II'!$G318</f>
        <v>1320148.1598380981</v>
      </c>
    </row>
    <row r="11" spans="1:18">
      <c r="A11" s="303"/>
      <c r="B11" s="219"/>
      <c r="C11" s="219"/>
      <c r="D11" s="219"/>
      <c r="E11" s="219"/>
      <c r="F11" s="219"/>
      <c r="G11" s="223"/>
      <c r="H11" s="221"/>
      <c r="I11" s="221"/>
      <c r="J11" s="221"/>
      <c r="K11" s="221"/>
      <c r="L11" s="221"/>
      <c r="M11" s="220"/>
      <c r="N11" s="221"/>
      <c r="O11" s="221"/>
      <c r="P11" s="221"/>
      <c r="Q11" s="221"/>
      <c r="R11" s="236"/>
    </row>
    <row r="12" spans="1:18" ht="15.6">
      <c r="A12" s="304" t="s">
        <v>54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2"/>
      <c r="N12" s="223"/>
      <c r="O12" s="223"/>
      <c r="P12" s="223"/>
      <c r="Q12" s="223"/>
      <c r="R12" s="238"/>
    </row>
    <row r="13" spans="1:18">
      <c r="A13" s="305" t="str">
        <f>'Rate Class Energy Model'!H2</f>
        <v>Residential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2"/>
      <c r="N13" s="223"/>
      <c r="O13" s="223"/>
      <c r="P13" s="223"/>
      <c r="Q13" s="223"/>
      <c r="R13" s="238"/>
    </row>
    <row r="14" spans="1:18">
      <c r="A14" s="306" t="s">
        <v>47</v>
      </c>
      <c r="B14" s="225">
        <f>+'Chart II'!$B$33</f>
        <v>43319.5</v>
      </c>
      <c r="C14" s="225">
        <f>+'Chart II'!$B$34</f>
        <v>43979.5</v>
      </c>
      <c r="D14" s="225">
        <f>+'Chart II'!$B$35</f>
        <v>44598.5</v>
      </c>
      <c r="E14" s="225">
        <f>+'Chart II'!$B$36</f>
        <v>45439</v>
      </c>
      <c r="F14" s="225">
        <f>+'Chart II'!$B$37</f>
        <v>46320</v>
      </c>
      <c r="G14" s="225">
        <f>+'Chart II'!$B$38</f>
        <v>47057.5</v>
      </c>
      <c r="H14" s="225">
        <f>+'Chart II'!$B$39</f>
        <v>47602.5</v>
      </c>
      <c r="I14" s="225">
        <f>+'Chart II'!$B$40</f>
        <v>48114.5</v>
      </c>
      <c r="J14" s="225">
        <f>+'Chart II'!$B$41</f>
        <v>48650.5</v>
      </c>
      <c r="K14" s="225">
        <f>+'Chart II'!$B$42</f>
        <v>49021</v>
      </c>
      <c r="L14" s="225">
        <f>+'Chart II'!$B$43</f>
        <v>49511</v>
      </c>
      <c r="M14" s="224">
        <f>+'Chart II'!$B$44</f>
        <v>50176.865096229601</v>
      </c>
      <c r="N14" s="225">
        <f>+'Chart II'!$B$45</f>
        <v>51682.185299937883</v>
      </c>
      <c r="O14" s="225">
        <f>+'Chart II'!$B$46</f>
        <v>53232.681046856349</v>
      </c>
      <c r="P14" s="225">
        <f>+'Chart II'!$B$47</f>
        <v>54829.574392436392</v>
      </c>
      <c r="Q14" s="225">
        <f>+'Chart II'!$B$48</f>
        <v>56474.48903363257</v>
      </c>
      <c r="R14" s="241">
        <f>+'Chart II'!$B$49</f>
        <v>58168.750330978961</v>
      </c>
    </row>
    <row r="15" spans="1:18">
      <c r="A15" s="306" t="s">
        <v>48</v>
      </c>
      <c r="B15" s="225">
        <f>+'Chart II'!$B58</f>
        <v>457616904</v>
      </c>
      <c r="C15" s="225">
        <f>+'Chart II'!$B59</f>
        <v>448138859</v>
      </c>
      <c r="D15" s="225">
        <f>+'Chart II'!$B60</f>
        <v>485961504</v>
      </c>
      <c r="E15" s="225">
        <f>+'Chart II'!$B61</f>
        <v>466401366</v>
      </c>
      <c r="F15" s="225">
        <f>+'Chart II'!$B62</f>
        <v>473023155</v>
      </c>
      <c r="G15" s="225">
        <f>+'Chart II'!$B63</f>
        <v>470718851</v>
      </c>
      <c r="H15" s="225">
        <f>+'Chart II'!$B64</f>
        <v>467977819</v>
      </c>
      <c r="I15" s="225">
        <f>+'Chart II'!$B65</f>
        <v>476941035</v>
      </c>
      <c r="J15" s="225">
        <f>+'Chart II'!$B66</f>
        <v>484582022</v>
      </c>
      <c r="K15" s="225">
        <f>+'Chart II'!$B67</f>
        <v>473288468</v>
      </c>
      <c r="L15" s="225">
        <f>+'Chart II'!$B68</f>
        <v>475282449</v>
      </c>
      <c r="M15" s="224">
        <f ca="1">+'Chart II'!$B69</f>
        <v>481054885.42264152</v>
      </c>
      <c r="N15" s="225">
        <f ca="1">+'Chart II'!$B70</f>
        <v>483663532.29648578</v>
      </c>
      <c r="O15" s="225">
        <f ca="1">+'Chart II'!$B71</f>
        <v>486758735.37501377</v>
      </c>
      <c r="P15" s="225">
        <f ca="1">+'Chart II'!$B72</f>
        <v>485640571.09087658</v>
      </c>
      <c r="Q15" s="225">
        <f ca="1">+'Chart II'!$B73</f>
        <v>485086336.06007928</v>
      </c>
      <c r="R15" s="241">
        <f ca="1">+'Chart II'!$B74</f>
        <v>483951298.77224517</v>
      </c>
    </row>
    <row r="16" spans="1:18">
      <c r="A16" s="306"/>
      <c r="B16" s="223"/>
      <c r="C16" s="223"/>
      <c r="D16" s="223"/>
      <c r="E16" s="223"/>
      <c r="F16" s="223"/>
      <c r="G16" s="242"/>
      <c r="H16" s="221"/>
      <c r="I16" s="221"/>
      <c r="J16" s="221"/>
      <c r="K16" s="221"/>
      <c r="L16" s="221"/>
      <c r="M16" s="220"/>
      <c r="N16" s="221"/>
      <c r="O16" s="221"/>
      <c r="P16" s="221"/>
      <c r="Q16" s="221"/>
      <c r="R16" s="236"/>
    </row>
    <row r="17" spans="1:18">
      <c r="A17" s="305" t="str">
        <f>'Rate Class Energy Model'!I2</f>
        <v>GS&lt;50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2"/>
      <c r="N17" s="223"/>
      <c r="O17" s="223"/>
      <c r="P17" s="223"/>
      <c r="Q17" s="223"/>
      <c r="R17" s="238"/>
    </row>
    <row r="18" spans="1:18">
      <c r="A18" s="306" t="s">
        <v>47</v>
      </c>
      <c r="B18" s="225">
        <f>+'Chart II'!$C$33</f>
        <v>3689</v>
      </c>
      <c r="C18" s="225">
        <f>+'Chart II'!$C$34</f>
        <v>3626.5</v>
      </c>
      <c r="D18" s="225">
        <f>+'Chart II'!$C$35</f>
        <v>3662</v>
      </c>
      <c r="E18" s="225">
        <f>+'Chart II'!$C$36</f>
        <v>3740.5</v>
      </c>
      <c r="F18" s="225">
        <f>+'Chart II'!$C$37</f>
        <v>3749</v>
      </c>
      <c r="G18" s="225">
        <f>+'Chart II'!$C$38</f>
        <v>3793.5</v>
      </c>
      <c r="H18" s="225">
        <f>+'Chart II'!$C$39</f>
        <v>3859.5</v>
      </c>
      <c r="I18" s="225">
        <f>+'Chart II'!$C$40</f>
        <v>3929</v>
      </c>
      <c r="J18" s="225">
        <f>+'Chart II'!$C$41</f>
        <v>3888.5</v>
      </c>
      <c r="K18" s="225">
        <f>+'Chart II'!$C$42</f>
        <v>3850.5</v>
      </c>
      <c r="L18" s="225">
        <f>+'Chart II'!$C$43</f>
        <v>3902</v>
      </c>
      <c r="M18" s="224">
        <f>+'Chart II'!$C$44</f>
        <v>3923.9650092846832</v>
      </c>
      <c r="N18" s="225">
        <f>+'Chart II'!$C$45</f>
        <v>4041.6536632728203</v>
      </c>
      <c r="O18" s="225">
        <f>+'Chart II'!$C$46</f>
        <v>4162.9666579810846</v>
      </c>
      <c r="P18" s="225">
        <f>+'Chart II'!$C$47</f>
        <v>4287.8046933441428</v>
      </c>
      <c r="Q18" s="225">
        <f>+'Chart II'!$C$48</f>
        <v>4416.4684732367114</v>
      </c>
      <c r="R18" s="241">
        <f>+'Chart II'!$C$49</f>
        <v>4548.9587054957365</v>
      </c>
    </row>
    <row r="19" spans="1:18">
      <c r="A19" s="306" t="s">
        <v>48</v>
      </c>
      <c r="B19" s="225">
        <f>+'Chart II'!$C58</f>
        <v>121224653</v>
      </c>
      <c r="C19" s="225">
        <f>+'Chart II'!$C59</f>
        <v>129998490</v>
      </c>
      <c r="D19" s="225">
        <f>+'Chart II'!$C60</f>
        <v>135909028</v>
      </c>
      <c r="E19" s="225">
        <f>+'Chart II'!$C61</f>
        <v>134155770</v>
      </c>
      <c r="F19" s="225">
        <f>+'Chart II'!$C62</f>
        <v>132346004</v>
      </c>
      <c r="G19" s="225">
        <f>+'Chart II'!$C63</f>
        <v>131868017</v>
      </c>
      <c r="H19" s="225">
        <f>+'Chart II'!$C64</f>
        <v>128019505</v>
      </c>
      <c r="I19" s="225">
        <f>+'Chart II'!$C65</f>
        <v>131282103</v>
      </c>
      <c r="J19" s="225">
        <f>+'Chart II'!$C66</f>
        <v>135695878</v>
      </c>
      <c r="K19" s="225">
        <f>+'Chart II'!$C67</f>
        <v>131590801</v>
      </c>
      <c r="L19" s="225">
        <f>+'Chart II'!$C68</f>
        <v>132382128</v>
      </c>
      <c r="M19" s="224">
        <f ca="1">+'Chart II'!$C69</f>
        <v>134663866.32037863</v>
      </c>
      <c r="N19" s="225">
        <f ca="1">+'Chart II'!$C70</f>
        <v>137144452.34571704</v>
      </c>
      <c r="O19" s="225">
        <f ca="1">+'Chart II'!$C71</f>
        <v>139823684.88361743</v>
      </c>
      <c r="P19" s="225">
        <f ca="1">+'Chart II'!$C72</f>
        <v>141342094.33386183</v>
      </c>
      <c r="Q19" s="225">
        <f ca="1">+'Chart II'!$C73</f>
        <v>143067914.90363961</v>
      </c>
      <c r="R19" s="241">
        <f ca="1">+'Chart II'!$C74</f>
        <v>144664011.00824618</v>
      </c>
    </row>
    <row r="20" spans="1:18">
      <c r="A20" s="306"/>
      <c r="B20" s="223"/>
      <c r="C20" s="223"/>
      <c r="D20" s="223"/>
      <c r="E20" s="223"/>
      <c r="F20" s="223"/>
      <c r="G20" s="242"/>
      <c r="H20" s="221"/>
      <c r="I20" s="221"/>
      <c r="J20" s="221"/>
      <c r="K20" s="221"/>
      <c r="L20" s="221"/>
      <c r="M20" s="220"/>
      <c r="N20" s="221"/>
      <c r="O20" s="221"/>
      <c r="P20" s="221"/>
      <c r="Q20" s="221"/>
      <c r="R20" s="236"/>
    </row>
    <row r="21" spans="1:18">
      <c r="A21" s="305" t="str">
        <f>'Rate Class Energy Model'!J2</f>
        <v>GS&gt;50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2"/>
      <c r="N21" s="223"/>
      <c r="O21" s="223"/>
      <c r="P21" s="223"/>
      <c r="Q21" s="223"/>
      <c r="R21" s="238"/>
    </row>
    <row r="22" spans="1:18">
      <c r="A22" s="306" t="s">
        <v>47</v>
      </c>
      <c r="B22" s="225">
        <f>+'Chart II'!$D$33</f>
        <v>559</v>
      </c>
      <c r="C22" s="225">
        <f>+'Chart II'!$D$34</f>
        <v>530</v>
      </c>
      <c r="D22" s="225">
        <f>+'Chart II'!$D$35</f>
        <v>521.5</v>
      </c>
      <c r="E22" s="225">
        <f>+'Chart II'!$D$36</f>
        <v>525</v>
      </c>
      <c r="F22" s="225">
        <f>+'Chart II'!$D$37</f>
        <v>523</v>
      </c>
      <c r="G22" s="225">
        <f>+'Chart II'!$D$38</f>
        <v>533.5</v>
      </c>
      <c r="H22" s="225">
        <f>+'Chart II'!$D$39</f>
        <v>525</v>
      </c>
      <c r="I22" s="225">
        <f>+'Chart II'!$D$40</f>
        <v>512.5</v>
      </c>
      <c r="J22" s="225">
        <f>+'Chart II'!$D$41</f>
        <v>520.5</v>
      </c>
      <c r="K22" s="225">
        <f>+'Chart II'!$D$42</f>
        <v>511.5</v>
      </c>
      <c r="L22" s="225">
        <f>+'Chart II'!$D$43</f>
        <v>500</v>
      </c>
      <c r="M22" s="224">
        <f>+'Chart II'!$D$44</f>
        <v>500</v>
      </c>
      <c r="N22" s="225">
        <f>+'Chart II'!$D$45</f>
        <v>515</v>
      </c>
      <c r="O22" s="225">
        <f>+'Chart II'!$D$46</f>
        <v>530.5</v>
      </c>
      <c r="P22" s="225">
        <f>+'Chart II'!$D$47</f>
        <v>546.4</v>
      </c>
      <c r="Q22" s="225">
        <f>+'Chart II'!$D$48</f>
        <v>562.79999999999995</v>
      </c>
      <c r="R22" s="241">
        <f>+'Chart II'!$D$49</f>
        <v>579.6</v>
      </c>
    </row>
    <row r="23" spans="1:18">
      <c r="A23" s="306" t="s">
        <v>48</v>
      </c>
      <c r="B23" s="225">
        <f>+'Chart II'!$D58</f>
        <v>281244125.5</v>
      </c>
      <c r="C23" s="225">
        <f>+'Chart II'!$D59</f>
        <v>360631980</v>
      </c>
      <c r="D23" s="225">
        <f>+'Chart II'!$D60</f>
        <v>361962669</v>
      </c>
      <c r="E23" s="225">
        <f>+'Chart II'!$D61</f>
        <v>357086593</v>
      </c>
      <c r="F23" s="225">
        <f>+'Chart II'!$D62</f>
        <v>359144720</v>
      </c>
      <c r="G23" s="225">
        <f>+'Chart II'!$D63</f>
        <v>352632150</v>
      </c>
      <c r="H23" s="225">
        <f>+'Chart II'!$D64</f>
        <v>349784301</v>
      </c>
      <c r="I23" s="225">
        <f>+'Chart II'!$D65</f>
        <v>355234224</v>
      </c>
      <c r="J23" s="225">
        <f>+'Chart II'!$D66</f>
        <v>359534375</v>
      </c>
      <c r="K23" s="225">
        <f>+'Chart II'!$D67</f>
        <v>338342507</v>
      </c>
      <c r="L23" s="225">
        <f>+'Chart II'!$D68</f>
        <v>337123668</v>
      </c>
      <c r="M23" s="224">
        <f ca="1">+'Chart II'!$D69</f>
        <v>349725890.78391075</v>
      </c>
      <c r="N23" s="225">
        <f ca="1">+'Chart II'!$D70</f>
        <v>365803341.05727828</v>
      </c>
      <c r="O23" s="225">
        <f ca="1">+'Chart II'!$D71</f>
        <v>383057156.35481733</v>
      </c>
      <c r="P23" s="225">
        <f ca="1">+'Chart II'!$D72</f>
        <v>397878345.8407315</v>
      </c>
      <c r="Q23" s="225">
        <f ca="1">+'Chart II'!$D73</f>
        <v>413841565.44544375</v>
      </c>
      <c r="R23" s="241">
        <f ca="1">+'Chart II'!$D74</f>
        <v>430008488.2230823</v>
      </c>
    </row>
    <row r="24" spans="1:18">
      <c r="A24" s="306" t="s">
        <v>49</v>
      </c>
      <c r="B24" s="225">
        <f>+'Chart II'!$B269</f>
        <v>806199.49000000011</v>
      </c>
      <c r="C24" s="225">
        <f>+'Chart II'!$B270</f>
        <v>957450.82</v>
      </c>
      <c r="D24" s="225">
        <f>+'Chart II'!$B271</f>
        <v>913899.12999999989</v>
      </c>
      <c r="E24" s="225">
        <f>+'Chart II'!$B272</f>
        <v>893943</v>
      </c>
      <c r="F24" s="225">
        <f>+'Chart II'!$B273</f>
        <v>887017</v>
      </c>
      <c r="G24" s="225">
        <f>+'Chart II'!$B274</f>
        <v>876464</v>
      </c>
      <c r="H24" s="225">
        <f>+'Chart II'!$B275</f>
        <v>861503</v>
      </c>
      <c r="I24" s="227">
        <f>+'Chart II'!$B276</f>
        <v>871715</v>
      </c>
      <c r="J24" s="227">
        <f>+'Chart II'!$B277</f>
        <v>867070</v>
      </c>
      <c r="K24" s="227">
        <f>+'Chart II'!$B278</f>
        <v>846459</v>
      </c>
      <c r="L24" s="227">
        <f>+'Chart II'!$B279</f>
        <v>844838</v>
      </c>
      <c r="M24" s="226">
        <f ca="1">+'Chart II'!$B313</f>
        <v>885167.7583674388</v>
      </c>
      <c r="N24" s="227">
        <f ca="1">+'Chart II'!$B314</f>
        <v>925860.31500612909</v>
      </c>
      <c r="O24" s="227">
        <f ca="1">+'Chart II'!$B315</f>
        <v>969530.29030013748</v>
      </c>
      <c r="P24" s="227">
        <f ca="1">+'Chart II'!$B316</f>
        <v>1007043.2094728614</v>
      </c>
      <c r="Q24" s="227">
        <f ca="1">+'Chart II'!$B317</f>
        <v>1047446.6445235453</v>
      </c>
      <c r="R24" s="243">
        <f ca="1">+'Chart II'!$B318</f>
        <v>1088365.6590200269</v>
      </c>
    </row>
    <row r="25" spans="1:18">
      <c r="A25" s="306"/>
      <c r="B25" s="223"/>
      <c r="C25" s="223"/>
      <c r="D25" s="223"/>
      <c r="E25" s="223"/>
      <c r="F25" s="223"/>
      <c r="G25" s="242"/>
      <c r="H25" s="221"/>
      <c r="I25" s="221"/>
      <c r="J25" s="221"/>
      <c r="K25" s="221"/>
      <c r="L25" s="221"/>
      <c r="M25" s="220"/>
      <c r="N25" s="221"/>
      <c r="O25" s="221"/>
      <c r="P25" s="221"/>
      <c r="Q25" s="221"/>
      <c r="R25" s="236"/>
    </row>
    <row r="26" spans="1:18">
      <c r="A26" s="305" t="str">
        <f>'Rate Class Energy Model'!K2</f>
        <v>Large User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2"/>
      <c r="N26" s="223"/>
      <c r="O26" s="223"/>
      <c r="P26" s="223"/>
      <c r="Q26" s="223"/>
      <c r="R26" s="238"/>
    </row>
    <row r="27" spans="1:18">
      <c r="A27" s="306" t="s">
        <v>47</v>
      </c>
      <c r="B27" s="225">
        <f>+'Chart II'!$E$33</f>
        <v>2.5</v>
      </c>
      <c r="C27" s="225">
        <f>+'Chart II'!$E$34</f>
        <v>2.5</v>
      </c>
      <c r="D27" s="225">
        <f>+'Chart II'!$E$35</f>
        <v>2</v>
      </c>
      <c r="E27" s="225">
        <f>+'Chart II'!$E$36</f>
        <v>2</v>
      </c>
      <c r="F27" s="225">
        <f>+'Chart II'!$E$37</f>
        <v>2</v>
      </c>
      <c r="G27" s="225">
        <f>+'Chart II'!$E$38</f>
        <v>2.5</v>
      </c>
      <c r="H27" s="225">
        <f>+'Chart II'!$E$39</f>
        <v>2</v>
      </c>
      <c r="I27" s="225">
        <f>+'Chart II'!$E$40</f>
        <v>1</v>
      </c>
      <c r="J27" s="225">
        <f>+'Chart II'!$E$41</f>
        <v>1</v>
      </c>
      <c r="K27" s="225">
        <f>+'Chart II'!$E$42</f>
        <v>1</v>
      </c>
      <c r="L27" s="225">
        <f>+'Chart II'!$E$43</f>
        <v>1</v>
      </c>
      <c r="M27" s="224">
        <f>+'Chart II'!$E$44</f>
        <v>1</v>
      </c>
      <c r="N27" s="225">
        <f>+'Chart II'!$E$45</f>
        <v>1</v>
      </c>
      <c r="O27" s="225">
        <f>+'Chart II'!$E$46</f>
        <v>1</v>
      </c>
      <c r="P27" s="225">
        <f>+'Chart II'!$E$47</f>
        <v>1</v>
      </c>
      <c r="Q27" s="225">
        <f>+'Chart II'!$E$48</f>
        <v>1</v>
      </c>
      <c r="R27" s="241">
        <f>+'Chart II'!$E$49</f>
        <v>1</v>
      </c>
    </row>
    <row r="28" spans="1:18">
      <c r="A28" s="306" t="s">
        <v>48</v>
      </c>
      <c r="B28" s="225">
        <f>+'Chart II'!$E58</f>
        <v>169257212.5</v>
      </c>
      <c r="C28" s="225">
        <f>+'Chart II'!$E59</f>
        <v>112144196</v>
      </c>
      <c r="D28" s="225">
        <f>+'Chart II'!$E60</f>
        <v>62904833</v>
      </c>
      <c r="E28" s="225">
        <f>+'Chart II'!$E61</f>
        <v>59654446</v>
      </c>
      <c r="F28" s="225">
        <f>+'Chart II'!$E62</f>
        <v>61811846</v>
      </c>
      <c r="G28" s="225">
        <f>+'Chart II'!$E63</f>
        <v>46461021</v>
      </c>
      <c r="H28" s="225">
        <f>+'Chart II'!$E64</f>
        <v>36580289</v>
      </c>
      <c r="I28" s="225">
        <f>+'Chart II'!$E65</f>
        <v>33402763</v>
      </c>
      <c r="J28" s="225">
        <f>+'Chart II'!$E66</f>
        <v>37740699</v>
      </c>
      <c r="K28" s="225">
        <f>+'Chart II'!$E67</f>
        <v>40812737</v>
      </c>
      <c r="L28" s="225">
        <f>+'Chart II'!$E68</f>
        <v>42326219</v>
      </c>
      <c r="M28" s="224">
        <f ca="1">+'Chart II'!$E69</f>
        <v>43637356.33016827</v>
      </c>
      <c r="N28" s="225">
        <f ca="1">+'Chart II'!$E70</f>
        <v>44988087.018268302</v>
      </c>
      <c r="O28" s="225">
        <f ca="1">+'Chart II'!$E71</f>
        <v>46339336.301290356</v>
      </c>
      <c r="P28" s="225">
        <f ca="1">+'Chart II'!$E72</f>
        <v>47612968.631939657</v>
      </c>
      <c r="Q28" s="225">
        <f ca="1">+'Chart II'!$E73</f>
        <v>48880609.419864491</v>
      </c>
      <c r="R28" s="241">
        <f ca="1">+'Chart II'!$E74</f>
        <v>50156998.567244969</v>
      </c>
    </row>
    <row r="29" spans="1:18">
      <c r="A29" s="306" t="s">
        <v>49</v>
      </c>
      <c r="B29" s="225">
        <f>+'Chart II'!$C269</f>
        <v>349045.15</v>
      </c>
      <c r="C29" s="225">
        <f>+'Chart II'!$C270</f>
        <v>243130.85</v>
      </c>
      <c r="D29" s="225">
        <f>+'Chart II'!$C271</f>
        <v>154705.01</v>
      </c>
      <c r="E29" s="225">
        <f>+'Chart II'!$C272</f>
        <v>134252</v>
      </c>
      <c r="F29" s="225">
        <f>+'Chart II'!$C273</f>
        <v>135954</v>
      </c>
      <c r="G29" s="225">
        <f>+'Chart II'!$C274</f>
        <v>124131</v>
      </c>
      <c r="H29" s="225">
        <f>+'Chart II'!$C275</f>
        <v>89007</v>
      </c>
      <c r="I29" s="227">
        <f>+'Chart II'!$C276</f>
        <v>70585</v>
      </c>
      <c r="J29" s="227">
        <f>+'Chart II'!$C277</f>
        <v>83704</v>
      </c>
      <c r="K29" s="227">
        <f>+'Chart II'!$C278</f>
        <v>89554</v>
      </c>
      <c r="L29" s="227">
        <f>+'Chart II'!$C279</f>
        <v>93930</v>
      </c>
      <c r="M29" s="226">
        <f ca="1">+'Chart II'!$C313</f>
        <v>99132.011955871945</v>
      </c>
      <c r="N29" s="227">
        <f ca="1">+'Chart II'!$C314</f>
        <v>102200.49872919476</v>
      </c>
      <c r="O29" s="227">
        <f ca="1">+'Chart II'!$C315</f>
        <v>105270.16360683765</v>
      </c>
      <c r="P29" s="227">
        <f ca="1">+'Chart II'!$C316</f>
        <v>108163.5042224795</v>
      </c>
      <c r="Q29" s="227">
        <f ca="1">+'Chart II'!$C317</f>
        <v>111043.2337091496</v>
      </c>
      <c r="R29" s="243">
        <f ca="1">+'Chart II'!$C318</f>
        <v>113942.83705040404</v>
      </c>
    </row>
    <row r="30" spans="1:18">
      <c r="A30" s="306"/>
      <c r="B30" s="223"/>
      <c r="C30" s="223"/>
      <c r="D30" s="223"/>
      <c r="E30" s="223"/>
      <c r="F30" s="223"/>
      <c r="G30" s="242"/>
      <c r="H30" s="221"/>
      <c r="I30" s="221"/>
      <c r="J30" s="221"/>
      <c r="K30" s="221"/>
      <c r="L30" s="221"/>
      <c r="M30" s="220"/>
      <c r="N30" s="221"/>
      <c r="O30" s="221"/>
      <c r="P30" s="221"/>
      <c r="Q30" s="221"/>
      <c r="R30" s="236"/>
    </row>
    <row r="31" spans="1:18">
      <c r="A31" s="305" t="str">
        <f>'Rate Class Energy Model'!L2</f>
        <v>I2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2"/>
      <c r="N31" s="223"/>
      <c r="O31" s="223"/>
      <c r="P31" s="223"/>
      <c r="Q31" s="223"/>
      <c r="R31" s="238"/>
    </row>
    <row r="32" spans="1:18">
      <c r="A32" s="307" t="s">
        <v>47</v>
      </c>
      <c r="B32" s="225">
        <f>+'Chart II'!$F$33</f>
        <v>5</v>
      </c>
      <c r="C32" s="225">
        <f>+'Chart II'!$F$34</f>
        <v>6</v>
      </c>
      <c r="D32" s="225">
        <f>+'Chart II'!$F$35</f>
        <v>7.5</v>
      </c>
      <c r="E32" s="225">
        <f>+'Chart II'!$F$36</f>
        <v>8.5</v>
      </c>
      <c r="F32" s="225">
        <f>+'Chart II'!$F$37</f>
        <v>9</v>
      </c>
      <c r="G32" s="225">
        <f>+'Chart II'!$F$38</f>
        <v>9</v>
      </c>
      <c r="H32" s="225">
        <f>+'Chart II'!$F$39</f>
        <v>9.5</v>
      </c>
      <c r="I32" s="225">
        <f>+'Chart II'!$F$40</f>
        <v>10</v>
      </c>
      <c r="J32" s="225">
        <f>+'Chart II'!$F$41</f>
        <v>10</v>
      </c>
      <c r="K32" s="225">
        <f>+'Chart II'!$F$42</f>
        <v>10.5</v>
      </c>
      <c r="L32" s="225">
        <f>+'Chart II'!$F$43</f>
        <v>11</v>
      </c>
      <c r="M32" s="224">
        <f>+'Chart II'!$F$44</f>
        <v>11</v>
      </c>
      <c r="N32" s="225">
        <f>+'Chart II'!$F$45</f>
        <v>11.3</v>
      </c>
      <c r="O32" s="225">
        <f>+'Chart II'!$F$46</f>
        <v>11.7</v>
      </c>
      <c r="P32" s="225">
        <f>+'Chart II'!$F$47</f>
        <v>12</v>
      </c>
      <c r="Q32" s="225">
        <f>+'Chart II'!$F$48</f>
        <v>12.4</v>
      </c>
      <c r="R32" s="241">
        <f>+'Chart II'!$F$49</f>
        <v>12.8</v>
      </c>
    </row>
    <row r="33" spans="1:18">
      <c r="A33" s="306" t="s">
        <v>48</v>
      </c>
      <c r="B33" s="225">
        <f>+'Chart II'!$F58</f>
        <v>96172091</v>
      </c>
      <c r="C33" s="225">
        <f>+'Chart II'!$F59</f>
        <v>65676068</v>
      </c>
      <c r="D33" s="225">
        <f>+'Chart II'!$F60</f>
        <v>67016961</v>
      </c>
      <c r="E33" s="225">
        <f>+'Chart II'!$F61</f>
        <v>80518764</v>
      </c>
      <c r="F33" s="225">
        <f>+'Chart II'!$F62</f>
        <v>103869997</v>
      </c>
      <c r="G33" s="225">
        <f>+'Chart II'!$F63</f>
        <v>102433272</v>
      </c>
      <c r="H33" s="225">
        <f>+'Chart II'!$F64</f>
        <v>87237589</v>
      </c>
      <c r="I33" s="225">
        <f>+'Chart II'!$F65</f>
        <v>80783141</v>
      </c>
      <c r="J33" s="225">
        <f>+'Chart II'!$F66</f>
        <v>79908016</v>
      </c>
      <c r="K33" s="225">
        <f>+'Chart II'!$F67</f>
        <v>76828137</v>
      </c>
      <c r="L33" s="225">
        <f>+'Chart II'!$F68</f>
        <v>79176233</v>
      </c>
      <c r="M33" s="224">
        <f ca="1">+'Chart II'!$F69</f>
        <v>72223026.947568864</v>
      </c>
      <c r="N33" s="225">
        <f ca="1">+'Chart II'!$F70</f>
        <v>66360780.741462775</v>
      </c>
      <c r="O33" s="225">
        <f ca="1">+'Chart II'!$F71</f>
        <v>61520302.229705706</v>
      </c>
      <c r="P33" s="225">
        <f ca="1">+'Chart II'!$F72</f>
        <v>56063418.766717009</v>
      </c>
      <c r="Q33" s="225">
        <f ca="1">+'Chart II'!$F73</f>
        <v>51546101.142281838</v>
      </c>
      <c r="R33" s="241">
        <f ca="1">+'Chart II'!$F74</f>
        <v>47307974.406240016</v>
      </c>
    </row>
    <row r="34" spans="1:18">
      <c r="A34" s="306" t="s">
        <v>49</v>
      </c>
      <c r="B34" s="225">
        <f>+'Chart II'!$D269</f>
        <v>197712.36</v>
      </c>
      <c r="C34" s="225">
        <f>+'Chart II'!$D270</f>
        <v>135213.89000000001</v>
      </c>
      <c r="D34" s="225">
        <f>+'Chart II'!$D271</f>
        <v>142187.47</v>
      </c>
      <c r="E34" s="225">
        <f>+'Chart II'!$D272</f>
        <v>178422</v>
      </c>
      <c r="F34" s="225">
        <f>+'Chart II'!$D273</f>
        <v>214029</v>
      </c>
      <c r="G34" s="225">
        <f>+'Chart II'!$D274</f>
        <v>204487</v>
      </c>
      <c r="H34" s="225">
        <f>+'Chart II'!$D275</f>
        <v>190299</v>
      </c>
      <c r="I34" s="227">
        <f>+'Chart II'!$D276</f>
        <v>195141</v>
      </c>
      <c r="J34" s="227">
        <f>+'Chart II'!$D277</f>
        <v>192700</v>
      </c>
      <c r="K34" s="227">
        <f>+'Chart II'!$D278</f>
        <v>182189</v>
      </c>
      <c r="L34" s="227">
        <f>+'Chart II'!$D279</f>
        <v>186993</v>
      </c>
      <c r="M34" s="226">
        <f ca="1">+'Chart II'!$D313</f>
        <v>159223.35128291009</v>
      </c>
      <c r="N34" s="227">
        <f ca="1">+'Chart II'!$D314</f>
        <v>146299.40546630297</v>
      </c>
      <c r="O34" s="227">
        <f ca="1">+'Chart II'!$D315</f>
        <v>135628.05530239493</v>
      </c>
      <c r="P34" s="227">
        <f ca="1">+'Chart II'!$D316</f>
        <v>123597.77480517743</v>
      </c>
      <c r="Q34" s="227">
        <f ca="1">+'Chart II'!$D317</f>
        <v>113638.86721890194</v>
      </c>
      <c r="R34" s="243">
        <f ca="1">+'Chart II'!$D318</f>
        <v>104295.4656668711</v>
      </c>
    </row>
    <row r="35" spans="1:18">
      <c r="A35" s="306"/>
      <c r="B35" s="225"/>
      <c r="C35" s="225"/>
      <c r="D35" s="225"/>
      <c r="E35" s="225"/>
      <c r="F35" s="225"/>
      <c r="G35" s="225"/>
      <c r="H35" s="225"/>
      <c r="I35" s="221"/>
      <c r="J35" s="221"/>
      <c r="K35" s="221"/>
      <c r="L35" s="221"/>
      <c r="M35" s="220"/>
      <c r="N35" s="221"/>
      <c r="O35" s="221"/>
      <c r="P35" s="221"/>
      <c r="Q35" s="221"/>
      <c r="R35" s="236"/>
    </row>
    <row r="36" spans="1:18">
      <c r="A36" s="305" t="str">
        <f>'Rate Class Energy Model'!M2</f>
        <v>Streetlights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2"/>
      <c r="N36" s="223"/>
      <c r="O36" s="223"/>
      <c r="P36" s="223"/>
      <c r="Q36" s="223"/>
      <c r="R36" s="238"/>
    </row>
    <row r="37" spans="1:18">
      <c r="A37" s="306" t="s">
        <v>63</v>
      </c>
      <c r="B37" s="225">
        <f>+'Chart II'!$G$33</f>
        <v>10059</v>
      </c>
      <c r="C37" s="225">
        <f>+'Chart II'!$G$34</f>
        <v>10262</v>
      </c>
      <c r="D37" s="225">
        <f>+'Chart II'!$G$35</f>
        <v>10498.5</v>
      </c>
      <c r="E37" s="225">
        <f>+'Chart II'!$G$36</f>
        <v>10831</v>
      </c>
      <c r="F37" s="225">
        <f>+'Chart II'!$G$37</f>
        <v>11280.5</v>
      </c>
      <c r="G37" s="225">
        <f>+'Chart II'!$G$38</f>
        <v>11621.5</v>
      </c>
      <c r="H37" s="225">
        <f>+'Chart II'!$G$39</f>
        <v>11801</v>
      </c>
      <c r="I37" s="225">
        <f>+'Chart II'!$G$40</f>
        <v>11995.5</v>
      </c>
      <c r="J37" s="225">
        <f>+'Chart II'!$G$41</f>
        <v>12127.5</v>
      </c>
      <c r="K37" s="225">
        <f>+'Chart II'!$G$42</f>
        <v>12213</v>
      </c>
      <c r="L37" s="225">
        <f>+'Chart II'!$G$43</f>
        <v>12327.5</v>
      </c>
      <c r="M37" s="224">
        <f>+'Chart II'!$G$44</f>
        <v>12580.764461270714</v>
      </c>
      <c r="N37" s="225">
        <f>+'Chart II'!$G$45</f>
        <v>12958.232158180668</v>
      </c>
      <c r="O37" s="225">
        <f>+'Chart II'!$G$46</f>
        <v>13346.909989506667</v>
      </c>
      <c r="P37" s="225">
        <f>+'Chart II'!$G$47</f>
        <v>13747.307050225967</v>
      </c>
      <c r="Q37" s="225">
        <f>+'Chart II'!$G$48</f>
        <v>14159.734676636504</v>
      </c>
      <c r="R37" s="241">
        <f>+'Chart II'!$G$49</f>
        <v>14584.506492404096</v>
      </c>
    </row>
    <row r="38" spans="1:18">
      <c r="A38" s="306" t="s">
        <v>48</v>
      </c>
      <c r="B38" s="225">
        <f>+'Chart II'!$G58</f>
        <v>8359780.5</v>
      </c>
      <c r="C38" s="225">
        <f>+'Chart II'!$G59</f>
        <v>8743099.0634733941</v>
      </c>
      <c r="D38" s="225">
        <f>+'Chart II'!$G60</f>
        <v>9182978</v>
      </c>
      <c r="E38" s="225">
        <f>+'Chart II'!$G61</f>
        <v>9398525</v>
      </c>
      <c r="F38" s="225">
        <f>+'Chart II'!$G62</f>
        <v>9704521</v>
      </c>
      <c r="G38" s="225">
        <f>+'Chart II'!$G63</f>
        <v>9725840</v>
      </c>
      <c r="H38" s="225">
        <f>+'Chart II'!$G64</f>
        <v>10202758</v>
      </c>
      <c r="I38" s="225">
        <f>+'Chart II'!$G65</f>
        <v>10427904</v>
      </c>
      <c r="J38" s="225">
        <f>+'Chart II'!$G66</f>
        <v>10253017</v>
      </c>
      <c r="K38" s="225">
        <f>+'Chart II'!$G67</f>
        <v>10139708</v>
      </c>
      <c r="L38" s="225">
        <f>+'Chart II'!$G68</f>
        <v>9082284</v>
      </c>
      <c r="M38" s="224">
        <f ca="1">+'Chart II'!$G69</f>
        <v>9157883.1611797065</v>
      </c>
      <c r="N38" s="225">
        <f ca="1">+'Chart II'!$G70</f>
        <v>6898975.2993049342</v>
      </c>
      <c r="O38" s="225">
        <f ca="1">+'Chart II'!$G71</f>
        <v>4602545.4750272129</v>
      </c>
      <c r="P38" s="225">
        <f ca="1">+'Chart II'!$G72</f>
        <v>4729452.1624690769</v>
      </c>
      <c r="Q38" s="225">
        <f ca="1">+'Chart II'!$G73</f>
        <v>4858993.4106965186</v>
      </c>
      <c r="R38" s="241">
        <f ca="1">+'Chart II'!$G74</f>
        <v>4991186.1968679242</v>
      </c>
    </row>
    <row r="39" spans="1:18">
      <c r="A39" s="306" t="s">
        <v>49</v>
      </c>
      <c r="B39" s="225">
        <f>+'Chart II'!$E269</f>
        <v>23226.94</v>
      </c>
      <c r="C39" s="225">
        <f>+'Chart II'!$E270</f>
        <v>23584.5</v>
      </c>
      <c r="D39" s="225">
        <f>+'Chart II'!$E271</f>
        <v>24114.33</v>
      </c>
      <c r="E39" s="225">
        <f>+'Chart II'!$E272</f>
        <v>24802</v>
      </c>
      <c r="F39" s="225">
        <f>+'Chart II'!$E273</f>
        <v>25740</v>
      </c>
      <c r="G39" s="225">
        <f>+'Chart II'!$E274</f>
        <v>26489</v>
      </c>
      <c r="H39" s="225">
        <f>+'Chart II'!$E275</f>
        <v>27041</v>
      </c>
      <c r="I39" s="227">
        <f>+'Chart II'!$E276</f>
        <v>27634</v>
      </c>
      <c r="J39" s="227">
        <f>+'Chart II'!$E277</f>
        <v>27830</v>
      </c>
      <c r="K39" s="227">
        <f>+'Chart II'!$E278</f>
        <v>27720</v>
      </c>
      <c r="L39" s="227">
        <f>+'Chart II'!$E279</f>
        <v>25374</v>
      </c>
      <c r="M39" s="226">
        <f ca="1">+'Chart II'!$E313</f>
        <v>24692.191175639095</v>
      </c>
      <c r="N39" s="227">
        <f ca="1">+'Chart II'!$E314</f>
        <v>18601.549507485201</v>
      </c>
      <c r="O39" s="227">
        <f ca="1">+'Chart II'!$E315</f>
        <v>12409.738229211556</v>
      </c>
      <c r="P39" s="227">
        <f ca="1">+'Chart II'!$E316</f>
        <v>12751.913831654809</v>
      </c>
      <c r="Q39" s="227">
        <f ca="1">+'Chart II'!$E317</f>
        <v>13101.192940163424</v>
      </c>
      <c r="R39" s="243">
        <f ca="1">+'Chart II'!$E318</f>
        <v>13457.621329861753</v>
      </c>
    </row>
    <row r="40" spans="1:18">
      <c r="A40" s="306"/>
      <c r="B40" s="225"/>
      <c r="C40" s="225"/>
      <c r="D40" s="225"/>
      <c r="E40" s="225"/>
      <c r="F40" s="225"/>
      <c r="G40" s="225"/>
      <c r="H40" s="225"/>
      <c r="I40" s="227"/>
      <c r="J40" s="227"/>
      <c r="K40" s="227"/>
      <c r="L40" s="227"/>
      <c r="M40" s="226"/>
      <c r="N40" s="227"/>
      <c r="O40" s="227"/>
      <c r="P40" s="227"/>
      <c r="Q40" s="227"/>
      <c r="R40" s="243"/>
    </row>
    <row r="41" spans="1:18">
      <c r="A41" s="305" t="str">
        <f>'Rate Class Energy Model'!N2</f>
        <v>Sentinels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2"/>
      <c r="N41" s="223"/>
      <c r="O41" s="223"/>
      <c r="P41" s="223"/>
      <c r="Q41" s="223"/>
      <c r="R41" s="238"/>
    </row>
    <row r="42" spans="1:18">
      <c r="A42" s="306" t="s">
        <v>63</v>
      </c>
      <c r="B42" s="225">
        <f>+'Chart II'!$H$33</f>
        <v>34.5</v>
      </c>
      <c r="C42" s="225">
        <f>+'Chart II'!$H$34</f>
        <v>30</v>
      </c>
      <c r="D42" s="225">
        <f>+'Chart II'!$H$35</f>
        <v>29.5</v>
      </c>
      <c r="E42" s="225">
        <f>+'Chart II'!$H$36</f>
        <v>28.5</v>
      </c>
      <c r="F42" s="225">
        <f>+'Chart II'!$H$37</f>
        <v>26.5</v>
      </c>
      <c r="G42" s="225">
        <f>+'Chart II'!$H$38</f>
        <v>26</v>
      </c>
      <c r="H42" s="225">
        <f>+'Chart II'!$H$39</f>
        <v>26</v>
      </c>
      <c r="I42" s="225">
        <f>+'Chart II'!$H$40</f>
        <v>25</v>
      </c>
      <c r="J42" s="225">
        <f>+'Chart II'!$H$41</f>
        <v>24</v>
      </c>
      <c r="K42" s="225">
        <f>+'Chart II'!$H$42</f>
        <v>24</v>
      </c>
      <c r="L42" s="225">
        <f>+'Chart II'!$H$43</f>
        <v>24</v>
      </c>
      <c r="M42" s="224">
        <f>+'Chart II'!$H$44</f>
        <v>23.144641405622657</v>
      </c>
      <c r="N42" s="225">
        <f>+'Chart II'!$H$45</f>
        <v>22.319767741452615</v>
      </c>
      <c r="O42" s="225">
        <f>+'Chart II'!$H$46</f>
        <v>21.524292526362714</v>
      </c>
      <c r="P42" s="225">
        <f>+'Chart II'!$H$47</f>
        <v>20.757168001349534</v>
      </c>
      <c r="Q42" s="225">
        <f>+'Chart II'!$H$48</f>
        <v>20.017383749479173</v>
      </c>
      <c r="R42" s="241">
        <f>+'Chart II'!$H$49</f>
        <v>19.303965365018076</v>
      </c>
    </row>
    <row r="43" spans="1:18">
      <c r="A43" s="306" t="s">
        <v>48</v>
      </c>
      <c r="B43" s="225">
        <f>+'Chart II'!$H58</f>
        <v>45541</v>
      </c>
      <c r="C43" s="225">
        <f>+'Chart II'!$H59</f>
        <v>27821</v>
      </c>
      <c r="D43" s="225">
        <f>+'Chart II'!$H60</f>
        <v>43197</v>
      </c>
      <c r="E43" s="225">
        <f>+'Chart II'!$H61</f>
        <v>42595</v>
      </c>
      <c r="F43" s="225">
        <f>+'Chart II'!$H62</f>
        <v>41408</v>
      </c>
      <c r="G43" s="225">
        <f>+'Chart II'!$H63</f>
        <v>39233</v>
      </c>
      <c r="H43" s="225">
        <f>+'Chart II'!$H64</f>
        <v>36792</v>
      </c>
      <c r="I43" s="225">
        <f>+'Chart II'!$H65</f>
        <v>35812</v>
      </c>
      <c r="J43" s="225">
        <f>+'Chart II'!$H66</f>
        <v>35812</v>
      </c>
      <c r="K43" s="225">
        <f>+'Chart II'!$H67</f>
        <v>35812</v>
      </c>
      <c r="L43" s="225">
        <f>+'Chart II'!$H68</f>
        <v>35812</v>
      </c>
      <c r="M43" s="224">
        <f ca="1">+'Chart II'!$H69</f>
        <v>34755.727243069101</v>
      </c>
      <c r="N43" s="225">
        <f ca="1">+'Chart II'!$H70</f>
        <v>33729.84317964848</v>
      </c>
      <c r="O43" s="225">
        <f ca="1">+'Chart II'!$H71</f>
        <v>32705.097787475253</v>
      </c>
      <c r="P43" s="225">
        <f ca="1">+'Chart II'!$H72</f>
        <v>31632.95402592525</v>
      </c>
      <c r="Q43" s="225">
        <f ca="1">+'Chart II'!$H73</f>
        <v>30570.317476652544</v>
      </c>
      <c r="R43" s="241">
        <f ca="1">+'Chart II'!$H74</f>
        <v>29528.658987768886</v>
      </c>
    </row>
    <row r="44" spans="1:18">
      <c r="A44" s="306" t="s">
        <v>49</v>
      </c>
      <c r="B44" s="225">
        <f>+'Chart II'!$F269</f>
        <v>126.50277777777779</v>
      </c>
      <c r="C44" s="225">
        <f>+'Chart II'!$F270</f>
        <v>123.24722222222222</v>
      </c>
      <c r="D44" s="225">
        <f>+'Chart II'!$F271</f>
        <v>119.99166666666666</v>
      </c>
      <c r="E44" s="225">
        <f>+'Chart II'!$F272</f>
        <v>118.31944444444447</v>
      </c>
      <c r="F44" s="225">
        <f>+'Chart II'!$F273</f>
        <v>115.0222222222222</v>
      </c>
      <c r="G44" s="225">
        <f>+'Chart II'!$F274</f>
        <v>108.9805555555556</v>
      </c>
      <c r="H44" s="225">
        <f>+'Chart II'!$F275</f>
        <v>102.2</v>
      </c>
      <c r="I44" s="227">
        <f>+'Chart II'!$F276</f>
        <v>99.477777777777803</v>
      </c>
      <c r="J44" s="227">
        <f>+'Chart II'!$F277</f>
        <v>100</v>
      </c>
      <c r="K44" s="227">
        <f>+'Chart II'!$F278</f>
        <v>100</v>
      </c>
      <c r="L44" s="227">
        <f>+'Chart II'!$F279</f>
        <v>100</v>
      </c>
      <c r="M44" s="226">
        <f ca="1">+'Chart II'!$F313</f>
        <v>101.90231251042215</v>
      </c>
      <c r="N44" s="227">
        <f ca="1">+'Chart II'!$F314</f>
        <v>98.894464114702075</v>
      </c>
      <c r="O44" s="227">
        <f ca="1">+'Chart II'!$F315</f>
        <v>95.88995425459909</v>
      </c>
      <c r="P44" s="227">
        <f ca="1">+'Chart II'!$F316</f>
        <v>92.746474393525105</v>
      </c>
      <c r="Q44" s="227">
        <f ca="1">+'Chart II'!$F317</f>
        <v>89.630869274067337</v>
      </c>
      <c r="R44" s="243">
        <f ca="1">+'Chart II'!$F318</f>
        <v>86.576770934504481</v>
      </c>
    </row>
    <row r="45" spans="1:18">
      <c r="A45" s="306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2"/>
      <c r="N45" s="223"/>
      <c r="O45" s="223"/>
      <c r="P45" s="223"/>
      <c r="Q45" s="223"/>
      <c r="R45" s="238"/>
    </row>
    <row r="46" spans="1:18">
      <c r="A46" s="305" t="str">
        <f>'Rate Class Energy Model'!O2</f>
        <v>USL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2"/>
      <c r="N46" s="223"/>
      <c r="O46" s="223"/>
      <c r="P46" s="223"/>
      <c r="Q46" s="223"/>
      <c r="R46" s="238"/>
    </row>
    <row r="47" spans="1:18">
      <c r="A47" s="306" t="s">
        <v>63</v>
      </c>
      <c r="B47" s="225">
        <f>+'Chart II'!$I$33</f>
        <v>292</v>
      </c>
      <c r="C47" s="225">
        <f>+'Chart II'!$I$34</f>
        <v>294</v>
      </c>
      <c r="D47" s="225">
        <f>+'Chart II'!$I$35</f>
        <v>295</v>
      </c>
      <c r="E47" s="225">
        <f>+'Chart II'!$I$36</f>
        <v>298</v>
      </c>
      <c r="F47" s="225">
        <f>+'Chart II'!$I$37</f>
        <v>301</v>
      </c>
      <c r="G47" s="225">
        <f>+'Chart II'!$I$38</f>
        <v>301</v>
      </c>
      <c r="H47" s="225">
        <f>+'Chart II'!$I$39</f>
        <v>302.5</v>
      </c>
      <c r="I47" s="225">
        <f>+'Chart II'!$I$40</f>
        <v>306.5</v>
      </c>
      <c r="J47" s="225">
        <f>+'Chart II'!$I$41</f>
        <v>302.5</v>
      </c>
      <c r="K47" s="225">
        <f>+'Chart II'!$I$42</f>
        <v>295.5</v>
      </c>
      <c r="L47" s="225">
        <f>+'Chart II'!$I$43</f>
        <v>295</v>
      </c>
      <c r="M47" s="224">
        <f>+'Chart II'!$I$44</f>
        <v>295.30169000587858</v>
      </c>
      <c r="N47" s="225">
        <f>+'Chart II'!$I$45</f>
        <v>295.60368854348479</v>
      </c>
      <c r="O47" s="225">
        <f>+'Chart II'!$I$46</f>
        <v>295.90599592834724</v>
      </c>
      <c r="P47" s="225">
        <f>+'Chart II'!$I$47</f>
        <v>296.20861247631717</v>
      </c>
      <c r="Q47" s="225">
        <f>+'Chart II'!$I$48</f>
        <v>296.51153850356894</v>
      </c>
      <c r="R47" s="241">
        <f>+'Chart II'!$I$49</f>
        <v>296.81477432660017</v>
      </c>
    </row>
    <row r="48" spans="1:18">
      <c r="A48" s="306" t="s">
        <v>48</v>
      </c>
      <c r="B48" s="225">
        <f>+'Chart II'!$I58</f>
        <v>2920000</v>
      </c>
      <c r="C48" s="225">
        <f>+'Chart II'!$I59</f>
        <v>2940000</v>
      </c>
      <c r="D48" s="225">
        <f>+'Chart II'!$I60</f>
        <v>2950000</v>
      </c>
      <c r="E48" s="225">
        <f>+'Chart II'!$I61</f>
        <v>2205188</v>
      </c>
      <c r="F48" s="225">
        <f>+'Chart II'!$I62</f>
        <v>3818865</v>
      </c>
      <c r="G48" s="225">
        <f>+'Chart II'!$I63</f>
        <v>3372873</v>
      </c>
      <c r="H48" s="225">
        <f>+'Chart II'!$I64</f>
        <v>2825455</v>
      </c>
      <c r="I48" s="225">
        <f>+'Chart II'!$I65</f>
        <v>2831501</v>
      </c>
      <c r="J48" s="225">
        <f>+'Chart II'!$I66</f>
        <v>2769028</v>
      </c>
      <c r="K48" s="225">
        <f>+'Chart II'!$I67</f>
        <v>2745701</v>
      </c>
      <c r="L48" s="225">
        <f>+'Chart II'!$I68</f>
        <v>2752416</v>
      </c>
      <c r="M48" s="224">
        <f ca="1">+'Chart II'!$I69</f>
        <v>2720084.521746417</v>
      </c>
      <c r="N48" s="225">
        <f ca="1">+'Chart II'!$I70</f>
        <v>2688071.7815343305</v>
      </c>
      <c r="O48" s="225">
        <f ca="1">+'Chart II'!$I71</f>
        <v>2654070.8537207819</v>
      </c>
      <c r="P48" s="225">
        <f ca="1">+'Chart II'!$I72</f>
        <v>2614010.5244777231</v>
      </c>
      <c r="Q48" s="225">
        <f ca="1">+'Chart II'!$I73</f>
        <v>2572397.3381351824</v>
      </c>
      <c r="R48" s="241">
        <f ca="1">+'Chart II'!$I74</f>
        <v>2530185.414528877</v>
      </c>
    </row>
    <row r="49" spans="1:18">
      <c r="A49" s="306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2"/>
      <c r="N49" s="223"/>
      <c r="O49" s="223"/>
      <c r="P49" s="223"/>
      <c r="Q49" s="223"/>
      <c r="R49" s="238"/>
    </row>
    <row r="50" spans="1:18">
      <c r="A50" s="305" t="s">
        <v>64</v>
      </c>
      <c r="B50" s="225"/>
      <c r="C50" s="225"/>
      <c r="D50" s="225"/>
      <c r="E50" s="225"/>
      <c r="F50" s="223"/>
      <c r="G50" s="225"/>
      <c r="H50" s="225"/>
      <c r="I50" s="225"/>
      <c r="J50" s="225"/>
      <c r="K50" s="225"/>
      <c r="L50" s="225"/>
      <c r="M50" s="224"/>
      <c r="N50" s="225"/>
      <c r="O50" s="225"/>
      <c r="P50" s="225"/>
      <c r="Q50" s="225"/>
      <c r="R50" s="241"/>
    </row>
    <row r="51" spans="1:18">
      <c r="A51" s="306" t="s">
        <v>51</v>
      </c>
      <c r="B51" s="225">
        <f>B14+B18+B22+B27+B32+B37+B47+B42</f>
        <v>57960.5</v>
      </c>
      <c r="C51" s="225">
        <f t="shared" ref="C51:Q51" si="1">C14+C18+C22+C27+C32+C37+C47+C42</f>
        <v>58730.5</v>
      </c>
      <c r="D51" s="225">
        <f t="shared" si="1"/>
        <v>59614.5</v>
      </c>
      <c r="E51" s="225">
        <f t="shared" si="1"/>
        <v>60872.5</v>
      </c>
      <c r="F51" s="225">
        <f t="shared" si="1"/>
        <v>62211</v>
      </c>
      <c r="G51" s="225">
        <f t="shared" si="1"/>
        <v>63344.5</v>
      </c>
      <c r="H51" s="225">
        <f t="shared" si="1"/>
        <v>64128</v>
      </c>
      <c r="I51" s="225">
        <f t="shared" si="1"/>
        <v>64894</v>
      </c>
      <c r="J51" s="225">
        <f t="shared" si="1"/>
        <v>65524.5</v>
      </c>
      <c r="K51" s="225">
        <f t="shared" si="1"/>
        <v>65927</v>
      </c>
      <c r="L51" s="225">
        <f t="shared" si="1"/>
        <v>66571.5</v>
      </c>
      <c r="M51" s="224">
        <f t="shared" si="1"/>
        <v>67512.040898196501</v>
      </c>
      <c r="N51" s="225">
        <f t="shared" si="1"/>
        <v>69527.294577676308</v>
      </c>
      <c r="O51" s="225">
        <f t="shared" si="1"/>
        <v>71603.187982798801</v>
      </c>
      <c r="P51" s="225">
        <f t="shared" si="1"/>
        <v>73741.051916484168</v>
      </c>
      <c r="Q51" s="225">
        <f t="shared" si="1"/>
        <v>75943.42110575884</v>
      </c>
      <c r="R51" s="241">
        <f>R14+R18+R22+R27+R32+R37+R47+R42</f>
        <v>78211.734268570421</v>
      </c>
    </row>
    <row r="52" spans="1:18">
      <c r="A52" s="306" t="s">
        <v>48</v>
      </c>
      <c r="B52" s="225">
        <f>B15+B19+B23+B28+B33+B38+B48+B43</f>
        <v>1136840307.5</v>
      </c>
      <c r="C52" s="225">
        <f t="shared" ref="C52:R52" si="2">C15+C19+C23+C28+C33+C38+C48+C43</f>
        <v>1128300513.0634735</v>
      </c>
      <c r="D52" s="225">
        <f t="shared" si="2"/>
        <v>1125931170</v>
      </c>
      <c r="E52" s="225">
        <f t="shared" si="2"/>
        <v>1109463247</v>
      </c>
      <c r="F52" s="225">
        <f t="shared" si="2"/>
        <v>1143760516</v>
      </c>
      <c r="G52" s="225">
        <f t="shared" si="2"/>
        <v>1117251257</v>
      </c>
      <c r="H52" s="225">
        <f t="shared" si="2"/>
        <v>1082664508</v>
      </c>
      <c r="I52" s="225">
        <f t="shared" si="2"/>
        <v>1090938483</v>
      </c>
      <c r="J52" s="225">
        <f t="shared" si="2"/>
        <v>1110518847</v>
      </c>
      <c r="K52" s="225">
        <f t="shared" si="2"/>
        <v>1073783871</v>
      </c>
      <c r="L52" s="225">
        <f t="shared" si="2"/>
        <v>1078161209</v>
      </c>
      <c r="M52" s="224">
        <f t="shared" ca="1" si="2"/>
        <v>1093217749.2148373</v>
      </c>
      <c r="N52" s="225">
        <f t="shared" ca="1" si="2"/>
        <v>1107580970.3832314</v>
      </c>
      <c r="O52" s="225">
        <f t="shared" ca="1" si="2"/>
        <v>1124788536.5709801</v>
      </c>
      <c r="P52" s="225">
        <f t="shared" ca="1" si="2"/>
        <v>1135912494.3050995</v>
      </c>
      <c r="Q52" s="225">
        <f t="shared" ca="1" si="2"/>
        <v>1149884488.0376174</v>
      </c>
      <c r="R52" s="241">
        <f t="shared" ca="1" si="2"/>
        <v>1163639671.2474432</v>
      </c>
    </row>
    <row r="53" spans="1:18">
      <c r="A53" s="306" t="s">
        <v>50</v>
      </c>
      <c r="B53" s="225">
        <f t="shared" ref="B53:R53" si="3">B24+B29+B34+B39+B44</f>
        <v>1376310.4427777778</v>
      </c>
      <c r="C53" s="225">
        <f t="shared" si="3"/>
        <v>1359503.3072222222</v>
      </c>
      <c r="D53" s="225">
        <f t="shared" si="3"/>
        <v>1235025.9316666666</v>
      </c>
      <c r="E53" s="225">
        <f t="shared" si="3"/>
        <v>1231537.3194444445</v>
      </c>
      <c r="F53" s="225">
        <f t="shared" si="3"/>
        <v>1262855.0222222223</v>
      </c>
      <c r="G53" s="225">
        <f t="shared" si="3"/>
        <v>1231679.9805555556</v>
      </c>
      <c r="H53" s="225">
        <f t="shared" si="3"/>
        <v>1167952.2</v>
      </c>
      <c r="I53" s="225">
        <f t="shared" si="3"/>
        <v>1165174.4777777777</v>
      </c>
      <c r="J53" s="225">
        <f t="shared" si="3"/>
        <v>1171404</v>
      </c>
      <c r="K53" s="225">
        <f t="shared" si="3"/>
        <v>1146022</v>
      </c>
      <c r="L53" s="225">
        <f t="shared" si="3"/>
        <v>1151235</v>
      </c>
      <c r="M53" s="224">
        <f t="shared" ca="1" si="3"/>
        <v>1168317.2150943705</v>
      </c>
      <c r="N53" s="225">
        <f t="shared" ca="1" si="3"/>
        <v>1193060.6631732266</v>
      </c>
      <c r="O53" s="225">
        <f t="shared" ca="1" si="3"/>
        <v>1222934.1373928364</v>
      </c>
      <c r="P53" s="225">
        <f t="shared" ca="1" si="3"/>
        <v>1251649.1488065664</v>
      </c>
      <c r="Q53" s="225">
        <f t="shared" ca="1" si="3"/>
        <v>1285319.5692610343</v>
      </c>
      <c r="R53" s="241">
        <f t="shared" ca="1" si="3"/>
        <v>1320148.1598380981</v>
      </c>
    </row>
    <row r="54" spans="1:18">
      <c r="A54" s="306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2"/>
      <c r="N54" s="223"/>
      <c r="O54" s="223"/>
      <c r="P54" s="223"/>
      <c r="Q54" s="223"/>
      <c r="R54" s="238"/>
    </row>
    <row r="55" spans="1:18">
      <c r="A55" s="305" t="s">
        <v>65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2"/>
      <c r="N55" s="223"/>
      <c r="O55" s="223"/>
      <c r="P55" s="223"/>
      <c r="Q55" s="223"/>
      <c r="R55" s="238"/>
    </row>
    <row r="56" spans="1:18">
      <c r="A56" s="306" t="s">
        <v>51</v>
      </c>
      <c r="B56" s="225">
        <f>+'Chart II'!$J$33</f>
        <v>57960.5</v>
      </c>
      <c r="C56" s="225">
        <f>+'Chart II'!$J$34</f>
        <v>58730.5</v>
      </c>
      <c r="D56" s="225">
        <f>+'Chart II'!$J$35</f>
        <v>59614.5</v>
      </c>
      <c r="E56" s="225">
        <f>+'Chart II'!$J$36</f>
        <v>60872.5</v>
      </c>
      <c r="F56" s="225">
        <f>+'Chart II'!$J$37</f>
        <v>62211</v>
      </c>
      <c r="G56" s="225">
        <f>+'Chart II'!$J$38</f>
        <v>63344.5</v>
      </c>
      <c r="H56" s="225">
        <f>+'Chart II'!$J$39</f>
        <v>64128</v>
      </c>
      <c r="I56" s="225">
        <f>+'Chart II'!$J$40</f>
        <v>64894</v>
      </c>
      <c r="J56" s="225">
        <f>+'Chart II'!$J$41</f>
        <v>65524.5</v>
      </c>
      <c r="K56" s="225">
        <f>+'Chart II'!$J$42</f>
        <v>65927</v>
      </c>
      <c r="L56" s="225">
        <f>+'Chart II'!$J$43</f>
        <v>66571.5</v>
      </c>
      <c r="M56" s="224">
        <f>+'Chart II'!$J$44</f>
        <v>67512.040898196501</v>
      </c>
      <c r="N56" s="225">
        <f>+'Chart II'!$J$45</f>
        <v>69527.294577676308</v>
      </c>
      <c r="O56" s="225">
        <f>+'Chart II'!$J$46</f>
        <v>71603.187982798801</v>
      </c>
      <c r="P56" s="225">
        <f>+'Chart II'!$J$47</f>
        <v>73741.051916484168</v>
      </c>
      <c r="Q56" s="225">
        <f>+'Chart II'!$J$48</f>
        <v>75943.42110575884</v>
      </c>
      <c r="R56" s="241">
        <f>+'Chart II'!$J$49</f>
        <v>78211.734268570421</v>
      </c>
    </row>
    <row r="57" spans="1:18">
      <c r="A57" s="306" t="s">
        <v>48</v>
      </c>
      <c r="B57" s="225">
        <f>+B9</f>
        <v>1136840307.5</v>
      </c>
      <c r="C57" s="225">
        <f t="shared" ref="C57:R57" si="4">+C9</f>
        <v>1128300513.0634735</v>
      </c>
      <c r="D57" s="225">
        <f t="shared" si="4"/>
        <v>1125931170</v>
      </c>
      <c r="E57" s="225">
        <f t="shared" si="4"/>
        <v>1109463247</v>
      </c>
      <c r="F57" s="225">
        <f t="shared" si="4"/>
        <v>1143760516</v>
      </c>
      <c r="G57" s="225">
        <f t="shared" si="4"/>
        <v>1117251257</v>
      </c>
      <c r="H57" s="225">
        <f t="shared" si="4"/>
        <v>1082664508</v>
      </c>
      <c r="I57" s="225">
        <f t="shared" si="4"/>
        <v>1090938483</v>
      </c>
      <c r="J57" s="225">
        <f t="shared" si="4"/>
        <v>1110518847</v>
      </c>
      <c r="K57" s="225">
        <f t="shared" si="4"/>
        <v>1073783871</v>
      </c>
      <c r="L57" s="225">
        <f t="shared" si="4"/>
        <v>1078161209</v>
      </c>
      <c r="M57" s="224">
        <f t="shared" ca="1" si="4"/>
        <v>1093217749.2148373</v>
      </c>
      <c r="N57" s="225">
        <f t="shared" ca="1" si="4"/>
        <v>1107580970.3832314</v>
      </c>
      <c r="O57" s="225">
        <f t="shared" ca="1" si="4"/>
        <v>1124788536.5709801</v>
      </c>
      <c r="P57" s="225">
        <f t="shared" ca="1" si="4"/>
        <v>1135912494.3050995</v>
      </c>
      <c r="Q57" s="225">
        <f t="shared" ca="1" si="4"/>
        <v>1149884488.0376174</v>
      </c>
      <c r="R57" s="241">
        <f t="shared" ca="1" si="4"/>
        <v>1163639671.2474432</v>
      </c>
    </row>
    <row r="58" spans="1:18">
      <c r="A58" s="306" t="s">
        <v>50</v>
      </c>
      <c r="B58" s="225">
        <f>+B10</f>
        <v>1376310.4427777778</v>
      </c>
      <c r="C58" s="225">
        <f t="shared" ref="C58:R58" si="5">+C10</f>
        <v>1359503.3072222222</v>
      </c>
      <c r="D58" s="225">
        <f t="shared" si="5"/>
        <v>1235025.9316666666</v>
      </c>
      <c r="E58" s="225">
        <f t="shared" si="5"/>
        <v>1231537.3194444445</v>
      </c>
      <c r="F58" s="225">
        <f t="shared" si="5"/>
        <v>1262855.0222222223</v>
      </c>
      <c r="G58" s="225">
        <f t="shared" si="5"/>
        <v>1231679.9805555556</v>
      </c>
      <c r="H58" s="225">
        <f t="shared" si="5"/>
        <v>1167952.2</v>
      </c>
      <c r="I58" s="227">
        <f t="shared" si="5"/>
        <v>1165174.4777777777</v>
      </c>
      <c r="J58" s="227">
        <f t="shared" si="5"/>
        <v>1171404</v>
      </c>
      <c r="K58" s="227">
        <f t="shared" si="5"/>
        <v>1146022</v>
      </c>
      <c r="L58" s="227">
        <f t="shared" si="5"/>
        <v>1151235</v>
      </c>
      <c r="M58" s="226">
        <f t="shared" ca="1" si="5"/>
        <v>1168317.2150943705</v>
      </c>
      <c r="N58" s="227">
        <f t="shared" ca="1" si="5"/>
        <v>1193060.6631732266</v>
      </c>
      <c r="O58" s="227">
        <f t="shared" ca="1" si="5"/>
        <v>1222934.1373928364</v>
      </c>
      <c r="P58" s="227">
        <f t="shared" ca="1" si="5"/>
        <v>1251649.1488065664</v>
      </c>
      <c r="Q58" s="227">
        <f t="shared" ca="1" si="5"/>
        <v>1285319.5692610343</v>
      </c>
      <c r="R58" s="243">
        <f t="shared" ca="1" si="5"/>
        <v>1320148.1598380981</v>
      </c>
    </row>
    <row r="59" spans="1:18">
      <c r="A59" s="306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2"/>
      <c r="N59" s="223"/>
      <c r="O59" s="223"/>
      <c r="P59" s="223"/>
      <c r="Q59" s="223"/>
      <c r="R59" s="238"/>
    </row>
    <row r="60" spans="1:18">
      <c r="A60" s="305" t="s">
        <v>66</v>
      </c>
      <c r="B60" s="225"/>
      <c r="C60" s="225"/>
      <c r="D60" s="225"/>
      <c r="E60" s="225"/>
      <c r="F60" s="225"/>
      <c r="G60" s="225"/>
      <c r="H60" s="225"/>
      <c r="I60" s="223"/>
      <c r="J60" s="223"/>
      <c r="K60" s="223"/>
      <c r="L60" s="223"/>
      <c r="M60" s="222"/>
      <c r="N60" s="223"/>
      <c r="O60" s="223"/>
      <c r="P60" s="223"/>
      <c r="Q60" s="223"/>
      <c r="R60" s="238"/>
    </row>
    <row r="61" spans="1:18">
      <c r="A61" s="306" t="s">
        <v>51</v>
      </c>
      <c r="B61" s="225">
        <f>B51-B56</f>
        <v>0</v>
      </c>
      <c r="C61" s="225">
        <f t="shared" ref="C61:R63" si="6">C51-C56</f>
        <v>0</v>
      </c>
      <c r="D61" s="225">
        <f t="shared" si="6"/>
        <v>0</v>
      </c>
      <c r="E61" s="225">
        <f t="shared" si="6"/>
        <v>0</v>
      </c>
      <c r="F61" s="225">
        <f t="shared" si="6"/>
        <v>0</v>
      </c>
      <c r="G61" s="225">
        <f t="shared" si="6"/>
        <v>0</v>
      </c>
      <c r="H61" s="225">
        <f t="shared" si="6"/>
        <v>0</v>
      </c>
      <c r="I61" s="225">
        <f t="shared" si="6"/>
        <v>0</v>
      </c>
      <c r="J61" s="225">
        <f t="shared" si="6"/>
        <v>0</v>
      </c>
      <c r="K61" s="225">
        <f t="shared" si="6"/>
        <v>0</v>
      </c>
      <c r="L61" s="225">
        <f t="shared" si="6"/>
        <v>0</v>
      </c>
      <c r="M61" s="224">
        <f t="shared" si="6"/>
        <v>0</v>
      </c>
      <c r="N61" s="225">
        <f t="shared" si="6"/>
        <v>0</v>
      </c>
      <c r="O61" s="225">
        <f t="shared" si="6"/>
        <v>0</v>
      </c>
      <c r="P61" s="225">
        <f t="shared" si="6"/>
        <v>0</v>
      </c>
      <c r="Q61" s="225">
        <f t="shared" si="6"/>
        <v>0</v>
      </c>
      <c r="R61" s="241">
        <f t="shared" si="6"/>
        <v>0</v>
      </c>
    </row>
    <row r="62" spans="1:18">
      <c r="A62" s="306" t="s">
        <v>48</v>
      </c>
      <c r="B62" s="225">
        <f t="shared" ref="B62:I63" si="7">B52-B57</f>
        <v>0</v>
      </c>
      <c r="C62" s="225">
        <f t="shared" si="7"/>
        <v>0</v>
      </c>
      <c r="D62" s="225">
        <f t="shared" si="7"/>
        <v>0</v>
      </c>
      <c r="E62" s="225">
        <f t="shared" si="7"/>
        <v>0</v>
      </c>
      <c r="F62" s="225">
        <f t="shared" si="7"/>
        <v>0</v>
      </c>
      <c r="G62" s="225">
        <f t="shared" si="7"/>
        <v>0</v>
      </c>
      <c r="H62" s="225">
        <f t="shared" si="7"/>
        <v>0</v>
      </c>
      <c r="I62" s="225">
        <f t="shared" si="7"/>
        <v>0</v>
      </c>
      <c r="J62" s="225">
        <f t="shared" si="6"/>
        <v>0</v>
      </c>
      <c r="K62" s="225">
        <f t="shared" si="6"/>
        <v>0</v>
      </c>
      <c r="L62" s="225">
        <f t="shared" si="6"/>
        <v>0</v>
      </c>
      <c r="M62" s="224">
        <f t="shared" ca="1" si="6"/>
        <v>0</v>
      </c>
      <c r="N62" s="225">
        <f t="shared" ca="1" si="6"/>
        <v>0</v>
      </c>
      <c r="O62" s="225">
        <f t="shared" ca="1" si="6"/>
        <v>0</v>
      </c>
      <c r="P62" s="225">
        <f t="shared" ca="1" si="6"/>
        <v>0</v>
      </c>
      <c r="Q62" s="225">
        <f t="shared" ca="1" si="6"/>
        <v>0</v>
      </c>
      <c r="R62" s="241">
        <f t="shared" ca="1" si="6"/>
        <v>0</v>
      </c>
    </row>
    <row r="63" spans="1:18" ht="13.8" thickBot="1">
      <c r="A63" s="308" t="s">
        <v>50</v>
      </c>
      <c r="B63" s="246">
        <f t="shared" si="7"/>
        <v>0</v>
      </c>
      <c r="C63" s="246">
        <f t="shared" si="7"/>
        <v>0</v>
      </c>
      <c r="D63" s="246">
        <f t="shared" si="7"/>
        <v>0</v>
      </c>
      <c r="E63" s="246">
        <f t="shared" si="7"/>
        <v>0</v>
      </c>
      <c r="F63" s="246">
        <f t="shared" si="7"/>
        <v>0</v>
      </c>
      <c r="G63" s="246">
        <f t="shared" si="7"/>
        <v>0</v>
      </c>
      <c r="H63" s="246">
        <f t="shared" si="7"/>
        <v>0</v>
      </c>
      <c r="I63" s="246">
        <f t="shared" si="7"/>
        <v>0</v>
      </c>
      <c r="J63" s="246">
        <f t="shared" si="6"/>
        <v>0</v>
      </c>
      <c r="K63" s="246">
        <f t="shared" si="6"/>
        <v>0</v>
      </c>
      <c r="L63" s="246">
        <f t="shared" si="6"/>
        <v>0</v>
      </c>
      <c r="M63" s="247">
        <f t="shared" ca="1" si="6"/>
        <v>0</v>
      </c>
      <c r="N63" s="246">
        <f t="shared" ca="1" si="6"/>
        <v>0</v>
      </c>
      <c r="O63" s="246">
        <f t="shared" ca="1" si="6"/>
        <v>0</v>
      </c>
      <c r="P63" s="246">
        <f t="shared" ca="1" si="6"/>
        <v>0</v>
      </c>
      <c r="Q63" s="246">
        <f t="shared" ca="1" si="6"/>
        <v>0</v>
      </c>
      <c r="R63" s="248">
        <f t="shared" ca="1" si="6"/>
        <v>0</v>
      </c>
    </row>
    <row r="65" spans="1:17" ht="13.8" thickBot="1"/>
    <row r="66" spans="1:17">
      <c r="A66" s="317"/>
      <c r="B66" s="320" t="s">
        <v>258</v>
      </c>
      <c r="C66" s="320" t="s">
        <v>258</v>
      </c>
      <c r="D66" s="447" t="s">
        <v>206</v>
      </c>
      <c r="E66" s="448"/>
      <c r="F66" s="448"/>
      <c r="G66" s="448"/>
      <c r="H66" s="448"/>
      <c r="I66" s="449"/>
      <c r="J66" s="318" t="s">
        <v>259</v>
      </c>
      <c r="K66" s="447" t="s">
        <v>260</v>
      </c>
      <c r="L66" s="448"/>
      <c r="M66" s="448"/>
      <c r="N66" s="448"/>
      <c r="O66" s="450"/>
    </row>
    <row r="67" spans="1:17" ht="13.8" thickBot="1">
      <c r="A67" s="319" t="s">
        <v>112</v>
      </c>
      <c r="B67" s="329">
        <v>2008</v>
      </c>
      <c r="C67" s="329">
        <v>2012</v>
      </c>
      <c r="D67" s="330">
        <v>2008</v>
      </c>
      <c r="E67" s="330">
        <v>2009</v>
      </c>
      <c r="F67" s="330">
        <v>2010</v>
      </c>
      <c r="G67" s="330">
        <v>2011</v>
      </c>
      <c r="H67" s="330">
        <v>2012</v>
      </c>
      <c r="I67" s="330">
        <v>2013</v>
      </c>
      <c r="J67" s="330">
        <v>2014</v>
      </c>
      <c r="K67" s="330">
        <v>2015</v>
      </c>
      <c r="L67" s="330">
        <v>2016</v>
      </c>
      <c r="M67" s="330">
        <v>2017</v>
      </c>
      <c r="N67" s="330">
        <v>2018</v>
      </c>
      <c r="O67" s="331">
        <v>2019</v>
      </c>
    </row>
    <row r="68" spans="1:17">
      <c r="A68" s="303" t="s">
        <v>52</v>
      </c>
      <c r="B68" s="321">
        <f>+'Chart II'!B5</f>
        <v>1192455603</v>
      </c>
      <c r="C68" s="321">
        <f>+'Chart II'!B6</f>
        <v>1161936612</v>
      </c>
      <c r="D68" s="321">
        <f t="shared" ref="D68:O70" si="8">+G5</f>
        <v>1158881926</v>
      </c>
      <c r="E68" s="321">
        <f t="shared" si="8"/>
        <v>1128390784.5107694</v>
      </c>
      <c r="F68" s="321">
        <f t="shared" si="8"/>
        <v>1148489331.8146157</v>
      </c>
      <c r="G68" s="321">
        <f t="shared" si="8"/>
        <v>1148632387.3953846</v>
      </c>
      <c r="H68" s="321">
        <f t="shared" si="8"/>
        <v>1136211952.670979</v>
      </c>
      <c r="I68" s="321">
        <f t="shared" si="8"/>
        <v>1130407041.6666667</v>
      </c>
      <c r="J68" s="321">
        <f t="shared" si="8"/>
        <v>0</v>
      </c>
      <c r="K68" s="321">
        <f t="shared" si="8"/>
        <v>0</v>
      </c>
      <c r="L68" s="321">
        <f t="shared" si="8"/>
        <v>0</v>
      </c>
      <c r="M68" s="321">
        <f t="shared" si="8"/>
        <v>0</v>
      </c>
      <c r="N68" s="321">
        <f t="shared" si="8"/>
        <v>0</v>
      </c>
      <c r="O68" s="322">
        <f t="shared" si="8"/>
        <v>0</v>
      </c>
    </row>
    <row r="69" spans="1:17">
      <c r="A69" s="303" t="s">
        <v>53</v>
      </c>
      <c r="B69" s="321"/>
      <c r="C69" s="153"/>
      <c r="D69" s="321">
        <f t="shared" si="8"/>
        <v>1110172412.3567979</v>
      </c>
      <c r="E69" s="321">
        <f t="shared" si="8"/>
        <v>1126724653.6746798</v>
      </c>
      <c r="F69" s="321">
        <f t="shared" si="8"/>
        <v>1129720236.440757</v>
      </c>
      <c r="G69" s="321">
        <f t="shared" si="8"/>
        <v>1164987379.8152349</v>
      </c>
      <c r="H69" s="321">
        <f t="shared" si="8"/>
        <v>1150628519.5562067</v>
      </c>
      <c r="I69" s="321">
        <f t="shared" ca="1" si="8"/>
        <v>1158628600.9002914</v>
      </c>
      <c r="J69" s="321">
        <f t="shared" ca="1" si="8"/>
        <v>1146348131.8266783</v>
      </c>
      <c r="K69" s="321">
        <f t="shared" ca="1" si="8"/>
        <v>1161409405.5438561</v>
      </c>
      <c r="L69" s="321">
        <f t="shared" ca="1" si="8"/>
        <v>1179453259.4483292</v>
      </c>
      <c r="M69" s="321">
        <f t="shared" ca="1" si="8"/>
        <v>1191117841.5283267</v>
      </c>
      <c r="N69" s="321">
        <f t="shared" ca="1" si="8"/>
        <v>1205768874.1562457</v>
      </c>
      <c r="O69" s="322">
        <f t="shared" ca="1" si="8"/>
        <v>1220192559.2700689</v>
      </c>
    </row>
    <row r="70" spans="1:17">
      <c r="A70" s="303" t="s">
        <v>8</v>
      </c>
      <c r="B70" s="323"/>
      <c r="C70" s="153"/>
      <c r="D70" s="324">
        <f t="shared" si="8"/>
        <v>-4.2031472361751261E-2</v>
      </c>
      <c r="E70" s="324">
        <f t="shared" si="8"/>
        <v>-1.4765548061543119E-3</v>
      </c>
      <c r="F70" s="324">
        <f t="shared" si="8"/>
        <v>-1.6342420302854252E-2</v>
      </c>
      <c r="G70" s="324">
        <f t="shared" si="8"/>
        <v>1.4238665563781113E-2</v>
      </c>
      <c r="H70" s="324">
        <f t="shared" si="8"/>
        <v>1.268827251054486E-2</v>
      </c>
      <c r="I70" s="324">
        <f t="shared" ca="1" si="8"/>
        <v>2.4965838139167078E-2</v>
      </c>
      <c r="J70" s="324">
        <f t="shared" si="8"/>
        <v>0</v>
      </c>
      <c r="K70" s="324">
        <f t="shared" si="8"/>
        <v>0</v>
      </c>
      <c r="L70" s="324">
        <f t="shared" si="8"/>
        <v>0</v>
      </c>
      <c r="M70" s="324">
        <f t="shared" si="8"/>
        <v>0</v>
      </c>
      <c r="N70" s="324">
        <f t="shared" si="8"/>
        <v>0</v>
      </c>
      <c r="O70" s="325">
        <f t="shared" si="8"/>
        <v>0</v>
      </c>
    </row>
    <row r="71" spans="1:17">
      <c r="A71" s="30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326"/>
    </row>
    <row r="72" spans="1:17">
      <c r="A72" s="303" t="s">
        <v>55</v>
      </c>
      <c r="B72" s="321">
        <f>+'Chart II'!J55</f>
        <v>1141200155</v>
      </c>
      <c r="C72" s="321">
        <f>+'Chart II'!J56</f>
        <v>1114000000</v>
      </c>
      <c r="D72" s="321">
        <f t="shared" ref="D72:O72" si="9">+G9</f>
        <v>1117251257</v>
      </c>
      <c r="E72" s="321">
        <f t="shared" si="9"/>
        <v>1082664508</v>
      </c>
      <c r="F72" s="321">
        <f t="shared" si="9"/>
        <v>1090938483</v>
      </c>
      <c r="G72" s="321">
        <f t="shared" si="9"/>
        <v>1110518847</v>
      </c>
      <c r="H72" s="321">
        <f t="shared" si="9"/>
        <v>1073783871</v>
      </c>
      <c r="I72" s="321">
        <f t="shared" si="9"/>
        <v>1078161209</v>
      </c>
      <c r="J72" s="321">
        <f t="shared" ca="1" si="9"/>
        <v>1093217749.2148373</v>
      </c>
      <c r="K72" s="321">
        <f t="shared" ca="1" si="9"/>
        <v>1107580970.3832314</v>
      </c>
      <c r="L72" s="321">
        <f t="shared" ca="1" si="9"/>
        <v>1124788536.5709801</v>
      </c>
      <c r="M72" s="321">
        <f t="shared" ca="1" si="9"/>
        <v>1135912494.3050995</v>
      </c>
      <c r="N72" s="321">
        <f t="shared" ca="1" si="9"/>
        <v>1149884488.0376174</v>
      </c>
      <c r="O72" s="322">
        <f t="shared" ca="1" si="9"/>
        <v>1163639671.2474432</v>
      </c>
      <c r="Q72" s="413"/>
    </row>
    <row r="73" spans="1:17">
      <c r="A73" s="30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326"/>
    </row>
    <row r="74" spans="1:17" ht="15.6">
      <c r="A74" s="304" t="s">
        <v>54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326"/>
    </row>
    <row r="75" spans="1:17">
      <c r="A75" s="305" t="str">
        <f>+A13</f>
        <v>Residential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326"/>
    </row>
    <row r="76" spans="1:17">
      <c r="A76" s="306" t="s">
        <v>47</v>
      </c>
      <c r="B76" s="321">
        <f t="shared" ref="B76" si="10">+E14</f>
        <v>45439</v>
      </c>
      <c r="C76" s="321">
        <f t="shared" ref="C76" si="11">+F14</f>
        <v>46320</v>
      </c>
      <c r="D76" s="321">
        <f t="shared" ref="D76:O77" si="12">+G14</f>
        <v>47057.5</v>
      </c>
      <c r="E76" s="321">
        <f t="shared" si="12"/>
        <v>47602.5</v>
      </c>
      <c r="F76" s="321">
        <f t="shared" si="12"/>
        <v>48114.5</v>
      </c>
      <c r="G76" s="321">
        <f t="shared" si="12"/>
        <v>48650.5</v>
      </c>
      <c r="H76" s="321">
        <f t="shared" si="12"/>
        <v>49021</v>
      </c>
      <c r="I76" s="321">
        <f t="shared" si="12"/>
        <v>49511</v>
      </c>
      <c r="J76" s="321">
        <f t="shared" si="12"/>
        <v>50176.865096229601</v>
      </c>
      <c r="K76" s="321">
        <f t="shared" si="12"/>
        <v>51682.185299937883</v>
      </c>
      <c r="L76" s="321">
        <f t="shared" si="12"/>
        <v>53232.681046856349</v>
      </c>
      <c r="M76" s="321">
        <f t="shared" si="12"/>
        <v>54829.574392436392</v>
      </c>
      <c r="N76" s="321">
        <f t="shared" si="12"/>
        <v>56474.48903363257</v>
      </c>
      <c r="O76" s="322">
        <f t="shared" si="12"/>
        <v>58168.750330978961</v>
      </c>
    </row>
    <row r="77" spans="1:17">
      <c r="A77" s="306" t="s">
        <v>48</v>
      </c>
      <c r="B77" s="321">
        <f>+'Chart II'!B55</f>
        <v>487192399</v>
      </c>
      <c r="C77" s="321">
        <f>+'Chart II'!B56</f>
        <v>496447375</v>
      </c>
      <c r="D77" s="321">
        <f t="shared" si="12"/>
        <v>470718851</v>
      </c>
      <c r="E77" s="321">
        <f t="shared" si="12"/>
        <v>467977819</v>
      </c>
      <c r="F77" s="321">
        <f t="shared" si="12"/>
        <v>476941035</v>
      </c>
      <c r="G77" s="321">
        <f t="shared" si="12"/>
        <v>484582022</v>
      </c>
      <c r="H77" s="321">
        <f t="shared" si="12"/>
        <v>473288468</v>
      </c>
      <c r="I77" s="321">
        <f t="shared" si="12"/>
        <v>475282449</v>
      </c>
      <c r="J77" s="321">
        <f t="shared" ca="1" si="12"/>
        <v>481054885.42264152</v>
      </c>
      <c r="K77" s="321">
        <f t="shared" ca="1" si="12"/>
        <v>483663532.29648578</v>
      </c>
      <c r="L77" s="321">
        <f t="shared" ca="1" si="12"/>
        <v>486758735.37501377</v>
      </c>
      <c r="M77" s="321">
        <f t="shared" ca="1" si="12"/>
        <v>485640571.09087658</v>
      </c>
      <c r="N77" s="321">
        <f t="shared" ca="1" si="12"/>
        <v>485086336.06007928</v>
      </c>
      <c r="O77" s="322">
        <f t="shared" ca="1" si="12"/>
        <v>483951298.77224517</v>
      </c>
    </row>
    <row r="78" spans="1:17">
      <c r="A78" s="306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326"/>
    </row>
    <row r="79" spans="1:17">
      <c r="A79" s="305" t="str">
        <f>+A17</f>
        <v>GS&lt;50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326"/>
    </row>
    <row r="80" spans="1:17">
      <c r="A80" s="306" t="s">
        <v>47</v>
      </c>
      <c r="B80" s="321">
        <f t="shared" ref="B80" si="13">+E18</f>
        <v>3740.5</v>
      </c>
      <c r="C80" s="321">
        <f t="shared" ref="C80" si="14">+F18</f>
        <v>3749</v>
      </c>
      <c r="D80" s="321">
        <f t="shared" ref="D80:O81" si="15">+G18</f>
        <v>3793.5</v>
      </c>
      <c r="E80" s="321">
        <f t="shared" si="15"/>
        <v>3859.5</v>
      </c>
      <c r="F80" s="321">
        <f t="shared" si="15"/>
        <v>3929</v>
      </c>
      <c r="G80" s="321">
        <f t="shared" si="15"/>
        <v>3888.5</v>
      </c>
      <c r="H80" s="321">
        <f t="shared" si="15"/>
        <v>3850.5</v>
      </c>
      <c r="I80" s="321">
        <f t="shared" si="15"/>
        <v>3902</v>
      </c>
      <c r="J80" s="321">
        <f t="shared" si="15"/>
        <v>3923.9650092846832</v>
      </c>
      <c r="K80" s="321">
        <f t="shared" si="15"/>
        <v>4041.6536632728203</v>
      </c>
      <c r="L80" s="321">
        <f t="shared" si="15"/>
        <v>4162.9666579810846</v>
      </c>
      <c r="M80" s="321">
        <f t="shared" si="15"/>
        <v>4287.8046933441428</v>
      </c>
      <c r="N80" s="321">
        <f t="shared" si="15"/>
        <v>4416.4684732367114</v>
      </c>
      <c r="O80" s="322">
        <f t="shared" si="15"/>
        <v>4548.9587054957365</v>
      </c>
    </row>
    <row r="81" spans="1:15">
      <c r="A81" s="306" t="s">
        <v>48</v>
      </c>
      <c r="B81" s="321">
        <f>+'Chart II'!C55</f>
        <v>140097188</v>
      </c>
      <c r="C81" s="321">
        <f>+'Chart II'!C56</f>
        <v>132319612</v>
      </c>
      <c r="D81" s="321">
        <f t="shared" si="15"/>
        <v>131868017</v>
      </c>
      <c r="E81" s="321">
        <f t="shared" si="15"/>
        <v>128019505</v>
      </c>
      <c r="F81" s="321">
        <f t="shared" si="15"/>
        <v>131282103</v>
      </c>
      <c r="G81" s="321">
        <f t="shared" si="15"/>
        <v>135695878</v>
      </c>
      <c r="H81" s="321">
        <f t="shared" si="15"/>
        <v>131590801</v>
      </c>
      <c r="I81" s="321">
        <f t="shared" si="15"/>
        <v>132382128</v>
      </c>
      <c r="J81" s="321">
        <f t="shared" ca="1" si="15"/>
        <v>134663866.32037863</v>
      </c>
      <c r="K81" s="321">
        <f t="shared" ca="1" si="15"/>
        <v>137144452.34571704</v>
      </c>
      <c r="L81" s="321">
        <f t="shared" ca="1" si="15"/>
        <v>139823684.88361743</v>
      </c>
      <c r="M81" s="321">
        <f t="shared" ca="1" si="15"/>
        <v>141342094.33386183</v>
      </c>
      <c r="N81" s="321">
        <f t="shared" ca="1" si="15"/>
        <v>143067914.90363961</v>
      </c>
      <c r="O81" s="322">
        <f t="shared" ca="1" si="15"/>
        <v>144664011.00824618</v>
      </c>
    </row>
    <row r="82" spans="1:15">
      <c r="A82" s="306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326"/>
    </row>
    <row r="83" spans="1:15">
      <c r="A83" s="305" t="str">
        <f>+A21</f>
        <v>GS&gt;50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326"/>
    </row>
    <row r="84" spans="1:15">
      <c r="A84" s="306" t="s">
        <v>47</v>
      </c>
      <c r="B84" s="321">
        <f t="shared" ref="B84" si="16">+E22</f>
        <v>525</v>
      </c>
      <c r="C84" s="321">
        <f t="shared" ref="C84" si="17">+F22</f>
        <v>523</v>
      </c>
      <c r="D84" s="321">
        <f t="shared" ref="D84:O86" si="18">+G22</f>
        <v>533.5</v>
      </c>
      <c r="E84" s="321">
        <f t="shared" si="18"/>
        <v>525</v>
      </c>
      <c r="F84" s="321">
        <f t="shared" si="18"/>
        <v>512.5</v>
      </c>
      <c r="G84" s="321">
        <f t="shared" si="18"/>
        <v>520.5</v>
      </c>
      <c r="H84" s="321">
        <f t="shared" si="18"/>
        <v>511.5</v>
      </c>
      <c r="I84" s="321">
        <f t="shared" si="18"/>
        <v>500</v>
      </c>
      <c r="J84" s="321">
        <f t="shared" si="18"/>
        <v>500</v>
      </c>
      <c r="K84" s="321">
        <f t="shared" si="18"/>
        <v>515</v>
      </c>
      <c r="L84" s="321">
        <f t="shared" si="18"/>
        <v>530.5</v>
      </c>
      <c r="M84" s="321">
        <f t="shared" si="18"/>
        <v>546.4</v>
      </c>
      <c r="N84" s="321">
        <f t="shared" si="18"/>
        <v>562.79999999999995</v>
      </c>
      <c r="O84" s="322">
        <f t="shared" si="18"/>
        <v>579.6</v>
      </c>
    </row>
    <row r="85" spans="1:15">
      <c r="A85" s="306" t="s">
        <v>48</v>
      </c>
      <c r="B85" s="321">
        <f>+'Chart II'!D55</f>
        <v>358858375</v>
      </c>
      <c r="C85" s="321">
        <f>+'Chart II'!D56</f>
        <v>359363080</v>
      </c>
      <c r="D85" s="321">
        <f t="shared" si="18"/>
        <v>352632150</v>
      </c>
      <c r="E85" s="321">
        <f t="shared" si="18"/>
        <v>349784301</v>
      </c>
      <c r="F85" s="321">
        <f t="shared" si="18"/>
        <v>355234224</v>
      </c>
      <c r="G85" s="321">
        <f t="shared" si="18"/>
        <v>359534375</v>
      </c>
      <c r="H85" s="321">
        <f t="shared" si="18"/>
        <v>338342507</v>
      </c>
      <c r="I85" s="321">
        <f t="shared" si="18"/>
        <v>337123668</v>
      </c>
      <c r="J85" s="321">
        <f t="shared" ca="1" si="18"/>
        <v>349725890.78391075</v>
      </c>
      <c r="K85" s="321">
        <f t="shared" ca="1" si="18"/>
        <v>365803341.05727828</v>
      </c>
      <c r="L85" s="321">
        <f t="shared" ca="1" si="18"/>
        <v>383057156.35481733</v>
      </c>
      <c r="M85" s="321">
        <f t="shared" ca="1" si="18"/>
        <v>397878345.8407315</v>
      </c>
      <c r="N85" s="321">
        <f t="shared" ca="1" si="18"/>
        <v>413841565.44544375</v>
      </c>
      <c r="O85" s="322">
        <f t="shared" ca="1" si="18"/>
        <v>430008488.2230823</v>
      </c>
    </row>
    <row r="86" spans="1:15">
      <c r="A86" s="306" t="s">
        <v>49</v>
      </c>
      <c r="B86" s="321">
        <f>+B85*0.2454</f>
        <v>88063845.225000009</v>
      </c>
      <c r="C86" s="321">
        <f>+C85*0.2454</f>
        <v>88187699.832000002</v>
      </c>
      <c r="D86" s="321">
        <f t="shared" si="18"/>
        <v>876464</v>
      </c>
      <c r="E86" s="321">
        <f t="shared" si="18"/>
        <v>861503</v>
      </c>
      <c r="F86" s="321">
        <f t="shared" si="18"/>
        <v>871715</v>
      </c>
      <c r="G86" s="321">
        <f t="shared" si="18"/>
        <v>867070</v>
      </c>
      <c r="H86" s="321">
        <f t="shared" si="18"/>
        <v>846459</v>
      </c>
      <c r="I86" s="321">
        <f t="shared" si="18"/>
        <v>844838</v>
      </c>
      <c r="J86" s="321">
        <f t="shared" ca="1" si="18"/>
        <v>885167.7583674388</v>
      </c>
      <c r="K86" s="321">
        <f t="shared" ca="1" si="18"/>
        <v>925860.31500612909</v>
      </c>
      <c r="L86" s="321">
        <f t="shared" ca="1" si="18"/>
        <v>969530.29030013748</v>
      </c>
      <c r="M86" s="321">
        <f t="shared" ca="1" si="18"/>
        <v>1007043.2094728614</v>
      </c>
      <c r="N86" s="321">
        <f t="shared" ca="1" si="18"/>
        <v>1047446.6445235453</v>
      </c>
      <c r="O86" s="322">
        <f t="shared" ca="1" si="18"/>
        <v>1088365.6590200269</v>
      </c>
    </row>
    <row r="87" spans="1:15">
      <c r="A87" s="306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326"/>
    </row>
    <row r="88" spans="1:15">
      <c r="A88" s="305" t="str">
        <f>+A26</f>
        <v>Large User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326"/>
    </row>
    <row r="89" spans="1:15">
      <c r="A89" s="306" t="s">
        <v>47</v>
      </c>
      <c r="B89" s="321">
        <f t="shared" ref="B89" si="19">+E27</f>
        <v>2</v>
      </c>
      <c r="C89" s="321">
        <f t="shared" ref="C89" si="20">+F27</f>
        <v>2</v>
      </c>
      <c r="D89" s="321">
        <f t="shared" ref="D89:O91" si="21">+G27</f>
        <v>2.5</v>
      </c>
      <c r="E89" s="321">
        <f t="shared" si="21"/>
        <v>2</v>
      </c>
      <c r="F89" s="321">
        <f t="shared" si="21"/>
        <v>1</v>
      </c>
      <c r="G89" s="321">
        <f t="shared" si="21"/>
        <v>1</v>
      </c>
      <c r="H89" s="321">
        <f t="shared" si="21"/>
        <v>1</v>
      </c>
      <c r="I89" s="321">
        <f t="shared" si="21"/>
        <v>1</v>
      </c>
      <c r="J89" s="321">
        <f t="shared" si="21"/>
        <v>1</v>
      </c>
      <c r="K89" s="321">
        <f t="shared" si="21"/>
        <v>1</v>
      </c>
      <c r="L89" s="321">
        <f t="shared" si="21"/>
        <v>1</v>
      </c>
      <c r="M89" s="321">
        <f t="shared" si="21"/>
        <v>1</v>
      </c>
      <c r="N89" s="321">
        <f t="shared" si="21"/>
        <v>1</v>
      </c>
      <c r="O89" s="322">
        <f t="shared" si="21"/>
        <v>1</v>
      </c>
    </row>
    <row r="90" spans="1:15">
      <c r="A90" s="306" t="s">
        <v>48</v>
      </c>
      <c r="B90" s="321">
        <f>+'Chart II'!E55</f>
        <v>60139982</v>
      </c>
      <c r="C90" s="321">
        <f>+'Chart II'!E56</f>
        <v>33402763</v>
      </c>
      <c r="D90" s="321">
        <f t="shared" si="21"/>
        <v>46461021</v>
      </c>
      <c r="E90" s="321">
        <f t="shared" si="21"/>
        <v>36580289</v>
      </c>
      <c r="F90" s="321">
        <f t="shared" si="21"/>
        <v>33402763</v>
      </c>
      <c r="G90" s="321">
        <f t="shared" si="21"/>
        <v>37740699</v>
      </c>
      <c r="H90" s="321">
        <f t="shared" si="21"/>
        <v>40812737</v>
      </c>
      <c r="I90" s="321">
        <f t="shared" si="21"/>
        <v>42326219</v>
      </c>
      <c r="J90" s="321">
        <f t="shared" ca="1" si="21"/>
        <v>43637356.33016827</v>
      </c>
      <c r="K90" s="321">
        <f t="shared" ca="1" si="21"/>
        <v>44988087.018268302</v>
      </c>
      <c r="L90" s="321">
        <f t="shared" ca="1" si="21"/>
        <v>46339336.301290356</v>
      </c>
      <c r="M90" s="321">
        <f t="shared" ca="1" si="21"/>
        <v>47612968.631939657</v>
      </c>
      <c r="N90" s="321">
        <f t="shared" ca="1" si="21"/>
        <v>48880609.419864491</v>
      </c>
      <c r="O90" s="322">
        <f t="shared" ca="1" si="21"/>
        <v>50156998.567244969</v>
      </c>
    </row>
    <row r="91" spans="1:15">
      <c r="A91" s="306" t="s">
        <v>49</v>
      </c>
      <c r="B91" s="321">
        <f>+B90*0.2454</f>
        <v>14758351.582800001</v>
      </c>
      <c r="C91" s="321">
        <f>+C90*0.2113</f>
        <v>7058003.8218999999</v>
      </c>
      <c r="D91" s="321">
        <f t="shared" si="21"/>
        <v>124131</v>
      </c>
      <c r="E91" s="321">
        <f t="shared" si="21"/>
        <v>89007</v>
      </c>
      <c r="F91" s="321">
        <f t="shared" si="21"/>
        <v>70585</v>
      </c>
      <c r="G91" s="321">
        <f t="shared" si="21"/>
        <v>83704</v>
      </c>
      <c r="H91" s="321">
        <f t="shared" si="21"/>
        <v>89554</v>
      </c>
      <c r="I91" s="321">
        <f t="shared" si="21"/>
        <v>93930</v>
      </c>
      <c r="J91" s="321">
        <f t="shared" ca="1" si="21"/>
        <v>99132.011955871945</v>
      </c>
      <c r="K91" s="321">
        <f t="shared" ca="1" si="21"/>
        <v>102200.49872919476</v>
      </c>
      <c r="L91" s="321">
        <f t="shared" ca="1" si="21"/>
        <v>105270.16360683765</v>
      </c>
      <c r="M91" s="321">
        <f t="shared" ca="1" si="21"/>
        <v>108163.5042224795</v>
      </c>
      <c r="N91" s="321">
        <f t="shared" ca="1" si="21"/>
        <v>111043.2337091496</v>
      </c>
      <c r="O91" s="322">
        <f t="shared" ca="1" si="21"/>
        <v>113942.83705040404</v>
      </c>
    </row>
    <row r="92" spans="1:15">
      <c r="A92" s="306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326"/>
    </row>
    <row r="93" spans="1:15">
      <c r="A93" s="305" t="str">
        <f>+A31</f>
        <v>I2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326"/>
    </row>
    <row r="94" spans="1:15">
      <c r="A94" s="307" t="s">
        <v>47</v>
      </c>
      <c r="B94" s="321">
        <f t="shared" ref="B94" si="22">+E32</f>
        <v>8.5</v>
      </c>
      <c r="C94" s="321">
        <f t="shared" ref="C94" si="23">+F32</f>
        <v>9</v>
      </c>
      <c r="D94" s="321">
        <f t="shared" ref="D94:O96" si="24">+G32</f>
        <v>9</v>
      </c>
      <c r="E94" s="321">
        <f t="shared" si="24"/>
        <v>9.5</v>
      </c>
      <c r="F94" s="321">
        <f t="shared" si="24"/>
        <v>10</v>
      </c>
      <c r="G94" s="321">
        <f t="shared" si="24"/>
        <v>10</v>
      </c>
      <c r="H94" s="321">
        <f t="shared" si="24"/>
        <v>10.5</v>
      </c>
      <c r="I94" s="321">
        <f t="shared" si="24"/>
        <v>11</v>
      </c>
      <c r="J94" s="321">
        <f t="shared" si="24"/>
        <v>11</v>
      </c>
      <c r="K94" s="321">
        <f t="shared" si="24"/>
        <v>11.3</v>
      </c>
      <c r="L94" s="321">
        <f t="shared" si="24"/>
        <v>11.7</v>
      </c>
      <c r="M94" s="321">
        <f t="shared" si="24"/>
        <v>12</v>
      </c>
      <c r="N94" s="321">
        <f t="shared" si="24"/>
        <v>12.4</v>
      </c>
      <c r="O94" s="322">
        <f t="shared" si="24"/>
        <v>12.8</v>
      </c>
    </row>
    <row r="95" spans="1:15">
      <c r="A95" s="306" t="s">
        <v>48</v>
      </c>
      <c r="B95" s="321">
        <f>+'Chart II'!F55</f>
        <v>80956601</v>
      </c>
      <c r="C95" s="321">
        <f>+'Chart II'!F56</f>
        <v>78175306</v>
      </c>
      <c r="D95" s="321">
        <f t="shared" si="24"/>
        <v>102433272</v>
      </c>
      <c r="E95" s="321">
        <f t="shared" si="24"/>
        <v>87237589</v>
      </c>
      <c r="F95" s="321">
        <f t="shared" si="24"/>
        <v>80783141</v>
      </c>
      <c r="G95" s="321">
        <f t="shared" si="24"/>
        <v>79908016</v>
      </c>
      <c r="H95" s="321">
        <f t="shared" si="24"/>
        <v>76828137</v>
      </c>
      <c r="I95" s="321">
        <f t="shared" si="24"/>
        <v>79176233</v>
      </c>
      <c r="J95" s="321">
        <f t="shared" ca="1" si="24"/>
        <v>72223026.947568864</v>
      </c>
      <c r="K95" s="321">
        <f t="shared" ca="1" si="24"/>
        <v>66360780.741462775</v>
      </c>
      <c r="L95" s="321">
        <f t="shared" ca="1" si="24"/>
        <v>61520302.229705706</v>
      </c>
      <c r="M95" s="321">
        <f t="shared" ca="1" si="24"/>
        <v>56063418.766717009</v>
      </c>
      <c r="N95" s="321">
        <f t="shared" ca="1" si="24"/>
        <v>51546101.142281838</v>
      </c>
      <c r="O95" s="322">
        <f t="shared" ca="1" si="24"/>
        <v>47307974.406240016</v>
      </c>
    </row>
    <row r="96" spans="1:15">
      <c r="A96" s="306" t="s">
        <v>49</v>
      </c>
      <c r="B96" s="321">
        <f>+B95*0.2454</f>
        <v>19866749.885400001</v>
      </c>
      <c r="C96" s="321">
        <f>+C95*0.2416</f>
        <v>18887153.9296</v>
      </c>
      <c r="D96" s="321">
        <f t="shared" si="24"/>
        <v>204487</v>
      </c>
      <c r="E96" s="321">
        <f t="shared" si="24"/>
        <v>190299</v>
      </c>
      <c r="F96" s="321">
        <f t="shared" si="24"/>
        <v>195141</v>
      </c>
      <c r="G96" s="321">
        <f t="shared" si="24"/>
        <v>192700</v>
      </c>
      <c r="H96" s="321">
        <f t="shared" si="24"/>
        <v>182189</v>
      </c>
      <c r="I96" s="321">
        <f t="shared" si="24"/>
        <v>186993</v>
      </c>
      <c r="J96" s="321">
        <f t="shared" ca="1" si="24"/>
        <v>159223.35128291009</v>
      </c>
      <c r="K96" s="321">
        <f t="shared" ca="1" si="24"/>
        <v>146299.40546630297</v>
      </c>
      <c r="L96" s="321">
        <f t="shared" ca="1" si="24"/>
        <v>135628.05530239493</v>
      </c>
      <c r="M96" s="321">
        <f t="shared" ca="1" si="24"/>
        <v>123597.77480517743</v>
      </c>
      <c r="N96" s="321">
        <f t="shared" ca="1" si="24"/>
        <v>113638.86721890194</v>
      </c>
      <c r="O96" s="322">
        <f t="shared" ca="1" si="24"/>
        <v>104295.4656668711</v>
      </c>
    </row>
    <row r="97" spans="1:17">
      <c r="A97" s="306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326"/>
    </row>
    <row r="98" spans="1:17">
      <c r="A98" s="305" t="str">
        <f>+A36</f>
        <v>Streetlights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326"/>
    </row>
    <row r="99" spans="1:17">
      <c r="A99" s="306" t="s">
        <v>63</v>
      </c>
      <c r="B99" s="321">
        <f t="shared" ref="B99" si="25">+E37</f>
        <v>10831</v>
      </c>
      <c r="C99" s="321">
        <f t="shared" ref="C99" si="26">+F37</f>
        <v>11280.5</v>
      </c>
      <c r="D99" s="321">
        <f t="shared" ref="D99:O101" si="27">+G37</f>
        <v>11621.5</v>
      </c>
      <c r="E99" s="321">
        <f t="shared" si="27"/>
        <v>11801</v>
      </c>
      <c r="F99" s="321">
        <f t="shared" si="27"/>
        <v>11995.5</v>
      </c>
      <c r="G99" s="321">
        <f t="shared" si="27"/>
        <v>12127.5</v>
      </c>
      <c r="H99" s="321">
        <f t="shared" si="27"/>
        <v>12213</v>
      </c>
      <c r="I99" s="321">
        <f t="shared" si="27"/>
        <v>12327.5</v>
      </c>
      <c r="J99" s="321">
        <f t="shared" si="27"/>
        <v>12580.764461270714</v>
      </c>
      <c r="K99" s="321">
        <f t="shared" si="27"/>
        <v>12958.232158180668</v>
      </c>
      <c r="L99" s="321">
        <f t="shared" si="27"/>
        <v>13346.909989506667</v>
      </c>
      <c r="M99" s="321">
        <f t="shared" si="27"/>
        <v>13747.307050225967</v>
      </c>
      <c r="N99" s="321">
        <f t="shared" si="27"/>
        <v>14159.734676636504</v>
      </c>
      <c r="O99" s="322">
        <f t="shared" si="27"/>
        <v>14584.506492404096</v>
      </c>
    </row>
    <row r="100" spans="1:17">
      <c r="A100" s="306" t="s">
        <v>48</v>
      </c>
      <c r="B100" s="321">
        <f>+'Chart II'!G55</f>
        <v>10072853</v>
      </c>
      <c r="C100" s="321">
        <f>+'Chart II'!G56</f>
        <v>11044796</v>
      </c>
      <c r="D100" s="321">
        <f t="shared" si="27"/>
        <v>9725840</v>
      </c>
      <c r="E100" s="321">
        <f t="shared" si="27"/>
        <v>10202758</v>
      </c>
      <c r="F100" s="321">
        <f t="shared" si="27"/>
        <v>10427904</v>
      </c>
      <c r="G100" s="321">
        <f t="shared" si="27"/>
        <v>10253017</v>
      </c>
      <c r="H100" s="321">
        <f t="shared" si="27"/>
        <v>10139708</v>
      </c>
      <c r="I100" s="321">
        <f t="shared" si="27"/>
        <v>9082284</v>
      </c>
      <c r="J100" s="321">
        <f t="shared" ca="1" si="27"/>
        <v>9157883.1611797065</v>
      </c>
      <c r="K100" s="321">
        <f t="shared" ca="1" si="27"/>
        <v>6898975.2993049342</v>
      </c>
      <c r="L100" s="321">
        <f t="shared" ca="1" si="27"/>
        <v>4602545.4750272129</v>
      </c>
      <c r="M100" s="321">
        <f t="shared" ca="1" si="27"/>
        <v>4729452.1624690769</v>
      </c>
      <c r="N100" s="321">
        <f t="shared" ca="1" si="27"/>
        <v>4858993.4106965186</v>
      </c>
      <c r="O100" s="322">
        <f t="shared" ca="1" si="27"/>
        <v>4991186.1968679242</v>
      </c>
    </row>
    <row r="101" spans="1:17">
      <c r="A101" s="306" t="s">
        <v>49</v>
      </c>
      <c r="B101" s="321">
        <f>+B100*0.2454</f>
        <v>2471878.1262000003</v>
      </c>
      <c r="C101" s="321">
        <f>+C100*0.265</f>
        <v>2926870.94</v>
      </c>
      <c r="D101" s="321">
        <f t="shared" si="27"/>
        <v>26489</v>
      </c>
      <c r="E101" s="321">
        <f t="shared" si="27"/>
        <v>27041</v>
      </c>
      <c r="F101" s="321">
        <f t="shared" si="27"/>
        <v>27634</v>
      </c>
      <c r="G101" s="321">
        <f t="shared" si="27"/>
        <v>27830</v>
      </c>
      <c r="H101" s="321">
        <f t="shared" si="27"/>
        <v>27720</v>
      </c>
      <c r="I101" s="321">
        <f t="shared" si="27"/>
        <v>25374</v>
      </c>
      <c r="J101" s="321">
        <f t="shared" ca="1" si="27"/>
        <v>24692.191175639095</v>
      </c>
      <c r="K101" s="321">
        <f t="shared" ca="1" si="27"/>
        <v>18601.549507485201</v>
      </c>
      <c r="L101" s="321">
        <f t="shared" ca="1" si="27"/>
        <v>12409.738229211556</v>
      </c>
      <c r="M101" s="321">
        <f t="shared" ca="1" si="27"/>
        <v>12751.913831654809</v>
      </c>
      <c r="N101" s="321">
        <f t="shared" ca="1" si="27"/>
        <v>13101.192940163424</v>
      </c>
      <c r="O101" s="322">
        <f t="shared" ca="1" si="27"/>
        <v>13457.621329861753</v>
      </c>
    </row>
    <row r="102" spans="1:17">
      <c r="A102" s="306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326"/>
    </row>
    <row r="103" spans="1:17">
      <c r="A103" s="305" t="str">
        <f>+A41</f>
        <v>Sentinels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326"/>
    </row>
    <row r="104" spans="1:17">
      <c r="A104" s="306" t="s">
        <v>63</v>
      </c>
      <c r="B104" s="321">
        <f t="shared" ref="B104" si="28">+E42</f>
        <v>28.5</v>
      </c>
      <c r="C104" s="321">
        <f t="shared" ref="C104" si="29">+F42</f>
        <v>26.5</v>
      </c>
      <c r="D104" s="321">
        <f t="shared" ref="D104:O106" si="30">+G42</f>
        <v>26</v>
      </c>
      <c r="E104" s="321">
        <f t="shared" si="30"/>
        <v>26</v>
      </c>
      <c r="F104" s="321">
        <f t="shared" si="30"/>
        <v>25</v>
      </c>
      <c r="G104" s="321">
        <f t="shared" si="30"/>
        <v>24</v>
      </c>
      <c r="H104" s="321">
        <f t="shared" si="30"/>
        <v>24</v>
      </c>
      <c r="I104" s="321">
        <f t="shared" si="30"/>
        <v>24</v>
      </c>
      <c r="J104" s="321">
        <f t="shared" si="30"/>
        <v>23.144641405622657</v>
      </c>
      <c r="K104" s="321">
        <f t="shared" si="30"/>
        <v>22.319767741452615</v>
      </c>
      <c r="L104" s="321">
        <f t="shared" si="30"/>
        <v>21.524292526362714</v>
      </c>
      <c r="M104" s="321">
        <f t="shared" si="30"/>
        <v>20.757168001349534</v>
      </c>
      <c r="N104" s="321">
        <f t="shared" si="30"/>
        <v>20.017383749479173</v>
      </c>
      <c r="O104" s="322">
        <f t="shared" si="30"/>
        <v>19.303965365018076</v>
      </c>
    </row>
    <row r="105" spans="1:17">
      <c r="A105" s="306" t="s">
        <v>48</v>
      </c>
      <c r="B105" s="321">
        <f>+'Chart II'!H55</f>
        <v>40813</v>
      </c>
      <c r="C105" s="321">
        <f>+'Chart II'!H56</f>
        <v>38567</v>
      </c>
      <c r="D105" s="321">
        <f t="shared" si="30"/>
        <v>39233</v>
      </c>
      <c r="E105" s="321">
        <f t="shared" si="30"/>
        <v>36792</v>
      </c>
      <c r="F105" s="321">
        <f t="shared" si="30"/>
        <v>35812</v>
      </c>
      <c r="G105" s="321">
        <f t="shared" si="30"/>
        <v>35812</v>
      </c>
      <c r="H105" s="321">
        <f t="shared" si="30"/>
        <v>35812</v>
      </c>
      <c r="I105" s="321">
        <f t="shared" si="30"/>
        <v>35812</v>
      </c>
      <c r="J105" s="321">
        <f t="shared" ca="1" si="30"/>
        <v>34755.727243069101</v>
      </c>
      <c r="K105" s="321">
        <f t="shared" ca="1" si="30"/>
        <v>33729.84317964848</v>
      </c>
      <c r="L105" s="321">
        <f t="shared" ca="1" si="30"/>
        <v>32705.097787475253</v>
      </c>
      <c r="M105" s="321">
        <f t="shared" ca="1" si="30"/>
        <v>31632.95402592525</v>
      </c>
      <c r="N105" s="321">
        <f t="shared" ca="1" si="30"/>
        <v>30570.317476652544</v>
      </c>
      <c r="O105" s="322">
        <f t="shared" ca="1" si="30"/>
        <v>29528.658987768886</v>
      </c>
    </row>
    <row r="106" spans="1:17">
      <c r="A106" s="306" t="s">
        <v>49</v>
      </c>
      <c r="B106" s="321">
        <f>+B105*0.2454</f>
        <v>10015.510200000001</v>
      </c>
      <c r="C106" s="321">
        <f>+C105*0.2778</f>
        <v>10713.9126</v>
      </c>
      <c r="D106" s="321">
        <f t="shared" si="30"/>
        <v>108.9805555555556</v>
      </c>
      <c r="E106" s="321">
        <f t="shared" si="30"/>
        <v>102.2</v>
      </c>
      <c r="F106" s="321">
        <f t="shared" si="30"/>
        <v>99.477777777777803</v>
      </c>
      <c r="G106" s="321">
        <f t="shared" si="30"/>
        <v>100</v>
      </c>
      <c r="H106" s="321">
        <f t="shared" si="30"/>
        <v>100</v>
      </c>
      <c r="I106" s="321">
        <f t="shared" si="30"/>
        <v>100</v>
      </c>
      <c r="J106" s="321">
        <f t="shared" ca="1" si="30"/>
        <v>101.90231251042215</v>
      </c>
      <c r="K106" s="321">
        <f t="shared" ca="1" si="30"/>
        <v>98.894464114702075</v>
      </c>
      <c r="L106" s="321">
        <f t="shared" ca="1" si="30"/>
        <v>95.88995425459909</v>
      </c>
      <c r="M106" s="321">
        <f t="shared" ca="1" si="30"/>
        <v>92.746474393525105</v>
      </c>
      <c r="N106" s="321">
        <f t="shared" ca="1" si="30"/>
        <v>89.630869274067337</v>
      </c>
      <c r="O106" s="322">
        <f t="shared" ca="1" si="30"/>
        <v>86.576770934504481</v>
      </c>
    </row>
    <row r="107" spans="1:17">
      <c r="A107" s="306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326"/>
    </row>
    <row r="108" spans="1:17">
      <c r="A108" s="305" t="str">
        <f>+A46</f>
        <v>USL</v>
      </c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326"/>
    </row>
    <row r="109" spans="1:17">
      <c r="A109" s="306" t="s">
        <v>63</v>
      </c>
      <c r="B109" s="321">
        <f t="shared" ref="B109" si="31">+E47</f>
        <v>298</v>
      </c>
      <c r="C109" s="321">
        <f t="shared" ref="C109" si="32">+F47</f>
        <v>301</v>
      </c>
      <c r="D109" s="321">
        <f t="shared" ref="D109:O110" si="33">+G47</f>
        <v>301</v>
      </c>
      <c r="E109" s="321">
        <f t="shared" si="33"/>
        <v>302.5</v>
      </c>
      <c r="F109" s="321">
        <f t="shared" si="33"/>
        <v>306.5</v>
      </c>
      <c r="G109" s="321">
        <f t="shared" si="33"/>
        <v>302.5</v>
      </c>
      <c r="H109" s="321">
        <f t="shared" si="33"/>
        <v>295.5</v>
      </c>
      <c r="I109" s="321">
        <f t="shared" si="33"/>
        <v>295</v>
      </c>
      <c r="J109" s="321">
        <f t="shared" si="33"/>
        <v>295.30169000587858</v>
      </c>
      <c r="K109" s="321">
        <f t="shared" si="33"/>
        <v>295.60368854348479</v>
      </c>
      <c r="L109" s="321">
        <f t="shared" si="33"/>
        <v>295.90599592834724</v>
      </c>
      <c r="M109" s="321">
        <f t="shared" si="33"/>
        <v>296.20861247631717</v>
      </c>
      <c r="N109" s="321">
        <f t="shared" si="33"/>
        <v>296.51153850356894</v>
      </c>
      <c r="O109" s="322">
        <f t="shared" si="33"/>
        <v>296.81477432660017</v>
      </c>
    </row>
    <row r="110" spans="1:17">
      <c r="A110" s="306" t="s">
        <v>48</v>
      </c>
      <c r="B110" s="321">
        <f>+'Chart II'!I55</f>
        <v>3841944</v>
      </c>
      <c r="C110" s="321">
        <f>+'Chart II'!I56</f>
        <v>3208501</v>
      </c>
      <c r="D110" s="321">
        <f t="shared" si="33"/>
        <v>3372873</v>
      </c>
      <c r="E110" s="321">
        <f t="shared" si="33"/>
        <v>2825455</v>
      </c>
      <c r="F110" s="321">
        <f t="shared" si="33"/>
        <v>2831501</v>
      </c>
      <c r="G110" s="321">
        <f t="shared" si="33"/>
        <v>2769028</v>
      </c>
      <c r="H110" s="321">
        <f t="shared" si="33"/>
        <v>2745701</v>
      </c>
      <c r="I110" s="321">
        <f t="shared" si="33"/>
        <v>2752416</v>
      </c>
      <c r="J110" s="321">
        <f t="shared" ca="1" si="33"/>
        <v>2720084.521746417</v>
      </c>
      <c r="K110" s="321">
        <f t="shared" ca="1" si="33"/>
        <v>2688071.7815343305</v>
      </c>
      <c r="L110" s="321">
        <f t="shared" ca="1" si="33"/>
        <v>2654070.8537207819</v>
      </c>
      <c r="M110" s="321">
        <f t="shared" ca="1" si="33"/>
        <v>2614010.5244777231</v>
      </c>
      <c r="N110" s="321">
        <f t="shared" ca="1" si="33"/>
        <v>2572397.3381351824</v>
      </c>
      <c r="O110" s="322">
        <f t="shared" ca="1" si="33"/>
        <v>2530185.414528877</v>
      </c>
    </row>
    <row r="111" spans="1:17">
      <c r="A111" s="306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326"/>
    </row>
    <row r="112" spans="1:17">
      <c r="A112" s="305" t="s">
        <v>64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326"/>
      <c r="Q112" s="415"/>
    </row>
    <row r="113" spans="1:17">
      <c r="A113" s="306" t="s">
        <v>51</v>
      </c>
      <c r="B113" s="321">
        <f>+B109+B104+B99+B94+B89+B84+B80+B76</f>
        <v>60872.5</v>
      </c>
      <c r="C113" s="321">
        <f>+C109+C104+C99+C94+C89+C84+C80+C76</f>
        <v>62211</v>
      </c>
      <c r="D113" s="321">
        <f t="shared" ref="D113:O113" si="34">+D109+D104+D99+D94+D89+D84+D80+D76</f>
        <v>63344.5</v>
      </c>
      <c r="E113" s="321">
        <f t="shared" si="34"/>
        <v>64128</v>
      </c>
      <c r="F113" s="321">
        <f t="shared" si="34"/>
        <v>64894</v>
      </c>
      <c r="G113" s="321">
        <f t="shared" si="34"/>
        <v>65524.5</v>
      </c>
      <c r="H113" s="321">
        <f t="shared" si="34"/>
        <v>65927</v>
      </c>
      <c r="I113" s="321">
        <f t="shared" si="34"/>
        <v>66571.5</v>
      </c>
      <c r="J113" s="321">
        <f t="shared" si="34"/>
        <v>67512.040898196501</v>
      </c>
      <c r="K113" s="321">
        <f t="shared" si="34"/>
        <v>69527.294577676308</v>
      </c>
      <c r="L113" s="321">
        <f t="shared" si="34"/>
        <v>71603.187982798816</v>
      </c>
      <c r="M113" s="321">
        <f t="shared" si="34"/>
        <v>73741.051916484168</v>
      </c>
      <c r="N113" s="321">
        <f t="shared" si="34"/>
        <v>75943.42110575884</v>
      </c>
      <c r="O113" s="322">
        <f t="shared" si="34"/>
        <v>78211.734268570406</v>
      </c>
      <c r="Q113" s="412"/>
    </row>
    <row r="114" spans="1:17">
      <c r="A114" s="306" t="s">
        <v>48</v>
      </c>
      <c r="B114" s="321">
        <f t="shared" ref="B114:C115" si="35">+B110+B105+B100+B95+B90+B85+B81+B77</f>
        <v>1141200155</v>
      </c>
      <c r="C114" s="321">
        <f t="shared" si="35"/>
        <v>1114000000</v>
      </c>
      <c r="D114" s="321">
        <f t="shared" ref="D114:O114" si="36">+D110+D105+D100+D95+D90+D85+D81+D77</f>
        <v>1117251257</v>
      </c>
      <c r="E114" s="321">
        <f t="shared" si="36"/>
        <v>1082664508</v>
      </c>
      <c r="F114" s="321">
        <f t="shared" si="36"/>
        <v>1090938483</v>
      </c>
      <c r="G114" s="321">
        <f t="shared" si="36"/>
        <v>1110518847</v>
      </c>
      <c r="H114" s="321">
        <f t="shared" si="36"/>
        <v>1073783871</v>
      </c>
      <c r="I114" s="321">
        <f t="shared" si="36"/>
        <v>1078161209</v>
      </c>
      <c r="J114" s="321">
        <f t="shared" ca="1" si="36"/>
        <v>1093217749.2148371</v>
      </c>
      <c r="K114" s="321">
        <f t="shared" ca="1" si="36"/>
        <v>1107580970.3832312</v>
      </c>
      <c r="L114" s="321">
        <f t="shared" ca="1" si="36"/>
        <v>1124788536.5709801</v>
      </c>
      <c r="M114" s="321">
        <f t="shared" ca="1" si="36"/>
        <v>1135912494.3050992</v>
      </c>
      <c r="N114" s="321">
        <f t="shared" ca="1" si="36"/>
        <v>1149884488.0376174</v>
      </c>
      <c r="O114" s="322">
        <f t="shared" ca="1" si="36"/>
        <v>1163639671.2474432</v>
      </c>
      <c r="Q114" s="414"/>
    </row>
    <row r="115" spans="1:17" ht="13.8" thickBot="1">
      <c r="A115" s="308" t="s">
        <v>50</v>
      </c>
      <c r="B115" s="327">
        <f t="shared" si="35"/>
        <v>125170840.32960001</v>
      </c>
      <c r="C115" s="327">
        <f t="shared" si="35"/>
        <v>117070442.43610001</v>
      </c>
      <c r="D115" s="327">
        <f t="shared" ref="D115:O115" si="37">+D111+D106+D101+D96+D91+D86+D82+D78</f>
        <v>1231679.9805555556</v>
      </c>
      <c r="E115" s="327">
        <f t="shared" si="37"/>
        <v>1167952.2</v>
      </c>
      <c r="F115" s="327">
        <f t="shared" si="37"/>
        <v>1165174.4777777777</v>
      </c>
      <c r="G115" s="327">
        <f t="shared" si="37"/>
        <v>1171404</v>
      </c>
      <c r="H115" s="327">
        <f t="shared" si="37"/>
        <v>1146022</v>
      </c>
      <c r="I115" s="327">
        <f t="shared" si="37"/>
        <v>1151235</v>
      </c>
      <c r="J115" s="327">
        <f t="shared" ca="1" si="37"/>
        <v>1168317.2150943703</v>
      </c>
      <c r="K115" s="327">
        <f t="shared" ca="1" si="37"/>
        <v>1193060.6631732266</v>
      </c>
      <c r="L115" s="327">
        <f t="shared" ca="1" si="37"/>
        <v>1222934.1373928362</v>
      </c>
      <c r="M115" s="327">
        <f t="shared" ca="1" si="37"/>
        <v>1251649.1488065666</v>
      </c>
      <c r="N115" s="327">
        <f t="shared" ca="1" si="37"/>
        <v>1285319.5692610343</v>
      </c>
      <c r="O115" s="328">
        <f t="shared" ca="1" si="37"/>
        <v>1320148.1598380983</v>
      </c>
      <c r="Q115" s="415"/>
    </row>
  </sheetData>
  <mergeCells count="4">
    <mergeCell ref="B3:L3"/>
    <mergeCell ref="M3:R3"/>
    <mergeCell ref="D66:I66"/>
    <mergeCell ref="K66:O6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206"/>
  <sheetViews>
    <sheetView workbookViewId="0"/>
  </sheetViews>
  <sheetFormatPr defaultRowHeight="13.2"/>
  <cols>
    <col min="1" max="1" width="11.88671875" customWidth="1"/>
    <col min="2" max="2" width="18" customWidth="1"/>
    <col min="3" max="3" width="11.6640625" customWidth="1"/>
    <col min="4" max="4" width="13.44140625" customWidth="1"/>
    <col min="5" max="5" width="13.88671875" customWidth="1"/>
    <col min="6" max="6" width="13.5546875" customWidth="1"/>
    <col min="7" max="7" width="12.44140625" customWidth="1"/>
    <col min="8" max="8" width="17.5546875" bestFit="1" customWidth="1"/>
    <col min="10" max="10" width="11.88671875" customWidth="1"/>
    <col min="11" max="11" width="18" customWidth="1"/>
    <col min="12" max="12" width="11.6640625" customWidth="1"/>
    <col min="13" max="13" width="13.44140625" customWidth="1"/>
    <col min="14" max="14" width="13.88671875" customWidth="1"/>
    <col min="15" max="15" width="13.5546875" customWidth="1"/>
    <col min="16" max="16" width="12.44140625" customWidth="1"/>
    <col min="17" max="17" width="17.5546875" bestFit="1" customWidth="1"/>
    <col min="19" max="19" width="11.88671875" customWidth="1"/>
    <col min="20" max="20" width="18" customWidth="1"/>
    <col min="21" max="21" width="11.6640625" customWidth="1"/>
    <col min="22" max="22" width="13.44140625" customWidth="1"/>
    <col min="23" max="23" width="13.88671875" customWidth="1"/>
    <col min="24" max="24" width="13.5546875" customWidth="1"/>
    <col min="25" max="25" width="12.44140625" customWidth="1"/>
    <col min="26" max="26" width="17.5546875" bestFit="1" customWidth="1"/>
  </cols>
  <sheetData>
    <row r="1" spans="1:26">
      <c r="A1" t="s">
        <v>272</v>
      </c>
      <c r="J1" t="s">
        <v>273</v>
      </c>
      <c r="S1" t="s">
        <v>274</v>
      </c>
    </row>
    <row r="2" spans="1:26" ht="34.799999999999997" thickBot="1">
      <c r="A2" s="346" t="s">
        <v>261</v>
      </c>
      <c r="B2" s="330" t="s">
        <v>0</v>
      </c>
      <c r="C2" s="330" t="s">
        <v>3</v>
      </c>
      <c r="D2" s="330" t="s">
        <v>4</v>
      </c>
      <c r="E2" s="330" t="s">
        <v>218</v>
      </c>
      <c r="F2" s="330" t="s">
        <v>5</v>
      </c>
      <c r="G2" s="330" t="s">
        <v>17</v>
      </c>
      <c r="H2" s="331" t="s">
        <v>10</v>
      </c>
      <c r="J2" s="346" t="s">
        <v>261</v>
      </c>
      <c r="K2" s="330" t="s">
        <v>0</v>
      </c>
      <c r="L2" s="330" t="s">
        <v>3</v>
      </c>
      <c r="M2" s="330" t="s">
        <v>4</v>
      </c>
      <c r="N2" s="330" t="s">
        <v>218</v>
      </c>
      <c r="O2" s="330" t="s">
        <v>5</v>
      </c>
      <c r="P2" s="330" t="s">
        <v>17</v>
      </c>
      <c r="Q2" s="331" t="s">
        <v>10</v>
      </c>
      <c r="S2" s="346" t="s">
        <v>261</v>
      </c>
      <c r="T2" s="330" t="s">
        <v>0</v>
      </c>
      <c r="U2" s="330" t="s">
        <v>3</v>
      </c>
      <c r="V2" s="330" t="s">
        <v>4</v>
      </c>
      <c r="W2" s="330" t="s">
        <v>218</v>
      </c>
      <c r="X2" s="330" t="s">
        <v>5</v>
      </c>
      <c r="Y2" s="330" t="s">
        <v>17</v>
      </c>
      <c r="Z2" s="331" t="s">
        <v>10</v>
      </c>
    </row>
    <row r="3" spans="1:26">
      <c r="A3" s="332">
        <f>+'Purchased Power Model '!A3</f>
        <v>37622</v>
      </c>
      <c r="B3" s="333">
        <f>+'Purchased Power Model '!B3</f>
        <v>126011890</v>
      </c>
      <c r="C3" s="334">
        <f>+'Purchased Power Model '!C3</f>
        <v>786</v>
      </c>
      <c r="D3" s="334">
        <f>+'Purchased Power Model '!D3</f>
        <v>0</v>
      </c>
      <c r="E3" s="335">
        <f>+'Purchased Power Model '!E3</f>
        <v>4.7E-2</v>
      </c>
      <c r="F3" s="336">
        <f>+'Purchased Power Model '!F3</f>
        <v>31</v>
      </c>
      <c r="G3" s="336">
        <f>+'Purchased Power Model '!G3</f>
        <v>0</v>
      </c>
      <c r="H3" s="337">
        <f>+'Purchased Power Model '!H3</f>
        <v>122651411.26094845</v>
      </c>
      <c r="J3" s="332">
        <f>+'10 Year Average'!A3</f>
        <v>37622</v>
      </c>
      <c r="K3" s="333">
        <f>+'10 Year Average'!B3</f>
        <v>126011890</v>
      </c>
      <c r="L3" s="334">
        <f>+'10 Year Average'!C3</f>
        <v>786</v>
      </c>
      <c r="M3" s="334">
        <f>+'10 Year Average'!D3</f>
        <v>0</v>
      </c>
      <c r="N3" s="335">
        <f>+'10 Year Average'!E3</f>
        <v>4.7E-2</v>
      </c>
      <c r="O3" s="336">
        <f>+'10 Year Average'!F3</f>
        <v>31</v>
      </c>
      <c r="P3" s="336">
        <f>+'10 Year Average'!G3</f>
        <v>0</v>
      </c>
      <c r="Q3" s="337">
        <f>+'10 Year Average'!H3</f>
        <v>122651411.26094845</v>
      </c>
      <c r="S3" s="332">
        <f>+'20 Year Trend'!A3</f>
        <v>37622</v>
      </c>
      <c r="T3" s="333">
        <f>+'20 Year Trend'!B3</f>
        <v>126011890</v>
      </c>
      <c r="U3" s="334">
        <f>+'20 Year Trend'!C3</f>
        <v>786</v>
      </c>
      <c r="V3" s="334">
        <f>+'20 Year Trend'!D3</f>
        <v>0</v>
      </c>
      <c r="W3" s="335">
        <f>+'20 Year Trend'!E3</f>
        <v>4.7E-2</v>
      </c>
      <c r="X3" s="336">
        <f>+'20 Year Trend'!F3</f>
        <v>31</v>
      </c>
      <c r="Y3" s="336">
        <f>+'20 Year Trend'!G3</f>
        <v>0</v>
      </c>
      <c r="Z3" s="337">
        <f>+'20 Year Trend'!H3</f>
        <v>122651411.26094845</v>
      </c>
    </row>
    <row r="4" spans="1:26">
      <c r="A4" s="332">
        <f>+'Purchased Power Model '!A4</f>
        <v>37653</v>
      </c>
      <c r="B4" s="333">
        <f>+'Purchased Power Model '!B4</f>
        <v>112581000</v>
      </c>
      <c r="C4" s="334">
        <f>+'Purchased Power Model '!C4</f>
        <v>686.5</v>
      </c>
      <c r="D4" s="334">
        <f>+'Purchased Power Model '!D4</f>
        <v>0</v>
      </c>
      <c r="E4" s="335">
        <f>+'Purchased Power Model '!E4</f>
        <v>4.7E-2</v>
      </c>
      <c r="F4" s="336">
        <f>+'Purchased Power Model '!F4</f>
        <v>28</v>
      </c>
      <c r="G4" s="336">
        <f>+'Purchased Power Model '!G4</f>
        <v>0</v>
      </c>
      <c r="H4" s="337">
        <f>+'Purchased Power Model '!H4</f>
        <v>110152574.36842072</v>
      </c>
      <c r="J4" s="332">
        <f>+'10 Year Average'!A4</f>
        <v>37653</v>
      </c>
      <c r="K4" s="333">
        <f>+'10 Year Average'!B4</f>
        <v>112581000</v>
      </c>
      <c r="L4" s="334">
        <f>+'10 Year Average'!C4</f>
        <v>686.5</v>
      </c>
      <c r="M4" s="334">
        <f>+'10 Year Average'!D4</f>
        <v>0</v>
      </c>
      <c r="N4" s="335">
        <f>+'10 Year Average'!E4</f>
        <v>4.7E-2</v>
      </c>
      <c r="O4" s="336">
        <f>+'10 Year Average'!F4</f>
        <v>28</v>
      </c>
      <c r="P4" s="336">
        <f>+'10 Year Average'!G4</f>
        <v>0</v>
      </c>
      <c r="Q4" s="337">
        <f>+'10 Year Average'!H4</f>
        <v>110152574.36842072</v>
      </c>
      <c r="S4" s="332">
        <f>+'20 Year Trend'!A4</f>
        <v>37653</v>
      </c>
      <c r="T4" s="333">
        <f>+'20 Year Trend'!B4</f>
        <v>112581000</v>
      </c>
      <c r="U4" s="334">
        <f>+'20 Year Trend'!C4</f>
        <v>686.5</v>
      </c>
      <c r="V4" s="334">
        <f>+'20 Year Trend'!D4</f>
        <v>0</v>
      </c>
      <c r="W4" s="335">
        <f>+'20 Year Trend'!E4</f>
        <v>4.7E-2</v>
      </c>
      <c r="X4" s="336">
        <f>+'20 Year Trend'!F4</f>
        <v>28</v>
      </c>
      <c r="Y4" s="336">
        <f>+'20 Year Trend'!G4</f>
        <v>0</v>
      </c>
      <c r="Z4" s="337">
        <f>+'20 Year Trend'!H4</f>
        <v>110152574.36842072</v>
      </c>
    </row>
    <row r="5" spans="1:26">
      <c r="A5" s="332">
        <f>+'Purchased Power Model '!A5</f>
        <v>37681</v>
      </c>
      <c r="B5" s="333">
        <f>+'Purchased Power Model '!B5</f>
        <v>110536430</v>
      </c>
      <c r="C5" s="334">
        <f>+'Purchased Power Model '!C5</f>
        <v>572.5</v>
      </c>
      <c r="D5" s="334">
        <f>+'Purchased Power Model '!D5</f>
        <v>0</v>
      </c>
      <c r="E5" s="335">
        <f>+'Purchased Power Model '!E5</f>
        <v>4.7E-2</v>
      </c>
      <c r="F5" s="336">
        <f>+'Purchased Power Model '!F5</f>
        <v>31</v>
      </c>
      <c r="G5" s="336">
        <f>+'Purchased Power Model '!G5</f>
        <v>1</v>
      </c>
      <c r="H5" s="337">
        <f>+'Purchased Power Model '!H5</f>
        <v>106849865.20202516</v>
      </c>
      <c r="J5" s="332">
        <f>+'10 Year Average'!A5</f>
        <v>37681</v>
      </c>
      <c r="K5" s="333">
        <f>+'10 Year Average'!B5</f>
        <v>110536430</v>
      </c>
      <c r="L5" s="334">
        <f>+'10 Year Average'!C5</f>
        <v>572.5</v>
      </c>
      <c r="M5" s="334">
        <f>+'10 Year Average'!D5</f>
        <v>0</v>
      </c>
      <c r="N5" s="335">
        <f>+'10 Year Average'!E5</f>
        <v>4.7E-2</v>
      </c>
      <c r="O5" s="336">
        <f>+'10 Year Average'!F5</f>
        <v>31</v>
      </c>
      <c r="P5" s="336">
        <f>+'10 Year Average'!G5</f>
        <v>1</v>
      </c>
      <c r="Q5" s="337">
        <f>+'10 Year Average'!H5</f>
        <v>106849865.20202516</v>
      </c>
      <c r="S5" s="332">
        <f>+'20 Year Trend'!A5</f>
        <v>37681</v>
      </c>
      <c r="T5" s="333">
        <f>+'20 Year Trend'!B5</f>
        <v>110536430</v>
      </c>
      <c r="U5" s="334">
        <f>+'20 Year Trend'!C5</f>
        <v>572.5</v>
      </c>
      <c r="V5" s="334">
        <f>+'20 Year Trend'!D5</f>
        <v>0</v>
      </c>
      <c r="W5" s="335">
        <f>+'20 Year Trend'!E5</f>
        <v>4.7E-2</v>
      </c>
      <c r="X5" s="336">
        <f>+'20 Year Trend'!F5</f>
        <v>31</v>
      </c>
      <c r="Y5" s="336">
        <f>+'20 Year Trend'!G5</f>
        <v>1</v>
      </c>
      <c r="Z5" s="337">
        <f>+'20 Year Trend'!H5</f>
        <v>106849865.20202516</v>
      </c>
    </row>
    <row r="6" spans="1:26">
      <c r="A6" s="332">
        <f>+'Purchased Power Model '!A6</f>
        <v>37712</v>
      </c>
      <c r="B6" s="333">
        <f>+'Purchased Power Model '!B6</f>
        <v>97712940</v>
      </c>
      <c r="C6" s="334">
        <f>+'Purchased Power Model '!C6</f>
        <v>403.9</v>
      </c>
      <c r="D6" s="334">
        <f>+'Purchased Power Model '!D6</f>
        <v>0</v>
      </c>
      <c r="E6" s="335">
        <f>+'Purchased Power Model '!E6</f>
        <v>5.5999999999999994E-2</v>
      </c>
      <c r="F6" s="336">
        <f>+'Purchased Power Model '!F6</f>
        <v>30</v>
      </c>
      <c r="G6" s="336">
        <f>+'Purchased Power Model '!G6</f>
        <v>1</v>
      </c>
      <c r="H6" s="337">
        <f>+'Purchased Power Model '!H6</f>
        <v>96085294.514500573</v>
      </c>
      <c r="J6" s="332">
        <f>+'10 Year Average'!A6</f>
        <v>37712</v>
      </c>
      <c r="K6" s="333">
        <f>+'10 Year Average'!B6</f>
        <v>97712940</v>
      </c>
      <c r="L6" s="334">
        <f>+'10 Year Average'!C6</f>
        <v>403.9</v>
      </c>
      <c r="M6" s="334">
        <f>+'10 Year Average'!D6</f>
        <v>0</v>
      </c>
      <c r="N6" s="335">
        <f>+'10 Year Average'!E6</f>
        <v>5.5999999999999994E-2</v>
      </c>
      <c r="O6" s="336">
        <f>+'10 Year Average'!F6</f>
        <v>30</v>
      </c>
      <c r="P6" s="336">
        <f>+'10 Year Average'!G6</f>
        <v>1</v>
      </c>
      <c r="Q6" s="337">
        <f>+'10 Year Average'!H6</f>
        <v>96085294.514500573</v>
      </c>
      <c r="S6" s="332">
        <f>+'20 Year Trend'!A6</f>
        <v>37712</v>
      </c>
      <c r="T6" s="333">
        <f>+'20 Year Trend'!B6</f>
        <v>97712940</v>
      </c>
      <c r="U6" s="334">
        <f>+'20 Year Trend'!C6</f>
        <v>403.9</v>
      </c>
      <c r="V6" s="334">
        <f>+'20 Year Trend'!D6</f>
        <v>0</v>
      </c>
      <c r="W6" s="335">
        <f>+'20 Year Trend'!E6</f>
        <v>5.5999999999999994E-2</v>
      </c>
      <c r="X6" s="336">
        <f>+'20 Year Trend'!F6</f>
        <v>30</v>
      </c>
      <c r="Y6" s="336">
        <f>+'20 Year Trend'!G6</f>
        <v>1</v>
      </c>
      <c r="Z6" s="337">
        <f>+'20 Year Trend'!H6</f>
        <v>96085294.514500573</v>
      </c>
    </row>
    <row r="7" spans="1:26">
      <c r="A7" s="332">
        <f>+'Purchased Power Model '!A7</f>
        <v>37742</v>
      </c>
      <c r="B7" s="333">
        <f>+'Purchased Power Model '!B7</f>
        <v>90261150</v>
      </c>
      <c r="C7" s="334">
        <f>+'Purchased Power Model '!C7</f>
        <v>192</v>
      </c>
      <c r="D7" s="334">
        <f>+'Purchased Power Model '!D7</f>
        <v>0</v>
      </c>
      <c r="E7" s="335">
        <f>+'Purchased Power Model '!E7</f>
        <v>5.5999999999999994E-2</v>
      </c>
      <c r="F7" s="336">
        <f>+'Purchased Power Model '!F7</f>
        <v>31</v>
      </c>
      <c r="G7" s="336">
        <f>+'Purchased Power Model '!G7</f>
        <v>1</v>
      </c>
      <c r="H7" s="337">
        <f>+'Purchased Power Model '!H7</f>
        <v>90411362.537167072</v>
      </c>
      <c r="J7" s="332">
        <f>+'10 Year Average'!A7</f>
        <v>37742</v>
      </c>
      <c r="K7" s="333">
        <f>+'10 Year Average'!B7</f>
        <v>90261150</v>
      </c>
      <c r="L7" s="334">
        <f>+'10 Year Average'!C7</f>
        <v>192</v>
      </c>
      <c r="M7" s="334">
        <f>+'10 Year Average'!D7</f>
        <v>0</v>
      </c>
      <c r="N7" s="335">
        <f>+'10 Year Average'!E7</f>
        <v>5.5999999999999994E-2</v>
      </c>
      <c r="O7" s="336">
        <f>+'10 Year Average'!F7</f>
        <v>31</v>
      </c>
      <c r="P7" s="336">
        <f>+'10 Year Average'!G7</f>
        <v>1</v>
      </c>
      <c r="Q7" s="337">
        <f>+'10 Year Average'!H7</f>
        <v>90411362.537167072</v>
      </c>
      <c r="S7" s="332">
        <f>+'20 Year Trend'!A7</f>
        <v>37742</v>
      </c>
      <c r="T7" s="333">
        <f>+'20 Year Trend'!B7</f>
        <v>90261150</v>
      </c>
      <c r="U7" s="334">
        <f>+'20 Year Trend'!C7</f>
        <v>192</v>
      </c>
      <c r="V7" s="334">
        <f>+'20 Year Trend'!D7</f>
        <v>0</v>
      </c>
      <c r="W7" s="335">
        <f>+'20 Year Trend'!E7</f>
        <v>5.5999999999999994E-2</v>
      </c>
      <c r="X7" s="336">
        <f>+'20 Year Trend'!F7</f>
        <v>31</v>
      </c>
      <c r="Y7" s="336">
        <f>+'20 Year Trend'!G7</f>
        <v>1</v>
      </c>
      <c r="Z7" s="337">
        <f>+'20 Year Trend'!H7</f>
        <v>90411362.537167072</v>
      </c>
    </row>
    <row r="8" spans="1:26">
      <c r="A8" s="332">
        <f>+'Purchased Power Model '!A8</f>
        <v>37773</v>
      </c>
      <c r="B8" s="333">
        <f>+'Purchased Power Model '!B8</f>
        <v>92476040</v>
      </c>
      <c r="C8" s="334">
        <f>+'Purchased Power Model '!C8</f>
        <v>55.1</v>
      </c>
      <c r="D8" s="334">
        <f>+'Purchased Power Model '!D8</f>
        <v>31</v>
      </c>
      <c r="E8" s="335">
        <f>+'Purchased Power Model '!E8</f>
        <v>5.5999999999999994E-2</v>
      </c>
      <c r="F8" s="336">
        <f>+'Purchased Power Model '!F8</f>
        <v>30</v>
      </c>
      <c r="G8" s="336">
        <f>+'Purchased Power Model '!G8</f>
        <v>0</v>
      </c>
      <c r="H8" s="337">
        <f>+'Purchased Power Model '!H8</f>
        <v>93662316.51634191</v>
      </c>
      <c r="J8" s="332">
        <f>+'10 Year Average'!A8</f>
        <v>37773</v>
      </c>
      <c r="K8" s="333">
        <f>+'10 Year Average'!B8</f>
        <v>92476040</v>
      </c>
      <c r="L8" s="334">
        <f>+'10 Year Average'!C8</f>
        <v>55.1</v>
      </c>
      <c r="M8" s="334">
        <f>+'10 Year Average'!D8</f>
        <v>31</v>
      </c>
      <c r="N8" s="335">
        <f>+'10 Year Average'!E8</f>
        <v>5.5999999999999994E-2</v>
      </c>
      <c r="O8" s="336">
        <f>+'10 Year Average'!F8</f>
        <v>30</v>
      </c>
      <c r="P8" s="336">
        <f>+'10 Year Average'!G8</f>
        <v>0</v>
      </c>
      <c r="Q8" s="337">
        <f>+'10 Year Average'!H8</f>
        <v>93662316.51634191</v>
      </c>
      <c r="S8" s="332">
        <f>+'20 Year Trend'!A8</f>
        <v>37773</v>
      </c>
      <c r="T8" s="333">
        <f>+'20 Year Trend'!B8</f>
        <v>92476040</v>
      </c>
      <c r="U8" s="334">
        <f>+'20 Year Trend'!C8</f>
        <v>55.1</v>
      </c>
      <c r="V8" s="334">
        <f>+'20 Year Trend'!D8</f>
        <v>31</v>
      </c>
      <c r="W8" s="335">
        <f>+'20 Year Trend'!E8</f>
        <v>5.5999999999999994E-2</v>
      </c>
      <c r="X8" s="336">
        <f>+'20 Year Trend'!F8</f>
        <v>30</v>
      </c>
      <c r="Y8" s="336">
        <f>+'20 Year Trend'!G8</f>
        <v>0</v>
      </c>
      <c r="Z8" s="337">
        <f>+'20 Year Trend'!H8</f>
        <v>93662316.51634191</v>
      </c>
    </row>
    <row r="9" spans="1:26">
      <c r="A9" s="332">
        <f>+'Purchased Power Model '!A9</f>
        <v>37803</v>
      </c>
      <c r="B9" s="333">
        <f>+'Purchased Power Model '!B9</f>
        <v>100371630</v>
      </c>
      <c r="C9" s="334">
        <f>+'Purchased Power Model '!C9</f>
        <v>5.7</v>
      </c>
      <c r="D9" s="334">
        <f>+'Purchased Power Model '!D9</f>
        <v>59.1</v>
      </c>
      <c r="E9" s="335">
        <f>+'Purchased Power Model '!E9</f>
        <v>5.2000000000000005E-2</v>
      </c>
      <c r="F9" s="336">
        <f>+'Purchased Power Model '!F9</f>
        <v>31</v>
      </c>
      <c r="G9" s="336">
        <f>+'Purchased Power Model '!G9</f>
        <v>0</v>
      </c>
      <c r="H9" s="337">
        <f>+'Purchased Power Model '!H9</f>
        <v>98975274.728541389</v>
      </c>
      <c r="J9" s="332">
        <f>+'10 Year Average'!A9</f>
        <v>37803</v>
      </c>
      <c r="K9" s="333">
        <f>+'10 Year Average'!B9</f>
        <v>100371630</v>
      </c>
      <c r="L9" s="334">
        <f>+'10 Year Average'!C9</f>
        <v>5.7</v>
      </c>
      <c r="M9" s="334">
        <f>+'10 Year Average'!D9</f>
        <v>59.1</v>
      </c>
      <c r="N9" s="335">
        <f>+'10 Year Average'!E9</f>
        <v>5.2000000000000005E-2</v>
      </c>
      <c r="O9" s="336">
        <f>+'10 Year Average'!F9</f>
        <v>31</v>
      </c>
      <c r="P9" s="336">
        <f>+'10 Year Average'!G9</f>
        <v>0</v>
      </c>
      <c r="Q9" s="337">
        <f>+'10 Year Average'!H9</f>
        <v>98975274.728541389</v>
      </c>
      <c r="S9" s="332">
        <f>+'20 Year Trend'!A9</f>
        <v>37803</v>
      </c>
      <c r="T9" s="333">
        <f>+'20 Year Trend'!B9</f>
        <v>100371630</v>
      </c>
      <c r="U9" s="334">
        <f>+'20 Year Trend'!C9</f>
        <v>5.7</v>
      </c>
      <c r="V9" s="334">
        <f>+'20 Year Trend'!D9</f>
        <v>59.1</v>
      </c>
      <c r="W9" s="335">
        <f>+'20 Year Trend'!E9</f>
        <v>5.2000000000000005E-2</v>
      </c>
      <c r="X9" s="336">
        <f>+'20 Year Trend'!F9</f>
        <v>31</v>
      </c>
      <c r="Y9" s="336">
        <f>+'20 Year Trend'!G9</f>
        <v>0</v>
      </c>
      <c r="Z9" s="337">
        <f>+'20 Year Trend'!H9</f>
        <v>98975274.728541389</v>
      </c>
    </row>
    <row r="10" spans="1:26">
      <c r="A10" s="332">
        <f>+'Purchased Power Model '!A10</f>
        <v>37834</v>
      </c>
      <c r="B10" s="333">
        <f>+'Purchased Power Model '!B10</f>
        <v>101507680</v>
      </c>
      <c r="C10" s="334">
        <f>+'Purchased Power Model '!C10</f>
        <v>10.4</v>
      </c>
      <c r="D10" s="334">
        <f>+'Purchased Power Model '!D10</f>
        <v>106.5</v>
      </c>
      <c r="E10" s="335">
        <f>+'Purchased Power Model '!E10</f>
        <v>5.2000000000000005E-2</v>
      </c>
      <c r="F10" s="336">
        <f>+'Purchased Power Model '!F10</f>
        <v>31</v>
      </c>
      <c r="G10" s="336">
        <f>+'Purchased Power Model '!G10</f>
        <v>0</v>
      </c>
      <c r="H10" s="337">
        <f>+'Purchased Power Model '!H10</f>
        <v>105820820.86804268</v>
      </c>
      <c r="J10" s="332">
        <f>+'10 Year Average'!A10</f>
        <v>37834</v>
      </c>
      <c r="K10" s="333">
        <f>+'10 Year Average'!B10</f>
        <v>101507680</v>
      </c>
      <c r="L10" s="334">
        <f>+'10 Year Average'!C10</f>
        <v>10.4</v>
      </c>
      <c r="M10" s="334">
        <f>+'10 Year Average'!D10</f>
        <v>106.5</v>
      </c>
      <c r="N10" s="335">
        <f>+'10 Year Average'!E10</f>
        <v>5.2000000000000005E-2</v>
      </c>
      <c r="O10" s="336">
        <f>+'10 Year Average'!F10</f>
        <v>31</v>
      </c>
      <c r="P10" s="336">
        <f>+'10 Year Average'!G10</f>
        <v>0</v>
      </c>
      <c r="Q10" s="337">
        <f>+'10 Year Average'!H10</f>
        <v>105820820.86804268</v>
      </c>
      <c r="S10" s="332">
        <f>+'20 Year Trend'!A10</f>
        <v>37834</v>
      </c>
      <c r="T10" s="333">
        <f>+'20 Year Trend'!B10</f>
        <v>101507680</v>
      </c>
      <c r="U10" s="334">
        <f>+'20 Year Trend'!C10</f>
        <v>10.4</v>
      </c>
      <c r="V10" s="334">
        <f>+'20 Year Trend'!D10</f>
        <v>106.5</v>
      </c>
      <c r="W10" s="335">
        <f>+'20 Year Trend'!E10</f>
        <v>5.2000000000000005E-2</v>
      </c>
      <c r="X10" s="336">
        <f>+'20 Year Trend'!F10</f>
        <v>31</v>
      </c>
      <c r="Y10" s="336">
        <f>+'20 Year Trend'!G10</f>
        <v>0</v>
      </c>
      <c r="Z10" s="337">
        <f>+'20 Year Trend'!H10</f>
        <v>105820820.86804268</v>
      </c>
    </row>
    <row r="11" spans="1:26">
      <c r="A11" s="332">
        <f>+'Purchased Power Model '!A11</f>
        <v>37865</v>
      </c>
      <c r="B11" s="333">
        <f>+'Purchased Power Model '!B11</f>
        <v>91341000</v>
      </c>
      <c r="C11" s="334">
        <f>+'Purchased Power Model '!C11</f>
        <v>55.2</v>
      </c>
      <c r="D11" s="334">
        <f>+'Purchased Power Model '!D11</f>
        <v>12.1</v>
      </c>
      <c r="E11" s="335">
        <f>+'Purchased Power Model '!E11</f>
        <v>5.2000000000000005E-2</v>
      </c>
      <c r="F11" s="336">
        <f>+'Purchased Power Model '!F11</f>
        <v>30</v>
      </c>
      <c r="G11" s="336">
        <f>+'Purchased Power Model '!G11</f>
        <v>1</v>
      </c>
      <c r="H11" s="337">
        <f>+'Purchased Power Model '!H11</f>
        <v>84298838.82912071</v>
      </c>
      <c r="J11" s="332">
        <f>+'10 Year Average'!A11</f>
        <v>37865</v>
      </c>
      <c r="K11" s="333">
        <f>+'10 Year Average'!B11</f>
        <v>91341000</v>
      </c>
      <c r="L11" s="334">
        <f>+'10 Year Average'!C11</f>
        <v>55.2</v>
      </c>
      <c r="M11" s="334">
        <f>+'10 Year Average'!D11</f>
        <v>12.1</v>
      </c>
      <c r="N11" s="335">
        <f>+'10 Year Average'!E11</f>
        <v>5.2000000000000005E-2</v>
      </c>
      <c r="O11" s="336">
        <f>+'10 Year Average'!F11</f>
        <v>30</v>
      </c>
      <c r="P11" s="336">
        <f>+'10 Year Average'!G11</f>
        <v>1</v>
      </c>
      <c r="Q11" s="337">
        <f>+'10 Year Average'!H11</f>
        <v>84298838.82912071</v>
      </c>
      <c r="S11" s="332">
        <f>+'20 Year Trend'!A11</f>
        <v>37865</v>
      </c>
      <c r="T11" s="333">
        <f>+'20 Year Trend'!B11</f>
        <v>91341000</v>
      </c>
      <c r="U11" s="334">
        <f>+'20 Year Trend'!C11</f>
        <v>55.2</v>
      </c>
      <c r="V11" s="334">
        <f>+'20 Year Trend'!D11</f>
        <v>12.1</v>
      </c>
      <c r="W11" s="335">
        <f>+'20 Year Trend'!E11</f>
        <v>5.2000000000000005E-2</v>
      </c>
      <c r="X11" s="336">
        <f>+'20 Year Trend'!F11</f>
        <v>30</v>
      </c>
      <c r="Y11" s="336">
        <f>+'20 Year Trend'!G11</f>
        <v>1</v>
      </c>
      <c r="Z11" s="337">
        <f>+'20 Year Trend'!H11</f>
        <v>84298838.82912071</v>
      </c>
    </row>
    <row r="12" spans="1:26">
      <c r="A12" s="332">
        <f>+'Purchased Power Model '!A12</f>
        <v>37895</v>
      </c>
      <c r="B12" s="333">
        <f>+'Purchased Power Model '!B12</f>
        <v>95672250</v>
      </c>
      <c r="C12" s="334">
        <f>+'Purchased Power Model '!C12</f>
        <v>289.7</v>
      </c>
      <c r="D12" s="334">
        <f>+'Purchased Power Model '!D12</f>
        <v>0</v>
      </c>
      <c r="E12" s="335">
        <f>+'Purchased Power Model '!E12</f>
        <v>4.7E-2</v>
      </c>
      <c r="F12" s="336">
        <f>+'Purchased Power Model '!F12</f>
        <v>31</v>
      </c>
      <c r="G12" s="336">
        <f>+'Purchased Power Model '!G12</f>
        <v>1</v>
      </c>
      <c r="H12" s="337">
        <f>+'Purchased Power Model '!H12</f>
        <v>95494540.17104502</v>
      </c>
      <c r="J12" s="332">
        <f>+'10 Year Average'!A12</f>
        <v>37895</v>
      </c>
      <c r="K12" s="333">
        <f>+'10 Year Average'!B12</f>
        <v>95672250</v>
      </c>
      <c r="L12" s="334">
        <f>+'10 Year Average'!C12</f>
        <v>289.7</v>
      </c>
      <c r="M12" s="334">
        <f>+'10 Year Average'!D12</f>
        <v>0</v>
      </c>
      <c r="N12" s="335">
        <f>+'10 Year Average'!E12</f>
        <v>4.7E-2</v>
      </c>
      <c r="O12" s="336">
        <f>+'10 Year Average'!F12</f>
        <v>31</v>
      </c>
      <c r="P12" s="336">
        <f>+'10 Year Average'!G12</f>
        <v>1</v>
      </c>
      <c r="Q12" s="337">
        <f>+'10 Year Average'!H12</f>
        <v>95494540.17104502</v>
      </c>
      <c r="S12" s="332">
        <f>+'20 Year Trend'!A12</f>
        <v>37895</v>
      </c>
      <c r="T12" s="333">
        <f>+'20 Year Trend'!B12</f>
        <v>95672250</v>
      </c>
      <c r="U12" s="334">
        <f>+'20 Year Trend'!C12</f>
        <v>289.7</v>
      </c>
      <c r="V12" s="334">
        <f>+'20 Year Trend'!D12</f>
        <v>0</v>
      </c>
      <c r="W12" s="335">
        <f>+'20 Year Trend'!E12</f>
        <v>4.7E-2</v>
      </c>
      <c r="X12" s="336">
        <f>+'20 Year Trend'!F12</f>
        <v>31</v>
      </c>
      <c r="Y12" s="336">
        <f>+'20 Year Trend'!G12</f>
        <v>1</v>
      </c>
      <c r="Z12" s="337">
        <f>+'20 Year Trend'!H12</f>
        <v>95494540.17104502</v>
      </c>
    </row>
    <row r="13" spans="1:26">
      <c r="A13" s="332">
        <f>+'Purchased Power Model '!A13</f>
        <v>37926</v>
      </c>
      <c r="B13" s="333">
        <f>+'Purchased Power Model '!B13</f>
        <v>101404920</v>
      </c>
      <c r="C13" s="334">
        <f>+'Purchased Power Model '!C13</f>
        <v>387.6</v>
      </c>
      <c r="D13" s="334">
        <f>+'Purchased Power Model '!D13</f>
        <v>0</v>
      </c>
      <c r="E13" s="335">
        <f>+'Purchased Power Model '!E13</f>
        <v>4.7E-2</v>
      </c>
      <c r="F13" s="336">
        <f>+'Purchased Power Model '!F13</f>
        <v>30</v>
      </c>
      <c r="G13" s="336">
        <f>+'Purchased Power Model '!G13</f>
        <v>1</v>
      </c>
      <c r="H13" s="337">
        <f>+'Purchased Power Model '!H13</f>
        <v>96591007.319765612</v>
      </c>
      <c r="J13" s="332">
        <f>+'10 Year Average'!A13</f>
        <v>37926</v>
      </c>
      <c r="K13" s="333">
        <f>+'10 Year Average'!B13</f>
        <v>101404920</v>
      </c>
      <c r="L13" s="334">
        <f>+'10 Year Average'!C13</f>
        <v>387.6</v>
      </c>
      <c r="M13" s="334">
        <f>+'10 Year Average'!D13</f>
        <v>0</v>
      </c>
      <c r="N13" s="335">
        <f>+'10 Year Average'!E13</f>
        <v>4.7E-2</v>
      </c>
      <c r="O13" s="336">
        <f>+'10 Year Average'!F13</f>
        <v>30</v>
      </c>
      <c r="P13" s="336">
        <f>+'10 Year Average'!G13</f>
        <v>1</v>
      </c>
      <c r="Q13" s="337">
        <f>+'10 Year Average'!H13</f>
        <v>96591007.319765612</v>
      </c>
      <c r="S13" s="332">
        <f>+'20 Year Trend'!A13</f>
        <v>37926</v>
      </c>
      <c r="T13" s="333">
        <f>+'20 Year Trend'!B13</f>
        <v>101404920</v>
      </c>
      <c r="U13" s="334">
        <f>+'20 Year Trend'!C13</f>
        <v>387.6</v>
      </c>
      <c r="V13" s="334">
        <f>+'20 Year Trend'!D13</f>
        <v>0</v>
      </c>
      <c r="W13" s="335">
        <f>+'20 Year Trend'!E13</f>
        <v>4.7E-2</v>
      </c>
      <c r="X13" s="336">
        <f>+'20 Year Trend'!F13</f>
        <v>30</v>
      </c>
      <c r="Y13" s="336">
        <f>+'20 Year Trend'!G13</f>
        <v>1</v>
      </c>
      <c r="Z13" s="337">
        <f>+'20 Year Trend'!H13</f>
        <v>96591007.319765612</v>
      </c>
    </row>
    <row r="14" spans="1:26">
      <c r="A14" s="332">
        <f>+'Purchased Power Model '!A14</f>
        <v>37956</v>
      </c>
      <c r="B14" s="333">
        <f>+'Purchased Power Model '!B14</f>
        <v>112847240</v>
      </c>
      <c r="C14" s="334">
        <f>+'Purchased Power Model '!C14</f>
        <v>548.20000000000005</v>
      </c>
      <c r="D14" s="334">
        <f>+'Purchased Power Model '!D14</f>
        <v>0</v>
      </c>
      <c r="E14" s="335">
        <f>+'Purchased Power Model '!E14</f>
        <v>4.7E-2</v>
      </c>
      <c r="F14" s="336">
        <f>+'Purchased Power Model '!F14</f>
        <v>31</v>
      </c>
      <c r="G14" s="336">
        <f>+'Purchased Power Model '!G14</f>
        <v>0</v>
      </c>
      <c r="H14" s="337">
        <f>+'Purchased Power Model '!H14</f>
        <v>113102980.24126291</v>
      </c>
      <c r="J14" s="332">
        <f>+'10 Year Average'!A14</f>
        <v>37956</v>
      </c>
      <c r="K14" s="333">
        <f>+'10 Year Average'!B14</f>
        <v>112847240</v>
      </c>
      <c r="L14" s="334">
        <f>+'10 Year Average'!C14</f>
        <v>548.20000000000005</v>
      </c>
      <c r="M14" s="334">
        <f>+'10 Year Average'!D14</f>
        <v>0</v>
      </c>
      <c r="N14" s="335">
        <f>+'10 Year Average'!E14</f>
        <v>4.7E-2</v>
      </c>
      <c r="O14" s="336">
        <f>+'10 Year Average'!F14</f>
        <v>31</v>
      </c>
      <c r="P14" s="336">
        <f>+'10 Year Average'!G14</f>
        <v>0</v>
      </c>
      <c r="Q14" s="337">
        <f>+'10 Year Average'!H14</f>
        <v>113102980.24126291</v>
      </c>
      <c r="S14" s="332">
        <f>+'20 Year Trend'!A14</f>
        <v>37956</v>
      </c>
      <c r="T14" s="333">
        <f>+'20 Year Trend'!B14</f>
        <v>112847240</v>
      </c>
      <c r="U14" s="334">
        <f>+'20 Year Trend'!C14</f>
        <v>548.20000000000005</v>
      </c>
      <c r="V14" s="334">
        <f>+'20 Year Trend'!D14</f>
        <v>0</v>
      </c>
      <c r="W14" s="335">
        <f>+'20 Year Trend'!E14</f>
        <v>4.7E-2</v>
      </c>
      <c r="X14" s="336">
        <f>+'20 Year Trend'!F14</f>
        <v>31</v>
      </c>
      <c r="Y14" s="336">
        <f>+'20 Year Trend'!G14</f>
        <v>0</v>
      </c>
      <c r="Z14" s="337">
        <f>+'20 Year Trend'!H14</f>
        <v>113102980.24126291</v>
      </c>
    </row>
    <row r="15" spans="1:26">
      <c r="A15" s="332">
        <f>+'Purchased Power Model '!A15</f>
        <v>37987</v>
      </c>
      <c r="B15" s="333">
        <f>+'Purchased Power Model '!B15</f>
        <v>127196340</v>
      </c>
      <c r="C15" s="334">
        <f>+'Purchased Power Model '!C15</f>
        <v>828.8</v>
      </c>
      <c r="D15" s="334">
        <f>+'Purchased Power Model '!D15</f>
        <v>0</v>
      </c>
      <c r="E15" s="335">
        <f>+'Purchased Power Model '!E15</f>
        <v>0.05</v>
      </c>
      <c r="F15" s="336">
        <f>+'Purchased Power Model '!F15</f>
        <v>31</v>
      </c>
      <c r="G15" s="336">
        <f>+'Purchased Power Model '!G15</f>
        <v>0</v>
      </c>
      <c r="H15" s="337">
        <f>+'Purchased Power Model '!H15</f>
        <v>123983231.57523879</v>
      </c>
      <c r="J15" s="332">
        <f>+'10 Year Average'!A15</f>
        <v>37987</v>
      </c>
      <c r="K15" s="333">
        <f>+'10 Year Average'!B15</f>
        <v>127196340</v>
      </c>
      <c r="L15" s="334">
        <f>+'10 Year Average'!C15</f>
        <v>828.8</v>
      </c>
      <c r="M15" s="334">
        <f>+'10 Year Average'!D15</f>
        <v>0</v>
      </c>
      <c r="N15" s="335">
        <f>+'10 Year Average'!E15</f>
        <v>0.05</v>
      </c>
      <c r="O15" s="336">
        <f>+'10 Year Average'!F15</f>
        <v>31</v>
      </c>
      <c r="P15" s="336">
        <f>+'10 Year Average'!G15</f>
        <v>0</v>
      </c>
      <c r="Q15" s="337">
        <f>+'10 Year Average'!H15</f>
        <v>123983231.57523879</v>
      </c>
      <c r="S15" s="332">
        <f>+'20 Year Trend'!A15</f>
        <v>37987</v>
      </c>
      <c r="T15" s="333">
        <f>+'20 Year Trend'!B15</f>
        <v>127196340</v>
      </c>
      <c r="U15" s="334">
        <f>+'20 Year Trend'!C15</f>
        <v>828.8</v>
      </c>
      <c r="V15" s="334">
        <f>+'20 Year Trend'!D15</f>
        <v>0</v>
      </c>
      <c r="W15" s="335">
        <f>+'20 Year Trend'!E15</f>
        <v>0.05</v>
      </c>
      <c r="X15" s="336">
        <f>+'20 Year Trend'!F15</f>
        <v>31</v>
      </c>
      <c r="Y15" s="336">
        <f>+'20 Year Trend'!G15</f>
        <v>0</v>
      </c>
      <c r="Z15" s="337">
        <f>+'20 Year Trend'!H15</f>
        <v>123983231.57523879</v>
      </c>
    </row>
    <row r="16" spans="1:26">
      <c r="A16" s="332">
        <f>+'Purchased Power Model '!A16</f>
        <v>38018</v>
      </c>
      <c r="B16" s="333">
        <f>+'Purchased Power Model '!B16</f>
        <v>108928270</v>
      </c>
      <c r="C16" s="334">
        <f>+'Purchased Power Model '!C16</f>
        <v>615.6</v>
      </c>
      <c r="D16" s="334">
        <f>+'Purchased Power Model '!D16</f>
        <v>0</v>
      </c>
      <c r="E16" s="335">
        <f>+'Purchased Power Model '!E16</f>
        <v>0.05</v>
      </c>
      <c r="F16" s="336">
        <f>+'Purchased Power Model '!F16</f>
        <v>29</v>
      </c>
      <c r="G16" s="336">
        <f>+'Purchased Power Model '!G16</f>
        <v>0</v>
      </c>
      <c r="H16" s="337">
        <f>+'Purchased Power Model '!H16</f>
        <v>109753506.97002482</v>
      </c>
      <c r="J16" s="332">
        <f>+'10 Year Average'!A16</f>
        <v>38018</v>
      </c>
      <c r="K16" s="333">
        <f>+'10 Year Average'!B16</f>
        <v>108928270</v>
      </c>
      <c r="L16" s="334">
        <f>+'10 Year Average'!C16</f>
        <v>615.6</v>
      </c>
      <c r="M16" s="334">
        <f>+'10 Year Average'!D16</f>
        <v>0</v>
      </c>
      <c r="N16" s="335">
        <f>+'10 Year Average'!E16</f>
        <v>0.05</v>
      </c>
      <c r="O16" s="336">
        <f>+'10 Year Average'!F16</f>
        <v>29</v>
      </c>
      <c r="P16" s="336">
        <f>+'10 Year Average'!G16</f>
        <v>0</v>
      </c>
      <c r="Q16" s="337">
        <f>+'10 Year Average'!H16</f>
        <v>109753506.97002482</v>
      </c>
      <c r="S16" s="332">
        <f>+'20 Year Trend'!A16</f>
        <v>38018</v>
      </c>
      <c r="T16" s="333">
        <f>+'20 Year Trend'!B16</f>
        <v>108928270</v>
      </c>
      <c r="U16" s="334">
        <f>+'20 Year Trend'!C16</f>
        <v>615.6</v>
      </c>
      <c r="V16" s="334">
        <f>+'20 Year Trend'!D16</f>
        <v>0</v>
      </c>
      <c r="W16" s="335">
        <f>+'20 Year Trend'!E16</f>
        <v>0.05</v>
      </c>
      <c r="X16" s="336">
        <f>+'20 Year Trend'!F16</f>
        <v>29</v>
      </c>
      <c r="Y16" s="336">
        <f>+'20 Year Trend'!G16</f>
        <v>0</v>
      </c>
      <c r="Z16" s="337">
        <f>+'20 Year Trend'!H16</f>
        <v>109753506.97002482</v>
      </c>
    </row>
    <row r="17" spans="1:26">
      <c r="A17" s="332">
        <f>+'Purchased Power Model '!A17</f>
        <v>38047</v>
      </c>
      <c r="B17" s="333">
        <f>+'Purchased Power Model '!B17</f>
        <v>105064150</v>
      </c>
      <c r="C17" s="334">
        <f>+'Purchased Power Model '!C17</f>
        <v>487.1</v>
      </c>
      <c r="D17" s="334">
        <f>+'Purchased Power Model '!D17</f>
        <v>0</v>
      </c>
      <c r="E17" s="335">
        <f>+'Purchased Power Model '!E17</f>
        <v>0.05</v>
      </c>
      <c r="F17" s="336">
        <f>+'Purchased Power Model '!F17</f>
        <v>31</v>
      </c>
      <c r="G17" s="336">
        <f>+'Purchased Power Model '!G17</f>
        <v>1</v>
      </c>
      <c r="H17" s="337">
        <f>+'Purchased Power Model '!H17</f>
        <v>103034045.24413849</v>
      </c>
      <c r="J17" s="332">
        <f>+'10 Year Average'!A17</f>
        <v>38047</v>
      </c>
      <c r="K17" s="333">
        <f>+'10 Year Average'!B17</f>
        <v>105064150</v>
      </c>
      <c r="L17" s="334">
        <f>+'10 Year Average'!C17</f>
        <v>487.1</v>
      </c>
      <c r="M17" s="334">
        <f>+'10 Year Average'!D17</f>
        <v>0</v>
      </c>
      <c r="N17" s="335">
        <f>+'10 Year Average'!E17</f>
        <v>0.05</v>
      </c>
      <c r="O17" s="336">
        <f>+'10 Year Average'!F17</f>
        <v>31</v>
      </c>
      <c r="P17" s="336">
        <f>+'10 Year Average'!G17</f>
        <v>1</v>
      </c>
      <c r="Q17" s="337">
        <f>+'10 Year Average'!H17</f>
        <v>103034045.24413849</v>
      </c>
      <c r="S17" s="332">
        <f>+'20 Year Trend'!A17</f>
        <v>38047</v>
      </c>
      <c r="T17" s="333">
        <f>+'20 Year Trend'!B17</f>
        <v>105064150</v>
      </c>
      <c r="U17" s="334">
        <f>+'20 Year Trend'!C17</f>
        <v>487.1</v>
      </c>
      <c r="V17" s="334">
        <f>+'20 Year Trend'!D17</f>
        <v>0</v>
      </c>
      <c r="W17" s="335">
        <f>+'20 Year Trend'!E17</f>
        <v>0.05</v>
      </c>
      <c r="X17" s="336">
        <f>+'20 Year Trend'!F17</f>
        <v>31</v>
      </c>
      <c r="Y17" s="336">
        <f>+'20 Year Trend'!G17</f>
        <v>1</v>
      </c>
      <c r="Z17" s="337">
        <f>+'20 Year Trend'!H17</f>
        <v>103034045.24413849</v>
      </c>
    </row>
    <row r="18" spans="1:26">
      <c r="A18" s="332">
        <f>+'Purchased Power Model '!A18</f>
        <v>38078</v>
      </c>
      <c r="B18" s="333">
        <f>+'Purchased Power Model '!B18</f>
        <v>91322380</v>
      </c>
      <c r="C18" s="334">
        <f>+'Purchased Power Model '!C18</f>
        <v>345</v>
      </c>
      <c r="D18" s="334">
        <f>+'Purchased Power Model '!D18</f>
        <v>0</v>
      </c>
      <c r="E18" s="335">
        <f>+'Purchased Power Model '!E18</f>
        <v>5.4000000000000006E-2</v>
      </c>
      <c r="F18" s="336">
        <f>+'Purchased Power Model '!F18</f>
        <v>30</v>
      </c>
      <c r="G18" s="336">
        <f>+'Purchased Power Model '!G18</f>
        <v>1</v>
      </c>
      <c r="H18" s="337">
        <f>+'Purchased Power Model '!H18</f>
        <v>93978095.457351938</v>
      </c>
      <c r="J18" s="332">
        <f>+'10 Year Average'!A18</f>
        <v>38078</v>
      </c>
      <c r="K18" s="333">
        <f>+'10 Year Average'!B18</f>
        <v>91322380</v>
      </c>
      <c r="L18" s="334">
        <f>+'10 Year Average'!C18</f>
        <v>345</v>
      </c>
      <c r="M18" s="334">
        <f>+'10 Year Average'!D18</f>
        <v>0</v>
      </c>
      <c r="N18" s="335">
        <f>+'10 Year Average'!E18</f>
        <v>5.4000000000000006E-2</v>
      </c>
      <c r="O18" s="336">
        <f>+'10 Year Average'!F18</f>
        <v>30</v>
      </c>
      <c r="P18" s="336">
        <f>+'10 Year Average'!G18</f>
        <v>1</v>
      </c>
      <c r="Q18" s="337">
        <f>+'10 Year Average'!H18</f>
        <v>93978095.457351938</v>
      </c>
      <c r="S18" s="332">
        <f>+'20 Year Trend'!A18</f>
        <v>38078</v>
      </c>
      <c r="T18" s="333">
        <f>+'20 Year Trend'!B18</f>
        <v>91322380</v>
      </c>
      <c r="U18" s="334">
        <f>+'20 Year Trend'!C18</f>
        <v>345</v>
      </c>
      <c r="V18" s="334">
        <f>+'20 Year Trend'!D18</f>
        <v>0</v>
      </c>
      <c r="W18" s="335">
        <f>+'20 Year Trend'!E18</f>
        <v>5.4000000000000006E-2</v>
      </c>
      <c r="X18" s="336">
        <f>+'20 Year Trend'!F18</f>
        <v>30</v>
      </c>
      <c r="Y18" s="336">
        <f>+'20 Year Trend'!G18</f>
        <v>1</v>
      </c>
      <c r="Z18" s="337">
        <f>+'20 Year Trend'!H18</f>
        <v>93978095.457351938</v>
      </c>
    </row>
    <row r="19" spans="1:26">
      <c r="A19" s="332">
        <f>+'Purchased Power Model '!A19</f>
        <v>38108</v>
      </c>
      <c r="B19" s="333">
        <f>+'Purchased Power Model '!B19</f>
        <v>86885250</v>
      </c>
      <c r="C19" s="334">
        <f>+'Purchased Power Model '!C19</f>
        <v>177.5</v>
      </c>
      <c r="D19" s="334">
        <f>+'Purchased Power Model '!D19</f>
        <v>0</v>
      </c>
      <c r="E19" s="335">
        <f>+'Purchased Power Model '!E19</f>
        <v>5.4000000000000006E-2</v>
      </c>
      <c r="F19" s="336">
        <f>+'Purchased Power Model '!F19</f>
        <v>31</v>
      </c>
      <c r="G19" s="336">
        <f>+'Purchased Power Model '!G19</f>
        <v>1</v>
      </c>
      <c r="H19" s="337">
        <f>+'Purchased Power Model '!H19</f>
        <v>90086965.571162418</v>
      </c>
      <c r="J19" s="332">
        <f>+'10 Year Average'!A19</f>
        <v>38108</v>
      </c>
      <c r="K19" s="333">
        <f>+'10 Year Average'!B19</f>
        <v>86885250</v>
      </c>
      <c r="L19" s="334">
        <f>+'10 Year Average'!C19</f>
        <v>177.5</v>
      </c>
      <c r="M19" s="334">
        <f>+'10 Year Average'!D19</f>
        <v>0</v>
      </c>
      <c r="N19" s="335">
        <f>+'10 Year Average'!E19</f>
        <v>5.4000000000000006E-2</v>
      </c>
      <c r="O19" s="336">
        <f>+'10 Year Average'!F19</f>
        <v>31</v>
      </c>
      <c r="P19" s="336">
        <f>+'10 Year Average'!G19</f>
        <v>1</v>
      </c>
      <c r="Q19" s="337">
        <f>+'10 Year Average'!H19</f>
        <v>90086965.571162418</v>
      </c>
      <c r="S19" s="332">
        <f>+'20 Year Trend'!A19</f>
        <v>38108</v>
      </c>
      <c r="T19" s="333">
        <f>+'20 Year Trend'!B19</f>
        <v>86885250</v>
      </c>
      <c r="U19" s="334">
        <f>+'20 Year Trend'!C19</f>
        <v>177.5</v>
      </c>
      <c r="V19" s="334">
        <f>+'20 Year Trend'!D19</f>
        <v>0</v>
      </c>
      <c r="W19" s="335">
        <f>+'20 Year Trend'!E19</f>
        <v>5.4000000000000006E-2</v>
      </c>
      <c r="X19" s="336">
        <f>+'20 Year Trend'!F19</f>
        <v>31</v>
      </c>
      <c r="Y19" s="336">
        <f>+'20 Year Trend'!G19</f>
        <v>1</v>
      </c>
      <c r="Z19" s="337">
        <f>+'20 Year Trend'!H19</f>
        <v>90086965.571162418</v>
      </c>
    </row>
    <row r="20" spans="1:26">
      <c r="A20" s="332">
        <f>+'Purchased Power Model '!A20</f>
        <v>38139</v>
      </c>
      <c r="B20" s="333">
        <f>+'Purchased Power Model '!B20</f>
        <v>86876500</v>
      </c>
      <c r="C20" s="334">
        <f>+'Purchased Power Model '!C20</f>
        <v>73.2</v>
      </c>
      <c r="D20" s="334">
        <f>+'Purchased Power Model '!D20</f>
        <v>15.6</v>
      </c>
      <c r="E20" s="335">
        <f>+'Purchased Power Model '!E20</f>
        <v>5.4000000000000006E-2</v>
      </c>
      <c r="F20" s="336">
        <f>+'Purchased Power Model '!F20</f>
        <v>30</v>
      </c>
      <c r="G20" s="336">
        <f>+'Purchased Power Model '!G20</f>
        <v>0</v>
      </c>
      <c r="H20" s="337">
        <f>+'Purchased Power Model '!H20</f>
        <v>92484147.59341082</v>
      </c>
      <c r="J20" s="332">
        <f>+'10 Year Average'!A20</f>
        <v>38139</v>
      </c>
      <c r="K20" s="333">
        <f>+'10 Year Average'!B20</f>
        <v>86876500</v>
      </c>
      <c r="L20" s="334">
        <f>+'10 Year Average'!C20</f>
        <v>73.2</v>
      </c>
      <c r="M20" s="334">
        <f>+'10 Year Average'!D20</f>
        <v>15.6</v>
      </c>
      <c r="N20" s="335">
        <f>+'10 Year Average'!E20</f>
        <v>5.4000000000000006E-2</v>
      </c>
      <c r="O20" s="336">
        <f>+'10 Year Average'!F20</f>
        <v>30</v>
      </c>
      <c r="P20" s="336">
        <f>+'10 Year Average'!G20</f>
        <v>0</v>
      </c>
      <c r="Q20" s="337">
        <f>+'10 Year Average'!H20</f>
        <v>92484147.59341082</v>
      </c>
      <c r="S20" s="332">
        <f>+'20 Year Trend'!A20</f>
        <v>38139</v>
      </c>
      <c r="T20" s="333">
        <f>+'20 Year Trend'!B20</f>
        <v>86876500</v>
      </c>
      <c r="U20" s="334">
        <f>+'20 Year Trend'!C20</f>
        <v>73.2</v>
      </c>
      <c r="V20" s="334">
        <f>+'20 Year Trend'!D20</f>
        <v>15.6</v>
      </c>
      <c r="W20" s="335">
        <f>+'20 Year Trend'!E20</f>
        <v>5.4000000000000006E-2</v>
      </c>
      <c r="X20" s="336">
        <f>+'20 Year Trend'!F20</f>
        <v>30</v>
      </c>
      <c r="Y20" s="336">
        <f>+'20 Year Trend'!G20</f>
        <v>0</v>
      </c>
      <c r="Z20" s="337">
        <f>+'20 Year Trend'!H20</f>
        <v>92484147.59341082</v>
      </c>
    </row>
    <row r="21" spans="1:26">
      <c r="A21" s="332">
        <f>+'Purchased Power Model '!A21</f>
        <v>38169</v>
      </c>
      <c r="B21" s="333">
        <f>+'Purchased Power Model '!B21</f>
        <v>92903530</v>
      </c>
      <c r="C21" s="334">
        <f>+'Purchased Power Model '!C21</f>
        <v>2</v>
      </c>
      <c r="D21" s="334">
        <f>+'Purchased Power Model '!D21</f>
        <v>69.3</v>
      </c>
      <c r="E21" s="335">
        <f>+'Purchased Power Model '!E21</f>
        <v>5.5E-2</v>
      </c>
      <c r="F21" s="336">
        <f>+'Purchased Power Model '!F21</f>
        <v>31</v>
      </c>
      <c r="G21" s="336">
        <f>+'Purchased Power Model '!G21</f>
        <v>0</v>
      </c>
      <c r="H21" s="337">
        <f>+'Purchased Power Model '!H21</f>
        <v>99872452.796622276</v>
      </c>
      <c r="J21" s="332">
        <f>+'10 Year Average'!A21</f>
        <v>38169</v>
      </c>
      <c r="K21" s="333">
        <f>+'10 Year Average'!B21</f>
        <v>92903530</v>
      </c>
      <c r="L21" s="334">
        <f>+'10 Year Average'!C21</f>
        <v>2</v>
      </c>
      <c r="M21" s="334">
        <f>+'10 Year Average'!D21</f>
        <v>69.3</v>
      </c>
      <c r="N21" s="335">
        <f>+'10 Year Average'!E21</f>
        <v>5.5E-2</v>
      </c>
      <c r="O21" s="336">
        <f>+'10 Year Average'!F21</f>
        <v>31</v>
      </c>
      <c r="P21" s="336">
        <f>+'10 Year Average'!G21</f>
        <v>0</v>
      </c>
      <c r="Q21" s="337">
        <f>+'10 Year Average'!H21</f>
        <v>99872452.796622276</v>
      </c>
      <c r="S21" s="332">
        <f>+'20 Year Trend'!A21</f>
        <v>38169</v>
      </c>
      <c r="T21" s="333">
        <f>+'20 Year Trend'!B21</f>
        <v>92903530</v>
      </c>
      <c r="U21" s="334">
        <f>+'20 Year Trend'!C21</f>
        <v>2</v>
      </c>
      <c r="V21" s="334">
        <f>+'20 Year Trend'!D21</f>
        <v>69.3</v>
      </c>
      <c r="W21" s="335">
        <f>+'20 Year Trend'!E21</f>
        <v>5.5E-2</v>
      </c>
      <c r="X21" s="336">
        <f>+'20 Year Trend'!F21</f>
        <v>31</v>
      </c>
      <c r="Y21" s="336">
        <f>+'20 Year Trend'!G21</f>
        <v>0</v>
      </c>
      <c r="Z21" s="337">
        <f>+'20 Year Trend'!H21</f>
        <v>99872452.796622276</v>
      </c>
    </row>
    <row r="22" spans="1:26">
      <c r="A22" s="332">
        <f>+'Purchased Power Model '!A22</f>
        <v>38200</v>
      </c>
      <c r="B22" s="333">
        <f>+'Purchased Power Model '!B22</f>
        <v>94121760</v>
      </c>
      <c r="C22" s="334">
        <f>+'Purchased Power Model '!C22</f>
        <v>19.600000000000001</v>
      </c>
      <c r="D22" s="334">
        <f>+'Purchased Power Model '!D22</f>
        <v>53.6</v>
      </c>
      <c r="E22" s="335">
        <f>+'Purchased Power Model '!E22</f>
        <v>5.5E-2</v>
      </c>
      <c r="F22" s="336">
        <f>+'Purchased Power Model '!F22</f>
        <v>31</v>
      </c>
      <c r="G22" s="336">
        <f>+'Purchased Power Model '!G22</f>
        <v>0</v>
      </c>
      <c r="H22" s="337">
        <f>+'Purchased Power Model '!H22</f>
        <v>98374251.025182113</v>
      </c>
      <c r="J22" s="332">
        <f>+'10 Year Average'!A22</f>
        <v>38200</v>
      </c>
      <c r="K22" s="333">
        <f>+'10 Year Average'!B22</f>
        <v>94121760</v>
      </c>
      <c r="L22" s="334">
        <f>+'10 Year Average'!C22</f>
        <v>19.600000000000001</v>
      </c>
      <c r="M22" s="334">
        <f>+'10 Year Average'!D22</f>
        <v>53.6</v>
      </c>
      <c r="N22" s="335">
        <f>+'10 Year Average'!E22</f>
        <v>5.5E-2</v>
      </c>
      <c r="O22" s="336">
        <f>+'10 Year Average'!F22</f>
        <v>31</v>
      </c>
      <c r="P22" s="336">
        <f>+'10 Year Average'!G22</f>
        <v>0</v>
      </c>
      <c r="Q22" s="337">
        <f>+'10 Year Average'!H22</f>
        <v>98374251.025182113</v>
      </c>
      <c r="S22" s="332">
        <f>+'20 Year Trend'!A22</f>
        <v>38200</v>
      </c>
      <c r="T22" s="333">
        <f>+'20 Year Trend'!B22</f>
        <v>94121760</v>
      </c>
      <c r="U22" s="334">
        <f>+'20 Year Trend'!C22</f>
        <v>19.600000000000001</v>
      </c>
      <c r="V22" s="334">
        <f>+'20 Year Trend'!D22</f>
        <v>53.6</v>
      </c>
      <c r="W22" s="335">
        <f>+'20 Year Trend'!E22</f>
        <v>5.5E-2</v>
      </c>
      <c r="X22" s="336">
        <f>+'20 Year Trend'!F22</f>
        <v>31</v>
      </c>
      <c r="Y22" s="336">
        <f>+'20 Year Trend'!G22</f>
        <v>0</v>
      </c>
      <c r="Z22" s="337">
        <f>+'20 Year Trend'!H22</f>
        <v>98374251.025182113</v>
      </c>
    </row>
    <row r="23" spans="1:26">
      <c r="A23" s="332">
        <f>+'Purchased Power Model '!A23</f>
        <v>38231</v>
      </c>
      <c r="B23" s="333">
        <f>+'Purchased Power Model '!B23</f>
        <v>88536700</v>
      </c>
      <c r="C23" s="334">
        <f>+'Purchased Power Model '!C23</f>
        <v>41.7</v>
      </c>
      <c r="D23" s="334">
        <f>+'Purchased Power Model '!D23</f>
        <v>26.7</v>
      </c>
      <c r="E23" s="335">
        <f>+'Purchased Power Model '!E23</f>
        <v>5.5E-2</v>
      </c>
      <c r="F23" s="336">
        <f>+'Purchased Power Model '!F23</f>
        <v>30</v>
      </c>
      <c r="G23" s="336">
        <f>+'Purchased Power Model '!G23</f>
        <v>1</v>
      </c>
      <c r="H23" s="337">
        <f>+'Purchased Power Model '!H23</f>
        <v>85420448.759058684</v>
      </c>
      <c r="J23" s="332">
        <f>+'10 Year Average'!A23</f>
        <v>38231</v>
      </c>
      <c r="K23" s="333">
        <f>+'10 Year Average'!B23</f>
        <v>88536700</v>
      </c>
      <c r="L23" s="334">
        <f>+'10 Year Average'!C23</f>
        <v>41.7</v>
      </c>
      <c r="M23" s="334">
        <f>+'10 Year Average'!D23</f>
        <v>26.7</v>
      </c>
      <c r="N23" s="335">
        <f>+'10 Year Average'!E23</f>
        <v>5.5E-2</v>
      </c>
      <c r="O23" s="336">
        <f>+'10 Year Average'!F23</f>
        <v>30</v>
      </c>
      <c r="P23" s="336">
        <f>+'10 Year Average'!G23</f>
        <v>1</v>
      </c>
      <c r="Q23" s="337">
        <f>+'10 Year Average'!H23</f>
        <v>85420448.759058684</v>
      </c>
      <c r="S23" s="332">
        <f>+'20 Year Trend'!A23</f>
        <v>38231</v>
      </c>
      <c r="T23" s="333">
        <f>+'20 Year Trend'!B23</f>
        <v>88536700</v>
      </c>
      <c r="U23" s="334">
        <f>+'20 Year Trend'!C23</f>
        <v>41.7</v>
      </c>
      <c r="V23" s="334">
        <f>+'20 Year Trend'!D23</f>
        <v>26.7</v>
      </c>
      <c r="W23" s="335">
        <f>+'20 Year Trend'!E23</f>
        <v>5.5E-2</v>
      </c>
      <c r="X23" s="336">
        <f>+'20 Year Trend'!F23</f>
        <v>30</v>
      </c>
      <c r="Y23" s="336">
        <f>+'20 Year Trend'!G23</f>
        <v>1</v>
      </c>
      <c r="Z23" s="337">
        <f>+'20 Year Trend'!H23</f>
        <v>85420448.759058684</v>
      </c>
    </row>
    <row r="24" spans="1:26">
      <c r="A24" s="332">
        <f>+'Purchased Power Model '!A24</f>
        <v>38261</v>
      </c>
      <c r="B24" s="333">
        <f>+'Purchased Power Model '!B24</f>
        <v>88377710</v>
      </c>
      <c r="C24" s="334">
        <f>+'Purchased Power Model '!C24</f>
        <v>235</v>
      </c>
      <c r="D24" s="334">
        <f>+'Purchased Power Model '!D24</f>
        <v>0</v>
      </c>
      <c r="E24" s="335">
        <f>+'Purchased Power Model '!E24</f>
        <v>5.7999999999999996E-2</v>
      </c>
      <c r="F24" s="336">
        <f>+'Purchased Power Model '!F24</f>
        <v>31</v>
      </c>
      <c r="G24" s="336">
        <f>+'Purchased Power Model '!G24</f>
        <v>1</v>
      </c>
      <c r="H24" s="337">
        <f>+'Purchased Power Model '!H24</f>
        <v>91880125.710324958</v>
      </c>
      <c r="J24" s="332">
        <f>+'10 Year Average'!A24</f>
        <v>38261</v>
      </c>
      <c r="K24" s="333">
        <f>+'10 Year Average'!B24</f>
        <v>88377710</v>
      </c>
      <c r="L24" s="334">
        <f>+'10 Year Average'!C24</f>
        <v>235</v>
      </c>
      <c r="M24" s="334">
        <f>+'10 Year Average'!D24</f>
        <v>0</v>
      </c>
      <c r="N24" s="335">
        <f>+'10 Year Average'!E24</f>
        <v>5.7999999999999996E-2</v>
      </c>
      <c r="O24" s="336">
        <f>+'10 Year Average'!F24</f>
        <v>31</v>
      </c>
      <c r="P24" s="336">
        <f>+'10 Year Average'!G24</f>
        <v>1</v>
      </c>
      <c r="Q24" s="337">
        <f>+'10 Year Average'!H24</f>
        <v>91880125.710324958</v>
      </c>
      <c r="S24" s="332">
        <f>+'20 Year Trend'!A24</f>
        <v>38261</v>
      </c>
      <c r="T24" s="333">
        <f>+'20 Year Trend'!B24</f>
        <v>88377710</v>
      </c>
      <c r="U24" s="334">
        <f>+'20 Year Trend'!C24</f>
        <v>235</v>
      </c>
      <c r="V24" s="334">
        <f>+'20 Year Trend'!D24</f>
        <v>0</v>
      </c>
      <c r="W24" s="335">
        <f>+'20 Year Trend'!E24</f>
        <v>5.7999999999999996E-2</v>
      </c>
      <c r="X24" s="336">
        <f>+'20 Year Trend'!F24</f>
        <v>31</v>
      </c>
      <c r="Y24" s="336">
        <f>+'20 Year Trend'!G24</f>
        <v>1</v>
      </c>
      <c r="Z24" s="337">
        <f>+'20 Year Trend'!H24</f>
        <v>91880125.710324958</v>
      </c>
    </row>
    <row r="25" spans="1:26">
      <c r="A25" s="332">
        <f>+'Purchased Power Model '!A25</f>
        <v>38292</v>
      </c>
      <c r="B25" s="333">
        <f>+'Purchased Power Model '!B25</f>
        <v>94905100</v>
      </c>
      <c r="C25" s="334">
        <f>+'Purchased Power Model '!C25</f>
        <v>385.7</v>
      </c>
      <c r="D25" s="334">
        <f>+'Purchased Power Model '!D25</f>
        <v>0</v>
      </c>
      <c r="E25" s="335">
        <f>+'Purchased Power Model '!E25</f>
        <v>5.7999999999999996E-2</v>
      </c>
      <c r="F25" s="336">
        <f>+'Purchased Power Model '!F25</f>
        <v>30</v>
      </c>
      <c r="G25" s="336">
        <f>+'Purchased Power Model '!G25</f>
        <v>1</v>
      </c>
      <c r="H25" s="337">
        <f>+'Purchased Power Model '!H25</f>
        <v>95096681.832297847</v>
      </c>
      <c r="J25" s="332">
        <f>+'10 Year Average'!A25</f>
        <v>38292</v>
      </c>
      <c r="K25" s="333">
        <f>+'10 Year Average'!B25</f>
        <v>94905100</v>
      </c>
      <c r="L25" s="334">
        <f>+'10 Year Average'!C25</f>
        <v>385.7</v>
      </c>
      <c r="M25" s="334">
        <f>+'10 Year Average'!D25</f>
        <v>0</v>
      </c>
      <c r="N25" s="335">
        <f>+'10 Year Average'!E25</f>
        <v>5.7999999999999996E-2</v>
      </c>
      <c r="O25" s="336">
        <f>+'10 Year Average'!F25</f>
        <v>30</v>
      </c>
      <c r="P25" s="336">
        <f>+'10 Year Average'!G25</f>
        <v>1</v>
      </c>
      <c r="Q25" s="337">
        <f>+'10 Year Average'!H25</f>
        <v>95096681.832297847</v>
      </c>
      <c r="S25" s="332">
        <f>+'20 Year Trend'!A25</f>
        <v>38292</v>
      </c>
      <c r="T25" s="333">
        <f>+'20 Year Trend'!B25</f>
        <v>94905100</v>
      </c>
      <c r="U25" s="334">
        <f>+'20 Year Trend'!C25</f>
        <v>385.7</v>
      </c>
      <c r="V25" s="334">
        <f>+'20 Year Trend'!D25</f>
        <v>0</v>
      </c>
      <c r="W25" s="335">
        <f>+'20 Year Trend'!E25</f>
        <v>5.7999999999999996E-2</v>
      </c>
      <c r="X25" s="336">
        <f>+'20 Year Trend'!F25</f>
        <v>30</v>
      </c>
      <c r="Y25" s="336">
        <f>+'20 Year Trend'!G25</f>
        <v>1</v>
      </c>
      <c r="Z25" s="337">
        <f>+'20 Year Trend'!H25</f>
        <v>95096681.832297847</v>
      </c>
    </row>
    <row r="26" spans="1:26">
      <c r="A26" s="332">
        <f>+'Purchased Power Model '!A26</f>
        <v>38322</v>
      </c>
      <c r="B26" s="333">
        <f>+'Purchased Power Model '!B26</f>
        <v>113323500</v>
      </c>
      <c r="C26" s="334">
        <f>+'Purchased Power Model '!C26</f>
        <v>627.5</v>
      </c>
      <c r="D26" s="334">
        <f>+'Purchased Power Model '!D26</f>
        <v>0</v>
      </c>
      <c r="E26" s="335">
        <f>+'Purchased Power Model '!E26</f>
        <v>5.7999999999999996E-2</v>
      </c>
      <c r="F26" s="336">
        <f>+'Purchased Power Model '!F26</f>
        <v>31</v>
      </c>
      <c r="G26" s="336">
        <f>+'Purchased Power Model '!G26</f>
        <v>0</v>
      </c>
      <c r="H26" s="337">
        <f>+'Purchased Power Model '!H26</f>
        <v>114869094.61417556</v>
      </c>
      <c r="J26" s="332">
        <f>+'10 Year Average'!A26</f>
        <v>38322</v>
      </c>
      <c r="K26" s="333">
        <f>+'10 Year Average'!B26</f>
        <v>113323500</v>
      </c>
      <c r="L26" s="334">
        <f>+'10 Year Average'!C26</f>
        <v>627.5</v>
      </c>
      <c r="M26" s="334">
        <f>+'10 Year Average'!D26</f>
        <v>0</v>
      </c>
      <c r="N26" s="335">
        <f>+'10 Year Average'!E26</f>
        <v>5.7999999999999996E-2</v>
      </c>
      <c r="O26" s="336">
        <f>+'10 Year Average'!F26</f>
        <v>31</v>
      </c>
      <c r="P26" s="336">
        <f>+'10 Year Average'!G26</f>
        <v>0</v>
      </c>
      <c r="Q26" s="337">
        <f>+'10 Year Average'!H26</f>
        <v>114869094.61417556</v>
      </c>
      <c r="S26" s="332">
        <f>+'20 Year Trend'!A26</f>
        <v>38322</v>
      </c>
      <c r="T26" s="333">
        <f>+'20 Year Trend'!B26</f>
        <v>113323500</v>
      </c>
      <c r="U26" s="334">
        <f>+'20 Year Trend'!C26</f>
        <v>627.5</v>
      </c>
      <c r="V26" s="334">
        <f>+'20 Year Trend'!D26</f>
        <v>0</v>
      </c>
      <c r="W26" s="335">
        <f>+'20 Year Trend'!E26</f>
        <v>5.7999999999999996E-2</v>
      </c>
      <c r="X26" s="336">
        <f>+'20 Year Trend'!F26</f>
        <v>31</v>
      </c>
      <c r="Y26" s="336">
        <f>+'20 Year Trend'!G26</f>
        <v>0</v>
      </c>
      <c r="Z26" s="337">
        <f>+'20 Year Trend'!H26</f>
        <v>114869094.61417556</v>
      </c>
    </row>
    <row r="27" spans="1:26">
      <c r="A27" s="332">
        <f>+'Purchased Power Model '!A27</f>
        <v>38353</v>
      </c>
      <c r="B27" s="333">
        <f>+'Purchased Power Model '!B27</f>
        <v>118166820</v>
      </c>
      <c r="C27" s="334">
        <f>+'Purchased Power Model '!C27</f>
        <v>745.5</v>
      </c>
      <c r="D27" s="334">
        <f>+'Purchased Power Model '!D27</f>
        <v>0</v>
      </c>
      <c r="E27" s="335">
        <f>+'Purchased Power Model '!E27</f>
        <v>7.2000000000000008E-2</v>
      </c>
      <c r="F27" s="336">
        <f>+'Purchased Power Model '!F27</f>
        <v>31</v>
      </c>
      <c r="G27" s="336">
        <f>+'Purchased Power Model '!G27</f>
        <v>0</v>
      </c>
      <c r="H27" s="337">
        <f>+'Purchased Power Model '!H27</f>
        <v>117802401.1803495</v>
      </c>
      <c r="J27" s="332">
        <f>+'10 Year Average'!A27</f>
        <v>38353</v>
      </c>
      <c r="K27" s="333">
        <f>+'10 Year Average'!B27</f>
        <v>118166820</v>
      </c>
      <c r="L27" s="334">
        <f>+'10 Year Average'!C27</f>
        <v>745.5</v>
      </c>
      <c r="M27" s="334">
        <f>+'10 Year Average'!D27</f>
        <v>0</v>
      </c>
      <c r="N27" s="335">
        <f>+'10 Year Average'!E27</f>
        <v>7.2000000000000008E-2</v>
      </c>
      <c r="O27" s="336">
        <f>+'10 Year Average'!F27</f>
        <v>31</v>
      </c>
      <c r="P27" s="336">
        <f>+'10 Year Average'!G27</f>
        <v>0</v>
      </c>
      <c r="Q27" s="337">
        <f>+'10 Year Average'!H27</f>
        <v>117802401.1803495</v>
      </c>
      <c r="S27" s="332">
        <f>+'20 Year Trend'!A27</f>
        <v>38353</v>
      </c>
      <c r="T27" s="333">
        <f>+'20 Year Trend'!B27</f>
        <v>118166820</v>
      </c>
      <c r="U27" s="334">
        <f>+'20 Year Trend'!C27</f>
        <v>745.5</v>
      </c>
      <c r="V27" s="334">
        <f>+'20 Year Trend'!D27</f>
        <v>0</v>
      </c>
      <c r="W27" s="335">
        <f>+'20 Year Trend'!E27</f>
        <v>7.2000000000000008E-2</v>
      </c>
      <c r="X27" s="336">
        <f>+'20 Year Trend'!F27</f>
        <v>31</v>
      </c>
      <c r="Y27" s="336">
        <f>+'20 Year Trend'!G27</f>
        <v>0</v>
      </c>
      <c r="Z27" s="337">
        <f>+'20 Year Trend'!H27</f>
        <v>117802401.1803495</v>
      </c>
    </row>
    <row r="28" spans="1:26">
      <c r="A28" s="332">
        <f>+'Purchased Power Model '!A28</f>
        <v>38384</v>
      </c>
      <c r="B28" s="333">
        <f>+'Purchased Power Model '!B28</f>
        <v>100566840</v>
      </c>
      <c r="C28" s="334">
        <f>+'Purchased Power Model '!C28</f>
        <v>589.5</v>
      </c>
      <c r="D28" s="334">
        <f>+'Purchased Power Model '!D28</f>
        <v>0</v>
      </c>
      <c r="E28" s="335">
        <f>+'Purchased Power Model '!E28</f>
        <v>7.2000000000000008E-2</v>
      </c>
      <c r="F28" s="336">
        <f>+'Purchased Power Model '!F28</f>
        <v>28</v>
      </c>
      <c r="G28" s="336">
        <f>+'Purchased Power Model '!G28</f>
        <v>0</v>
      </c>
      <c r="H28" s="337">
        <f>+'Purchased Power Model '!H28</f>
        <v>103034908.4736408</v>
      </c>
      <c r="J28" s="332">
        <f>+'10 Year Average'!A28</f>
        <v>38384</v>
      </c>
      <c r="K28" s="333">
        <f>+'10 Year Average'!B28</f>
        <v>100566840</v>
      </c>
      <c r="L28" s="334">
        <f>+'10 Year Average'!C28</f>
        <v>589.5</v>
      </c>
      <c r="M28" s="334">
        <f>+'10 Year Average'!D28</f>
        <v>0</v>
      </c>
      <c r="N28" s="335">
        <f>+'10 Year Average'!E28</f>
        <v>7.2000000000000008E-2</v>
      </c>
      <c r="O28" s="336">
        <f>+'10 Year Average'!F28</f>
        <v>28</v>
      </c>
      <c r="P28" s="336">
        <f>+'10 Year Average'!G28</f>
        <v>0</v>
      </c>
      <c r="Q28" s="337">
        <f>+'10 Year Average'!H28</f>
        <v>103034908.4736408</v>
      </c>
      <c r="S28" s="332">
        <f>+'20 Year Trend'!A28</f>
        <v>38384</v>
      </c>
      <c r="T28" s="333">
        <f>+'20 Year Trend'!B28</f>
        <v>100566840</v>
      </c>
      <c r="U28" s="334">
        <f>+'20 Year Trend'!C28</f>
        <v>589.5</v>
      </c>
      <c r="V28" s="334">
        <f>+'20 Year Trend'!D28</f>
        <v>0</v>
      </c>
      <c r="W28" s="335">
        <f>+'20 Year Trend'!E28</f>
        <v>7.2000000000000008E-2</v>
      </c>
      <c r="X28" s="336">
        <f>+'20 Year Trend'!F28</f>
        <v>28</v>
      </c>
      <c r="Y28" s="336">
        <f>+'20 Year Trend'!G28</f>
        <v>0</v>
      </c>
      <c r="Z28" s="337">
        <f>+'20 Year Trend'!H28</f>
        <v>103034908.4736408</v>
      </c>
    </row>
    <row r="29" spans="1:26">
      <c r="A29" s="332">
        <f>+'Purchased Power Model '!A29</f>
        <v>38412</v>
      </c>
      <c r="B29" s="333">
        <f>+'Purchased Power Model '!B29</f>
        <v>104158730</v>
      </c>
      <c r="C29" s="334">
        <f>+'Purchased Power Model '!C29</f>
        <v>578.29999999999995</v>
      </c>
      <c r="D29" s="334">
        <f>+'Purchased Power Model '!D29</f>
        <v>0</v>
      </c>
      <c r="E29" s="335">
        <f>+'Purchased Power Model '!E29</f>
        <v>7.2000000000000008E-2</v>
      </c>
      <c r="F29" s="336">
        <f>+'Purchased Power Model '!F29</f>
        <v>31</v>
      </c>
      <c r="G29" s="336">
        <f>+'Purchased Power Model '!G29</f>
        <v>1</v>
      </c>
      <c r="H29" s="337">
        <f>+'Purchased Power Model '!H29</f>
        <v>103859948.29304707</v>
      </c>
      <c r="J29" s="332">
        <f>+'10 Year Average'!A29</f>
        <v>38412</v>
      </c>
      <c r="K29" s="333">
        <f>+'10 Year Average'!B29</f>
        <v>104158730</v>
      </c>
      <c r="L29" s="334">
        <f>+'10 Year Average'!C29</f>
        <v>578.29999999999995</v>
      </c>
      <c r="M29" s="334">
        <f>+'10 Year Average'!D29</f>
        <v>0</v>
      </c>
      <c r="N29" s="335">
        <f>+'10 Year Average'!E29</f>
        <v>7.2000000000000008E-2</v>
      </c>
      <c r="O29" s="336">
        <f>+'10 Year Average'!F29</f>
        <v>31</v>
      </c>
      <c r="P29" s="336">
        <f>+'10 Year Average'!G29</f>
        <v>1</v>
      </c>
      <c r="Q29" s="337">
        <f>+'10 Year Average'!H29</f>
        <v>103859948.29304707</v>
      </c>
      <c r="S29" s="332">
        <f>+'20 Year Trend'!A29</f>
        <v>38412</v>
      </c>
      <c r="T29" s="333">
        <f>+'20 Year Trend'!B29</f>
        <v>104158730</v>
      </c>
      <c r="U29" s="334">
        <f>+'20 Year Trend'!C29</f>
        <v>578.29999999999995</v>
      </c>
      <c r="V29" s="334">
        <f>+'20 Year Trend'!D29</f>
        <v>0</v>
      </c>
      <c r="W29" s="335">
        <f>+'20 Year Trend'!E29</f>
        <v>7.2000000000000008E-2</v>
      </c>
      <c r="X29" s="336">
        <f>+'20 Year Trend'!F29</f>
        <v>31</v>
      </c>
      <c r="Y29" s="336">
        <f>+'20 Year Trend'!G29</f>
        <v>1</v>
      </c>
      <c r="Z29" s="337">
        <f>+'20 Year Trend'!H29</f>
        <v>103859948.29304707</v>
      </c>
    </row>
    <row r="30" spans="1:26">
      <c r="A30" s="332">
        <f>+'Purchased Power Model '!A30</f>
        <v>38443</v>
      </c>
      <c r="B30" s="333">
        <f>+'Purchased Power Model '!B30</f>
        <v>84434840</v>
      </c>
      <c r="C30" s="334">
        <f>+'Purchased Power Model '!C30</f>
        <v>325.3</v>
      </c>
      <c r="D30" s="334">
        <f>+'Purchased Power Model '!D30</f>
        <v>0</v>
      </c>
      <c r="E30" s="335">
        <f>+'Purchased Power Model '!E30</f>
        <v>6.4000000000000001E-2</v>
      </c>
      <c r="F30" s="336">
        <f>+'Purchased Power Model '!F30</f>
        <v>30</v>
      </c>
      <c r="G30" s="336">
        <f>+'Purchased Power Model '!G30</f>
        <v>1</v>
      </c>
      <c r="H30" s="337">
        <f>+'Purchased Power Model '!H30</f>
        <v>91897955.224233881</v>
      </c>
      <c r="J30" s="332">
        <f>+'10 Year Average'!A30</f>
        <v>38443</v>
      </c>
      <c r="K30" s="333">
        <f>+'10 Year Average'!B30</f>
        <v>84434840</v>
      </c>
      <c r="L30" s="334">
        <f>+'10 Year Average'!C30</f>
        <v>325.3</v>
      </c>
      <c r="M30" s="334">
        <f>+'10 Year Average'!D30</f>
        <v>0</v>
      </c>
      <c r="N30" s="335">
        <f>+'10 Year Average'!E30</f>
        <v>6.4000000000000001E-2</v>
      </c>
      <c r="O30" s="336">
        <f>+'10 Year Average'!F30</f>
        <v>30</v>
      </c>
      <c r="P30" s="336">
        <f>+'10 Year Average'!G30</f>
        <v>1</v>
      </c>
      <c r="Q30" s="337">
        <f>+'10 Year Average'!H30</f>
        <v>91897955.224233881</v>
      </c>
      <c r="S30" s="332">
        <f>+'20 Year Trend'!A30</f>
        <v>38443</v>
      </c>
      <c r="T30" s="333">
        <f>+'20 Year Trend'!B30</f>
        <v>84434840</v>
      </c>
      <c r="U30" s="334">
        <f>+'20 Year Trend'!C30</f>
        <v>325.3</v>
      </c>
      <c r="V30" s="334">
        <f>+'20 Year Trend'!D30</f>
        <v>0</v>
      </c>
      <c r="W30" s="335">
        <f>+'20 Year Trend'!E30</f>
        <v>6.4000000000000001E-2</v>
      </c>
      <c r="X30" s="336">
        <f>+'20 Year Trend'!F30</f>
        <v>30</v>
      </c>
      <c r="Y30" s="336">
        <f>+'20 Year Trend'!G30</f>
        <v>1</v>
      </c>
      <c r="Z30" s="337">
        <f>+'20 Year Trend'!H30</f>
        <v>91897955.224233881</v>
      </c>
    </row>
    <row r="31" spans="1:26">
      <c r="A31" s="332">
        <f>+'Purchased Power Model '!A31</f>
        <v>38473</v>
      </c>
      <c r="B31" s="333">
        <f>+'Purchased Power Model '!B31</f>
        <v>81831370</v>
      </c>
      <c r="C31" s="334">
        <f>+'Purchased Power Model '!C31</f>
        <v>216.1</v>
      </c>
      <c r="D31" s="334">
        <f>+'Purchased Power Model '!D31</f>
        <v>0.3</v>
      </c>
      <c r="E31" s="335">
        <f>+'Purchased Power Model '!E31</f>
        <v>6.4000000000000001E-2</v>
      </c>
      <c r="F31" s="336">
        <f>+'Purchased Power Model '!F31</f>
        <v>31</v>
      </c>
      <c r="G31" s="336">
        <f>+'Purchased Power Model '!G31</f>
        <v>1</v>
      </c>
      <c r="H31" s="337">
        <f>+'Purchased Power Model '!H31</f>
        <v>90389888.723425984</v>
      </c>
      <c r="J31" s="332">
        <f>+'10 Year Average'!A31</f>
        <v>38473</v>
      </c>
      <c r="K31" s="333">
        <f>+'10 Year Average'!B31</f>
        <v>81831370</v>
      </c>
      <c r="L31" s="334">
        <f>+'10 Year Average'!C31</f>
        <v>216.1</v>
      </c>
      <c r="M31" s="334">
        <f>+'10 Year Average'!D31</f>
        <v>0.3</v>
      </c>
      <c r="N31" s="335">
        <f>+'10 Year Average'!E31</f>
        <v>6.4000000000000001E-2</v>
      </c>
      <c r="O31" s="336">
        <f>+'10 Year Average'!F31</f>
        <v>31</v>
      </c>
      <c r="P31" s="336">
        <f>+'10 Year Average'!G31</f>
        <v>1</v>
      </c>
      <c r="Q31" s="337">
        <f>+'10 Year Average'!H31</f>
        <v>90389888.723425984</v>
      </c>
      <c r="S31" s="332">
        <f>+'20 Year Trend'!A31</f>
        <v>38473</v>
      </c>
      <c r="T31" s="333">
        <f>+'20 Year Trend'!B31</f>
        <v>81831370</v>
      </c>
      <c r="U31" s="334">
        <f>+'20 Year Trend'!C31</f>
        <v>216.1</v>
      </c>
      <c r="V31" s="334">
        <f>+'20 Year Trend'!D31</f>
        <v>0.3</v>
      </c>
      <c r="W31" s="335">
        <f>+'20 Year Trend'!E31</f>
        <v>6.4000000000000001E-2</v>
      </c>
      <c r="X31" s="336">
        <f>+'20 Year Trend'!F31</f>
        <v>31</v>
      </c>
      <c r="Y31" s="336">
        <f>+'20 Year Trend'!G31</f>
        <v>1</v>
      </c>
      <c r="Z31" s="337">
        <f>+'20 Year Trend'!H31</f>
        <v>90389888.723425984</v>
      </c>
    </row>
    <row r="32" spans="1:26">
      <c r="A32" s="332">
        <f>+'Purchased Power Model '!A32</f>
        <v>38504</v>
      </c>
      <c r="B32" s="333">
        <f>+'Purchased Power Model '!B32</f>
        <v>98362500</v>
      </c>
      <c r="C32" s="334">
        <f>+'Purchased Power Model '!C32</f>
        <v>13.7</v>
      </c>
      <c r="D32" s="334">
        <f>+'Purchased Power Model '!D32</f>
        <v>89.9</v>
      </c>
      <c r="E32" s="335">
        <f>+'Purchased Power Model '!E32</f>
        <v>6.4000000000000001E-2</v>
      </c>
      <c r="F32" s="336">
        <f>+'Purchased Power Model '!F32</f>
        <v>30</v>
      </c>
      <c r="G32" s="336">
        <f>+'Purchased Power Model '!G32</f>
        <v>0</v>
      </c>
      <c r="H32" s="337">
        <f>+'Purchased Power Model '!H32</f>
        <v>99240555.119107112</v>
      </c>
      <c r="J32" s="332">
        <f>+'10 Year Average'!A32</f>
        <v>38504</v>
      </c>
      <c r="K32" s="333">
        <f>+'10 Year Average'!B32</f>
        <v>98362500</v>
      </c>
      <c r="L32" s="334">
        <f>+'10 Year Average'!C32</f>
        <v>13.7</v>
      </c>
      <c r="M32" s="334">
        <f>+'10 Year Average'!D32</f>
        <v>89.9</v>
      </c>
      <c r="N32" s="335">
        <f>+'10 Year Average'!E32</f>
        <v>6.4000000000000001E-2</v>
      </c>
      <c r="O32" s="336">
        <f>+'10 Year Average'!F32</f>
        <v>30</v>
      </c>
      <c r="P32" s="336">
        <f>+'10 Year Average'!G32</f>
        <v>0</v>
      </c>
      <c r="Q32" s="337">
        <f>+'10 Year Average'!H32</f>
        <v>99240555.119107112</v>
      </c>
      <c r="S32" s="332">
        <f>+'20 Year Trend'!A32</f>
        <v>38504</v>
      </c>
      <c r="T32" s="333">
        <f>+'20 Year Trend'!B32</f>
        <v>98362500</v>
      </c>
      <c r="U32" s="334">
        <f>+'20 Year Trend'!C32</f>
        <v>13.7</v>
      </c>
      <c r="V32" s="334">
        <f>+'20 Year Trend'!D32</f>
        <v>89.9</v>
      </c>
      <c r="W32" s="335">
        <f>+'20 Year Trend'!E32</f>
        <v>6.4000000000000001E-2</v>
      </c>
      <c r="X32" s="336">
        <f>+'20 Year Trend'!F32</f>
        <v>30</v>
      </c>
      <c r="Y32" s="336">
        <f>+'20 Year Trend'!G32</f>
        <v>0</v>
      </c>
      <c r="Z32" s="337">
        <f>+'20 Year Trend'!H32</f>
        <v>99240555.119107112</v>
      </c>
    </row>
    <row r="33" spans="1:26">
      <c r="A33" s="332">
        <f>+'Purchased Power Model '!A33</f>
        <v>38534</v>
      </c>
      <c r="B33" s="333">
        <f>+'Purchased Power Model '!B33</f>
        <v>103745750</v>
      </c>
      <c r="C33" s="334">
        <f>+'Purchased Power Model '!C33</f>
        <v>2.2000000000000002</v>
      </c>
      <c r="D33" s="334">
        <f>+'Purchased Power Model '!D33</f>
        <v>153</v>
      </c>
      <c r="E33" s="335">
        <f>+'Purchased Power Model '!E33</f>
        <v>5.7999999999999996E-2</v>
      </c>
      <c r="F33" s="336">
        <f>+'Purchased Power Model '!F33</f>
        <v>31</v>
      </c>
      <c r="G33" s="336">
        <f>+'Purchased Power Model '!G33</f>
        <v>0</v>
      </c>
      <c r="H33" s="337">
        <f>+'Purchased Power Model '!H33</f>
        <v>111248521.97915548</v>
      </c>
      <c r="J33" s="332">
        <f>+'10 Year Average'!A33</f>
        <v>38534</v>
      </c>
      <c r="K33" s="333">
        <f>+'10 Year Average'!B33</f>
        <v>103745750</v>
      </c>
      <c r="L33" s="334">
        <f>+'10 Year Average'!C33</f>
        <v>2.2000000000000002</v>
      </c>
      <c r="M33" s="334">
        <f>+'10 Year Average'!D33</f>
        <v>153</v>
      </c>
      <c r="N33" s="335">
        <f>+'10 Year Average'!E33</f>
        <v>5.7999999999999996E-2</v>
      </c>
      <c r="O33" s="336">
        <f>+'10 Year Average'!F33</f>
        <v>31</v>
      </c>
      <c r="P33" s="336">
        <f>+'10 Year Average'!G33</f>
        <v>0</v>
      </c>
      <c r="Q33" s="337">
        <f>+'10 Year Average'!H33</f>
        <v>111248521.97915548</v>
      </c>
      <c r="S33" s="332">
        <f>+'20 Year Trend'!A33</f>
        <v>38534</v>
      </c>
      <c r="T33" s="333">
        <f>+'20 Year Trend'!B33</f>
        <v>103745750</v>
      </c>
      <c r="U33" s="334">
        <f>+'20 Year Trend'!C33</f>
        <v>2.2000000000000002</v>
      </c>
      <c r="V33" s="334">
        <f>+'20 Year Trend'!D33</f>
        <v>153</v>
      </c>
      <c r="W33" s="335">
        <f>+'20 Year Trend'!E33</f>
        <v>5.7999999999999996E-2</v>
      </c>
      <c r="X33" s="336">
        <f>+'20 Year Trend'!F33</f>
        <v>31</v>
      </c>
      <c r="Y33" s="336">
        <f>+'20 Year Trend'!G33</f>
        <v>0</v>
      </c>
      <c r="Z33" s="337">
        <f>+'20 Year Trend'!H33</f>
        <v>111248521.97915548</v>
      </c>
    </row>
    <row r="34" spans="1:26">
      <c r="A34" s="332">
        <f>+'Purchased Power Model '!A34</f>
        <v>38565</v>
      </c>
      <c r="B34" s="333">
        <f>+'Purchased Power Model '!B34</f>
        <v>101425330</v>
      </c>
      <c r="C34" s="334">
        <f>+'Purchased Power Model '!C34</f>
        <v>0</v>
      </c>
      <c r="D34" s="334">
        <f>+'Purchased Power Model '!D34</f>
        <v>108</v>
      </c>
      <c r="E34" s="335">
        <f>+'Purchased Power Model '!E34</f>
        <v>5.7999999999999996E-2</v>
      </c>
      <c r="F34" s="336">
        <f>+'Purchased Power Model '!F34</f>
        <v>31</v>
      </c>
      <c r="G34" s="336">
        <f>+'Purchased Power Model '!G34</f>
        <v>0</v>
      </c>
      <c r="H34" s="337">
        <f>+'Purchased Power Model '!H34</f>
        <v>104840413.32627262</v>
      </c>
      <c r="J34" s="332">
        <f>+'10 Year Average'!A34</f>
        <v>38565</v>
      </c>
      <c r="K34" s="333">
        <f>+'10 Year Average'!B34</f>
        <v>101425330</v>
      </c>
      <c r="L34" s="334">
        <f>+'10 Year Average'!C34</f>
        <v>0</v>
      </c>
      <c r="M34" s="334">
        <f>+'10 Year Average'!D34</f>
        <v>108</v>
      </c>
      <c r="N34" s="335">
        <f>+'10 Year Average'!E34</f>
        <v>5.7999999999999996E-2</v>
      </c>
      <c r="O34" s="336">
        <f>+'10 Year Average'!F34</f>
        <v>31</v>
      </c>
      <c r="P34" s="336">
        <f>+'10 Year Average'!G34</f>
        <v>0</v>
      </c>
      <c r="Q34" s="337">
        <f>+'10 Year Average'!H34</f>
        <v>104840413.32627262</v>
      </c>
      <c r="S34" s="332">
        <f>+'20 Year Trend'!A34</f>
        <v>38565</v>
      </c>
      <c r="T34" s="333">
        <f>+'20 Year Trend'!B34</f>
        <v>101425330</v>
      </c>
      <c r="U34" s="334">
        <f>+'20 Year Trend'!C34</f>
        <v>0</v>
      </c>
      <c r="V34" s="334">
        <f>+'20 Year Trend'!D34</f>
        <v>108</v>
      </c>
      <c r="W34" s="335">
        <f>+'20 Year Trend'!E34</f>
        <v>5.7999999999999996E-2</v>
      </c>
      <c r="X34" s="336">
        <f>+'20 Year Trend'!F34</f>
        <v>31</v>
      </c>
      <c r="Y34" s="336">
        <f>+'20 Year Trend'!G34</f>
        <v>0</v>
      </c>
      <c r="Z34" s="337">
        <f>+'20 Year Trend'!H34</f>
        <v>104840413.32627262</v>
      </c>
    </row>
    <row r="35" spans="1:26">
      <c r="A35" s="332">
        <f>+'Purchased Power Model '!A35</f>
        <v>38596</v>
      </c>
      <c r="B35" s="333">
        <f>+'Purchased Power Model '!B35</f>
        <v>87813850</v>
      </c>
      <c r="C35" s="334">
        <f>+'Purchased Power Model '!C35</f>
        <v>36.700000000000003</v>
      </c>
      <c r="D35" s="334">
        <f>+'Purchased Power Model '!D35</f>
        <v>32.799999999999997</v>
      </c>
      <c r="E35" s="335">
        <f>+'Purchased Power Model '!E35</f>
        <v>5.7999999999999996E-2</v>
      </c>
      <c r="F35" s="336">
        <f>+'Purchased Power Model '!F35</f>
        <v>30</v>
      </c>
      <c r="G35" s="336">
        <f>+'Purchased Power Model '!G35</f>
        <v>1</v>
      </c>
      <c r="H35" s="337">
        <f>+'Purchased Power Model '!H35</f>
        <v>85689626.253245384</v>
      </c>
      <c r="J35" s="332">
        <f>+'10 Year Average'!A35</f>
        <v>38596</v>
      </c>
      <c r="K35" s="333">
        <f>+'10 Year Average'!B35</f>
        <v>87813850</v>
      </c>
      <c r="L35" s="334">
        <f>+'10 Year Average'!C35</f>
        <v>36.700000000000003</v>
      </c>
      <c r="M35" s="334">
        <f>+'10 Year Average'!D35</f>
        <v>32.799999999999997</v>
      </c>
      <c r="N35" s="335">
        <f>+'10 Year Average'!E35</f>
        <v>5.7999999999999996E-2</v>
      </c>
      <c r="O35" s="336">
        <f>+'10 Year Average'!F35</f>
        <v>30</v>
      </c>
      <c r="P35" s="336">
        <f>+'10 Year Average'!G35</f>
        <v>1</v>
      </c>
      <c r="Q35" s="337">
        <f>+'10 Year Average'!H35</f>
        <v>85689626.253245384</v>
      </c>
      <c r="S35" s="332">
        <f>+'20 Year Trend'!A35</f>
        <v>38596</v>
      </c>
      <c r="T35" s="333">
        <f>+'20 Year Trend'!B35</f>
        <v>87813850</v>
      </c>
      <c r="U35" s="334">
        <f>+'20 Year Trend'!C35</f>
        <v>36.700000000000003</v>
      </c>
      <c r="V35" s="334">
        <f>+'20 Year Trend'!D35</f>
        <v>32.799999999999997</v>
      </c>
      <c r="W35" s="335">
        <f>+'20 Year Trend'!E35</f>
        <v>5.7999999999999996E-2</v>
      </c>
      <c r="X35" s="336">
        <f>+'20 Year Trend'!F35</f>
        <v>30</v>
      </c>
      <c r="Y35" s="336">
        <f>+'20 Year Trend'!G35</f>
        <v>1</v>
      </c>
      <c r="Z35" s="337">
        <f>+'20 Year Trend'!H35</f>
        <v>85689626.253245384</v>
      </c>
    </row>
    <row r="36" spans="1:26">
      <c r="A36" s="332">
        <f>+'Purchased Power Model '!A36</f>
        <v>38626</v>
      </c>
      <c r="B36" s="333">
        <f>+'Purchased Power Model '!B36</f>
        <v>87350690</v>
      </c>
      <c r="C36" s="334">
        <f>+'Purchased Power Model '!C36</f>
        <v>223.8</v>
      </c>
      <c r="D36" s="334">
        <f>+'Purchased Power Model '!D36</f>
        <v>0.5</v>
      </c>
      <c r="E36" s="335">
        <f>+'Purchased Power Model '!E36</f>
        <v>6.7000000000000004E-2</v>
      </c>
      <c r="F36" s="336">
        <f>+'Purchased Power Model '!F36</f>
        <v>31</v>
      </c>
      <c r="G36" s="336">
        <f>+'Purchased Power Model '!G36</f>
        <v>1</v>
      </c>
      <c r="H36" s="337">
        <f>+'Purchased Power Model '!H36</f>
        <v>90340419.58273913</v>
      </c>
      <c r="J36" s="332">
        <f>+'10 Year Average'!A36</f>
        <v>38626</v>
      </c>
      <c r="K36" s="333">
        <f>+'10 Year Average'!B36</f>
        <v>87350690</v>
      </c>
      <c r="L36" s="334">
        <f>+'10 Year Average'!C36</f>
        <v>223.8</v>
      </c>
      <c r="M36" s="334">
        <f>+'10 Year Average'!D36</f>
        <v>0.5</v>
      </c>
      <c r="N36" s="335">
        <f>+'10 Year Average'!E36</f>
        <v>6.7000000000000004E-2</v>
      </c>
      <c r="O36" s="336">
        <f>+'10 Year Average'!F36</f>
        <v>31</v>
      </c>
      <c r="P36" s="336">
        <f>+'10 Year Average'!G36</f>
        <v>1</v>
      </c>
      <c r="Q36" s="337">
        <f>+'10 Year Average'!H36</f>
        <v>90340419.58273913</v>
      </c>
      <c r="S36" s="332">
        <f>+'20 Year Trend'!A36</f>
        <v>38626</v>
      </c>
      <c r="T36" s="333">
        <f>+'20 Year Trend'!B36</f>
        <v>87350690</v>
      </c>
      <c r="U36" s="334">
        <f>+'20 Year Trend'!C36</f>
        <v>223.8</v>
      </c>
      <c r="V36" s="334">
        <f>+'20 Year Trend'!D36</f>
        <v>0.5</v>
      </c>
      <c r="W36" s="335">
        <f>+'20 Year Trend'!E36</f>
        <v>6.7000000000000004E-2</v>
      </c>
      <c r="X36" s="336">
        <f>+'20 Year Trend'!F36</f>
        <v>31</v>
      </c>
      <c r="Y36" s="336">
        <f>+'20 Year Trend'!G36</f>
        <v>1</v>
      </c>
      <c r="Z36" s="337">
        <f>+'20 Year Trend'!H36</f>
        <v>90340419.58273913</v>
      </c>
    </row>
    <row r="37" spans="1:26">
      <c r="A37" s="332">
        <f>+'Purchased Power Model '!A37</f>
        <v>38657</v>
      </c>
      <c r="B37" s="333">
        <f>+'Purchased Power Model '!B37</f>
        <v>94515140</v>
      </c>
      <c r="C37" s="334">
        <f>+'Purchased Power Model '!C37</f>
        <v>398.5</v>
      </c>
      <c r="D37" s="334">
        <f>+'Purchased Power Model '!D37</f>
        <v>0</v>
      </c>
      <c r="E37" s="335">
        <f>+'Purchased Power Model '!E37</f>
        <v>6.7000000000000004E-2</v>
      </c>
      <c r="F37" s="336">
        <f>+'Purchased Power Model '!F37</f>
        <v>30</v>
      </c>
      <c r="G37" s="336">
        <f>+'Purchased Power Model '!G37</f>
        <v>1</v>
      </c>
      <c r="H37" s="337">
        <f>+'Purchased Power Model '!H37</f>
        <v>94450432.826154336</v>
      </c>
      <c r="J37" s="332">
        <f>+'10 Year Average'!A37</f>
        <v>38657</v>
      </c>
      <c r="K37" s="333">
        <f>+'10 Year Average'!B37</f>
        <v>94515140</v>
      </c>
      <c r="L37" s="334">
        <f>+'10 Year Average'!C37</f>
        <v>398.5</v>
      </c>
      <c r="M37" s="334">
        <f>+'10 Year Average'!D37</f>
        <v>0</v>
      </c>
      <c r="N37" s="335">
        <f>+'10 Year Average'!E37</f>
        <v>6.7000000000000004E-2</v>
      </c>
      <c r="O37" s="336">
        <f>+'10 Year Average'!F37</f>
        <v>30</v>
      </c>
      <c r="P37" s="336">
        <f>+'10 Year Average'!G37</f>
        <v>1</v>
      </c>
      <c r="Q37" s="337">
        <f>+'10 Year Average'!H37</f>
        <v>94450432.826154336</v>
      </c>
      <c r="S37" s="332">
        <f>+'20 Year Trend'!A37</f>
        <v>38657</v>
      </c>
      <c r="T37" s="333">
        <f>+'20 Year Trend'!B37</f>
        <v>94515140</v>
      </c>
      <c r="U37" s="334">
        <f>+'20 Year Trend'!C37</f>
        <v>398.5</v>
      </c>
      <c r="V37" s="334">
        <f>+'20 Year Trend'!D37</f>
        <v>0</v>
      </c>
      <c r="W37" s="335">
        <f>+'20 Year Trend'!E37</f>
        <v>6.7000000000000004E-2</v>
      </c>
      <c r="X37" s="336">
        <f>+'20 Year Trend'!F37</f>
        <v>30</v>
      </c>
      <c r="Y37" s="336">
        <f>+'20 Year Trend'!G37</f>
        <v>1</v>
      </c>
      <c r="Z37" s="337">
        <f>+'20 Year Trend'!H37</f>
        <v>94450432.826154336</v>
      </c>
    </row>
    <row r="38" spans="1:26">
      <c r="A38" s="332">
        <f>+'Purchased Power Model '!A38</f>
        <v>38687</v>
      </c>
      <c r="B38" s="333">
        <f>+'Purchased Power Model '!B38</f>
        <v>112129490</v>
      </c>
      <c r="C38" s="334">
        <f>+'Purchased Power Model '!C38</f>
        <v>641.1</v>
      </c>
      <c r="D38" s="334">
        <f>+'Purchased Power Model '!D38</f>
        <v>0</v>
      </c>
      <c r="E38" s="335">
        <f>+'Purchased Power Model '!E38</f>
        <v>6.7000000000000004E-2</v>
      </c>
      <c r="F38" s="336">
        <f>+'Purchased Power Model '!F38</f>
        <v>31</v>
      </c>
      <c r="G38" s="336">
        <f>+'Purchased Power Model '!G38</f>
        <v>0</v>
      </c>
      <c r="H38" s="337">
        <f>+'Purchased Power Model '!H38</f>
        <v>114254968.16823286</v>
      </c>
      <c r="J38" s="332">
        <f>+'10 Year Average'!A38</f>
        <v>38687</v>
      </c>
      <c r="K38" s="333">
        <f>+'10 Year Average'!B38</f>
        <v>112129490</v>
      </c>
      <c r="L38" s="334">
        <f>+'10 Year Average'!C38</f>
        <v>641.1</v>
      </c>
      <c r="M38" s="334">
        <f>+'10 Year Average'!D38</f>
        <v>0</v>
      </c>
      <c r="N38" s="335">
        <f>+'10 Year Average'!E38</f>
        <v>6.7000000000000004E-2</v>
      </c>
      <c r="O38" s="336">
        <f>+'10 Year Average'!F38</f>
        <v>31</v>
      </c>
      <c r="P38" s="336">
        <f>+'10 Year Average'!G38</f>
        <v>0</v>
      </c>
      <c r="Q38" s="337">
        <f>+'10 Year Average'!H38</f>
        <v>114254968.16823286</v>
      </c>
      <c r="S38" s="332">
        <f>+'20 Year Trend'!A38</f>
        <v>38687</v>
      </c>
      <c r="T38" s="333">
        <f>+'20 Year Trend'!B38</f>
        <v>112129490</v>
      </c>
      <c r="U38" s="334">
        <f>+'20 Year Trend'!C38</f>
        <v>641.1</v>
      </c>
      <c r="V38" s="334">
        <f>+'20 Year Trend'!D38</f>
        <v>0</v>
      </c>
      <c r="W38" s="335">
        <f>+'20 Year Trend'!E38</f>
        <v>6.7000000000000004E-2</v>
      </c>
      <c r="X38" s="336">
        <f>+'20 Year Trend'!F38</f>
        <v>31</v>
      </c>
      <c r="Y38" s="336">
        <f>+'20 Year Trend'!G38</f>
        <v>0</v>
      </c>
      <c r="Z38" s="337">
        <f>+'20 Year Trend'!H38</f>
        <v>114254968.16823286</v>
      </c>
    </row>
    <row r="39" spans="1:26">
      <c r="A39" s="332">
        <f>+'Purchased Power Model '!A39</f>
        <v>38718</v>
      </c>
      <c r="B39" s="338">
        <f>+'Purchased Power Model '!B39</f>
        <v>108586490</v>
      </c>
      <c r="C39" s="334">
        <f>+'Purchased Power Model '!C39</f>
        <v>558.20000000000005</v>
      </c>
      <c r="D39" s="334">
        <f>+'Purchased Power Model '!D39</f>
        <v>0</v>
      </c>
      <c r="E39" s="335">
        <f>+'Purchased Power Model '!E39</f>
        <v>6.6000000000000003E-2</v>
      </c>
      <c r="F39" s="336">
        <f>+'Purchased Power Model '!F39</f>
        <v>31</v>
      </c>
      <c r="G39" s="336">
        <f>+'Purchased Power Model '!G39</f>
        <v>0</v>
      </c>
      <c r="H39" s="337">
        <f>+'Purchased Power Model '!H39</f>
        <v>111055180.08624309</v>
      </c>
      <c r="J39" s="332">
        <f>+'10 Year Average'!A39</f>
        <v>38718</v>
      </c>
      <c r="K39" s="338">
        <f>+'10 Year Average'!B39</f>
        <v>108586490</v>
      </c>
      <c r="L39" s="334">
        <f>+'10 Year Average'!C39</f>
        <v>558.20000000000005</v>
      </c>
      <c r="M39" s="334">
        <f>+'10 Year Average'!D39</f>
        <v>0</v>
      </c>
      <c r="N39" s="335">
        <f>+'10 Year Average'!E39</f>
        <v>6.6000000000000003E-2</v>
      </c>
      <c r="O39" s="336">
        <f>+'10 Year Average'!F39</f>
        <v>31</v>
      </c>
      <c r="P39" s="336">
        <f>+'10 Year Average'!G39</f>
        <v>0</v>
      </c>
      <c r="Q39" s="337">
        <f>+'10 Year Average'!H39</f>
        <v>111055180.08624309</v>
      </c>
      <c r="S39" s="332">
        <f>+'20 Year Trend'!A39</f>
        <v>38718</v>
      </c>
      <c r="T39" s="338">
        <f>+'20 Year Trend'!B39</f>
        <v>108586490</v>
      </c>
      <c r="U39" s="334">
        <f>+'20 Year Trend'!C39</f>
        <v>558.20000000000005</v>
      </c>
      <c r="V39" s="334">
        <f>+'20 Year Trend'!D39</f>
        <v>0</v>
      </c>
      <c r="W39" s="335">
        <f>+'20 Year Trend'!E39</f>
        <v>6.6000000000000003E-2</v>
      </c>
      <c r="X39" s="336">
        <f>+'20 Year Trend'!F39</f>
        <v>31</v>
      </c>
      <c r="Y39" s="336">
        <f>+'20 Year Trend'!G39</f>
        <v>0</v>
      </c>
      <c r="Z39" s="337">
        <f>+'20 Year Trend'!H39</f>
        <v>111055180.08624309</v>
      </c>
    </row>
    <row r="40" spans="1:26">
      <c r="A40" s="332">
        <f>+'Purchased Power Model '!A40</f>
        <v>38749</v>
      </c>
      <c r="B40" s="338">
        <f>+'Purchased Power Model '!B40</f>
        <v>101769990</v>
      </c>
      <c r="C40" s="334">
        <f>+'Purchased Power Model '!C40</f>
        <v>608.79999999999995</v>
      </c>
      <c r="D40" s="334">
        <f>+'Purchased Power Model '!D40</f>
        <v>0</v>
      </c>
      <c r="E40" s="335">
        <f>+'Purchased Power Model '!E40</f>
        <v>6.6000000000000003E-2</v>
      </c>
      <c r="F40" s="336">
        <f>+'Purchased Power Model '!F40</f>
        <v>28</v>
      </c>
      <c r="G40" s="336">
        <f>+'Purchased Power Model '!G40</f>
        <v>0</v>
      </c>
      <c r="H40" s="337">
        <f>+'Purchased Power Model '!H40</f>
        <v>104583338.55138904</v>
      </c>
      <c r="J40" s="332">
        <f>+'10 Year Average'!A40</f>
        <v>38749</v>
      </c>
      <c r="K40" s="338">
        <f>+'10 Year Average'!B40</f>
        <v>101769990</v>
      </c>
      <c r="L40" s="334">
        <f>+'10 Year Average'!C40</f>
        <v>608.79999999999995</v>
      </c>
      <c r="M40" s="334">
        <f>+'10 Year Average'!D40</f>
        <v>0</v>
      </c>
      <c r="N40" s="335">
        <f>+'10 Year Average'!E40</f>
        <v>6.6000000000000003E-2</v>
      </c>
      <c r="O40" s="336">
        <f>+'10 Year Average'!F40</f>
        <v>28</v>
      </c>
      <c r="P40" s="336">
        <f>+'10 Year Average'!G40</f>
        <v>0</v>
      </c>
      <c r="Q40" s="337">
        <f>+'10 Year Average'!H40</f>
        <v>104583338.55138904</v>
      </c>
      <c r="S40" s="332">
        <f>+'20 Year Trend'!A40</f>
        <v>38749</v>
      </c>
      <c r="T40" s="338">
        <f>+'20 Year Trend'!B40</f>
        <v>101769990</v>
      </c>
      <c r="U40" s="334">
        <f>+'20 Year Trend'!C40</f>
        <v>608.79999999999995</v>
      </c>
      <c r="V40" s="334">
        <f>+'20 Year Trend'!D40</f>
        <v>0</v>
      </c>
      <c r="W40" s="335">
        <f>+'20 Year Trend'!E40</f>
        <v>6.6000000000000003E-2</v>
      </c>
      <c r="X40" s="336">
        <f>+'20 Year Trend'!F40</f>
        <v>28</v>
      </c>
      <c r="Y40" s="336">
        <f>+'20 Year Trend'!G40</f>
        <v>0</v>
      </c>
      <c r="Z40" s="337">
        <f>+'20 Year Trend'!H40</f>
        <v>104583338.55138904</v>
      </c>
    </row>
    <row r="41" spans="1:26">
      <c r="A41" s="332">
        <f>+'Purchased Power Model '!A41</f>
        <v>38777</v>
      </c>
      <c r="B41" s="338">
        <f>+'Purchased Power Model '!B41</f>
        <v>102729300</v>
      </c>
      <c r="C41" s="334">
        <f>+'Purchased Power Model '!C41</f>
        <v>534</v>
      </c>
      <c r="D41" s="334">
        <f>+'Purchased Power Model '!D41</f>
        <v>0</v>
      </c>
      <c r="E41" s="335">
        <f>+'Purchased Power Model '!E41</f>
        <v>6.6000000000000003E-2</v>
      </c>
      <c r="F41" s="336">
        <f>+'Purchased Power Model '!F41</f>
        <v>31</v>
      </c>
      <c r="G41" s="336">
        <f>+'Purchased Power Model '!G41</f>
        <v>1</v>
      </c>
      <c r="H41" s="337">
        <f>+'Purchased Power Model '!H41</f>
        <v>102854634.83483231</v>
      </c>
      <c r="J41" s="332">
        <f>+'10 Year Average'!A41</f>
        <v>38777</v>
      </c>
      <c r="K41" s="338">
        <f>+'10 Year Average'!B41</f>
        <v>102729300</v>
      </c>
      <c r="L41" s="334">
        <f>+'10 Year Average'!C41</f>
        <v>534</v>
      </c>
      <c r="M41" s="334">
        <f>+'10 Year Average'!D41</f>
        <v>0</v>
      </c>
      <c r="N41" s="335">
        <f>+'10 Year Average'!E41</f>
        <v>6.6000000000000003E-2</v>
      </c>
      <c r="O41" s="336">
        <f>+'10 Year Average'!F41</f>
        <v>31</v>
      </c>
      <c r="P41" s="336">
        <f>+'10 Year Average'!G41</f>
        <v>1</v>
      </c>
      <c r="Q41" s="337">
        <f>+'10 Year Average'!H41</f>
        <v>102854634.83483231</v>
      </c>
      <c r="S41" s="332">
        <f>+'20 Year Trend'!A41</f>
        <v>38777</v>
      </c>
      <c r="T41" s="338">
        <f>+'20 Year Trend'!B41</f>
        <v>102729300</v>
      </c>
      <c r="U41" s="334">
        <f>+'20 Year Trend'!C41</f>
        <v>534</v>
      </c>
      <c r="V41" s="334">
        <f>+'20 Year Trend'!D41</f>
        <v>0</v>
      </c>
      <c r="W41" s="335">
        <f>+'20 Year Trend'!E41</f>
        <v>6.6000000000000003E-2</v>
      </c>
      <c r="X41" s="336">
        <f>+'20 Year Trend'!F41</f>
        <v>31</v>
      </c>
      <c r="Y41" s="336">
        <f>+'20 Year Trend'!G41</f>
        <v>1</v>
      </c>
      <c r="Z41" s="337">
        <f>+'20 Year Trend'!H41</f>
        <v>102854634.83483231</v>
      </c>
    </row>
    <row r="42" spans="1:26">
      <c r="A42" s="332">
        <f>+'Purchased Power Model '!A42</f>
        <v>38808</v>
      </c>
      <c r="B42" s="338">
        <f>+'Purchased Power Model '!B42</f>
        <v>85245280</v>
      </c>
      <c r="C42" s="334">
        <f>+'Purchased Power Model '!C42</f>
        <v>323.60000000000002</v>
      </c>
      <c r="D42" s="334">
        <f>+'Purchased Power Model '!D42</f>
        <v>0</v>
      </c>
      <c r="E42" s="335">
        <f>+'Purchased Power Model '!E42</f>
        <v>6.5000000000000002E-2</v>
      </c>
      <c r="F42" s="336">
        <f>+'Purchased Power Model '!F42</f>
        <v>30</v>
      </c>
      <c r="G42" s="336">
        <f>+'Purchased Power Model '!G42</f>
        <v>1</v>
      </c>
      <c r="H42" s="337">
        <f>+'Purchased Power Model '!H42</f>
        <v>91700782.56498985</v>
      </c>
      <c r="J42" s="332">
        <f>+'10 Year Average'!A42</f>
        <v>38808</v>
      </c>
      <c r="K42" s="338">
        <f>+'10 Year Average'!B42</f>
        <v>85245280</v>
      </c>
      <c r="L42" s="334">
        <f>+'10 Year Average'!C42</f>
        <v>323.60000000000002</v>
      </c>
      <c r="M42" s="334">
        <f>+'10 Year Average'!D42</f>
        <v>0</v>
      </c>
      <c r="N42" s="335">
        <f>+'10 Year Average'!E42</f>
        <v>6.5000000000000002E-2</v>
      </c>
      <c r="O42" s="336">
        <f>+'10 Year Average'!F42</f>
        <v>30</v>
      </c>
      <c r="P42" s="336">
        <f>+'10 Year Average'!G42</f>
        <v>1</v>
      </c>
      <c r="Q42" s="337">
        <f>+'10 Year Average'!H42</f>
        <v>91700782.56498985</v>
      </c>
      <c r="S42" s="332">
        <f>+'20 Year Trend'!A42</f>
        <v>38808</v>
      </c>
      <c r="T42" s="338">
        <f>+'20 Year Trend'!B42</f>
        <v>85245280</v>
      </c>
      <c r="U42" s="334">
        <f>+'20 Year Trend'!C42</f>
        <v>323.60000000000002</v>
      </c>
      <c r="V42" s="334">
        <f>+'20 Year Trend'!D42</f>
        <v>0</v>
      </c>
      <c r="W42" s="335">
        <f>+'20 Year Trend'!E42</f>
        <v>6.5000000000000002E-2</v>
      </c>
      <c r="X42" s="336">
        <f>+'20 Year Trend'!F42</f>
        <v>30</v>
      </c>
      <c r="Y42" s="336">
        <f>+'20 Year Trend'!G42</f>
        <v>1</v>
      </c>
      <c r="Z42" s="337">
        <f>+'20 Year Trend'!H42</f>
        <v>91700782.56498985</v>
      </c>
    </row>
    <row r="43" spans="1:26">
      <c r="A43" s="332">
        <f>+'Purchased Power Model '!A43</f>
        <v>38838</v>
      </c>
      <c r="B43" s="338">
        <f>+'Purchased Power Model '!B43</f>
        <v>85191000</v>
      </c>
      <c r="C43" s="334">
        <f>+'Purchased Power Model '!C43</f>
        <v>172.6</v>
      </c>
      <c r="D43" s="334">
        <f>+'Purchased Power Model '!D43</f>
        <v>12.8</v>
      </c>
      <c r="E43" s="335">
        <f>+'Purchased Power Model '!E43</f>
        <v>6.5000000000000002E-2</v>
      </c>
      <c r="F43" s="336">
        <f>+'Purchased Power Model '!F43</f>
        <v>31</v>
      </c>
      <c r="G43" s="336">
        <f>+'Purchased Power Model '!G43</f>
        <v>1</v>
      </c>
      <c r="H43" s="337">
        <f>+'Purchased Power Model '!H43</f>
        <v>90269804.408226833</v>
      </c>
      <c r="J43" s="332">
        <f>+'10 Year Average'!A43</f>
        <v>38838</v>
      </c>
      <c r="K43" s="338">
        <f>+'10 Year Average'!B43</f>
        <v>85191000</v>
      </c>
      <c r="L43" s="334">
        <f>+'10 Year Average'!C43</f>
        <v>172.6</v>
      </c>
      <c r="M43" s="334">
        <f>+'10 Year Average'!D43</f>
        <v>12.8</v>
      </c>
      <c r="N43" s="335">
        <f>+'10 Year Average'!E43</f>
        <v>6.5000000000000002E-2</v>
      </c>
      <c r="O43" s="336">
        <f>+'10 Year Average'!F43</f>
        <v>31</v>
      </c>
      <c r="P43" s="336">
        <f>+'10 Year Average'!G43</f>
        <v>1</v>
      </c>
      <c r="Q43" s="337">
        <f>+'10 Year Average'!H43</f>
        <v>90269804.408226833</v>
      </c>
      <c r="S43" s="332">
        <f>+'20 Year Trend'!A43</f>
        <v>38838</v>
      </c>
      <c r="T43" s="338">
        <f>+'20 Year Trend'!B43</f>
        <v>85191000</v>
      </c>
      <c r="U43" s="334">
        <f>+'20 Year Trend'!C43</f>
        <v>172.6</v>
      </c>
      <c r="V43" s="334">
        <f>+'20 Year Trend'!D43</f>
        <v>12.8</v>
      </c>
      <c r="W43" s="335">
        <f>+'20 Year Trend'!E43</f>
        <v>6.5000000000000002E-2</v>
      </c>
      <c r="X43" s="336">
        <f>+'20 Year Trend'!F43</f>
        <v>31</v>
      </c>
      <c r="Y43" s="336">
        <f>+'20 Year Trend'!G43</f>
        <v>1</v>
      </c>
      <c r="Z43" s="337">
        <f>+'20 Year Trend'!H43</f>
        <v>90269804.408226833</v>
      </c>
    </row>
    <row r="44" spans="1:26">
      <c r="A44" s="332">
        <f>+'Purchased Power Model '!A44</f>
        <v>38869</v>
      </c>
      <c r="B44" s="338">
        <f>+'Purchased Power Model '!B44</f>
        <v>91808310</v>
      </c>
      <c r="C44" s="334">
        <f>+'Purchased Power Model '!C44</f>
        <v>22.6</v>
      </c>
      <c r="D44" s="334">
        <f>+'Purchased Power Model '!D44</f>
        <v>36.200000000000003</v>
      </c>
      <c r="E44" s="335">
        <f>+'Purchased Power Model '!E44</f>
        <v>6.5000000000000002E-2</v>
      </c>
      <c r="F44" s="336">
        <f>+'Purchased Power Model '!F44</f>
        <v>30</v>
      </c>
      <c r="G44" s="336">
        <f>+'Purchased Power Model '!G44</f>
        <v>0</v>
      </c>
      <c r="H44" s="337">
        <f>+'Purchased Power Model '!H44</f>
        <v>91927412.258475631</v>
      </c>
      <c r="J44" s="332">
        <f>+'10 Year Average'!A44</f>
        <v>38869</v>
      </c>
      <c r="K44" s="338">
        <f>+'10 Year Average'!B44</f>
        <v>91808310</v>
      </c>
      <c r="L44" s="334">
        <f>+'10 Year Average'!C44</f>
        <v>22.6</v>
      </c>
      <c r="M44" s="334">
        <f>+'10 Year Average'!D44</f>
        <v>36.200000000000003</v>
      </c>
      <c r="N44" s="335">
        <f>+'10 Year Average'!E44</f>
        <v>6.5000000000000002E-2</v>
      </c>
      <c r="O44" s="336">
        <f>+'10 Year Average'!F44</f>
        <v>30</v>
      </c>
      <c r="P44" s="336">
        <f>+'10 Year Average'!G44</f>
        <v>0</v>
      </c>
      <c r="Q44" s="337">
        <f>+'10 Year Average'!H44</f>
        <v>91927412.258475631</v>
      </c>
      <c r="S44" s="332">
        <f>+'20 Year Trend'!A44</f>
        <v>38869</v>
      </c>
      <c r="T44" s="338">
        <f>+'20 Year Trend'!B44</f>
        <v>91808310</v>
      </c>
      <c r="U44" s="334">
        <f>+'20 Year Trend'!C44</f>
        <v>22.6</v>
      </c>
      <c r="V44" s="334">
        <f>+'20 Year Trend'!D44</f>
        <v>36.200000000000003</v>
      </c>
      <c r="W44" s="335">
        <f>+'20 Year Trend'!E44</f>
        <v>6.5000000000000002E-2</v>
      </c>
      <c r="X44" s="336">
        <f>+'20 Year Trend'!F44</f>
        <v>30</v>
      </c>
      <c r="Y44" s="336">
        <f>+'20 Year Trend'!G44</f>
        <v>0</v>
      </c>
      <c r="Z44" s="337">
        <f>+'20 Year Trend'!H44</f>
        <v>91927412.258475631</v>
      </c>
    </row>
    <row r="45" spans="1:26">
      <c r="A45" s="332">
        <f>+'Purchased Power Model '!A45</f>
        <v>38899</v>
      </c>
      <c r="B45" s="338">
        <f>+'Purchased Power Model '!B45</f>
        <v>103610940</v>
      </c>
      <c r="C45" s="334">
        <f>+'Purchased Power Model '!C45</f>
        <v>1.7</v>
      </c>
      <c r="D45" s="334">
        <f>+'Purchased Power Model '!D45</f>
        <v>107.6</v>
      </c>
      <c r="E45" s="335">
        <f>+'Purchased Power Model '!E45</f>
        <v>6.7000000000000004E-2</v>
      </c>
      <c r="F45" s="336">
        <f>+'Purchased Power Model '!F45</f>
        <v>31</v>
      </c>
      <c r="G45" s="336">
        <f>+'Purchased Power Model '!G45</f>
        <v>0</v>
      </c>
      <c r="H45" s="337">
        <f>+'Purchased Power Model '!H45</f>
        <v>103692288.04967797</v>
      </c>
      <c r="J45" s="332">
        <f>+'10 Year Average'!A45</f>
        <v>38899</v>
      </c>
      <c r="K45" s="338">
        <f>+'10 Year Average'!B45</f>
        <v>103610940</v>
      </c>
      <c r="L45" s="334">
        <f>+'10 Year Average'!C45</f>
        <v>1.7</v>
      </c>
      <c r="M45" s="334">
        <f>+'10 Year Average'!D45</f>
        <v>107.6</v>
      </c>
      <c r="N45" s="335">
        <f>+'10 Year Average'!E45</f>
        <v>6.7000000000000004E-2</v>
      </c>
      <c r="O45" s="336">
        <f>+'10 Year Average'!F45</f>
        <v>31</v>
      </c>
      <c r="P45" s="336">
        <f>+'10 Year Average'!G45</f>
        <v>0</v>
      </c>
      <c r="Q45" s="337">
        <f>+'10 Year Average'!H45</f>
        <v>103692288.04967797</v>
      </c>
      <c r="S45" s="332">
        <f>+'20 Year Trend'!A45</f>
        <v>38899</v>
      </c>
      <c r="T45" s="338">
        <f>+'20 Year Trend'!B45</f>
        <v>103610940</v>
      </c>
      <c r="U45" s="334">
        <f>+'20 Year Trend'!C45</f>
        <v>1.7</v>
      </c>
      <c r="V45" s="334">
        <f>+'20 Year Trend'!D45</f>
        <v>107.6</v>
      </c>
      <c r="W45" s="335">
        <f>+'20 Year Trend'!E45</f>
        <v>6.7000000000000004E-2</v>
      </c>
      <c r="X45" s="336">
        <f>+'20 Year Trend'!F45</f>
        <v>31</v>
      </c>
      <c r="Y45" s="336">
        <f>+'20 Year Trend'!G45</f>
        <v>0</v>
      </c>
      <c r="Z45" s="337">
        <f>+'20 Year Trend'!H45</f>
        <v>103692288.04967797</v>
      </c>
    </row>
    <row r="46" spans="1:26">
      <c r="A46" s="332">
        <f>+'Purchased Power Model '!A46</f>
        <v>38930</v>
      </c>
      <c r="B46" s="338">
        <f>+'Purchased Power Model '!B46</f>
        <v>98252830</v>
      </c>
      <c r="C46" s="334">
        <f>+'Purchased Power Model '!C46</f>
        <v>4.4000000000000004</v>
      </c>
      <c r="D46" s="334">
        <f>+'Purchased Power Model '!D46</f>
        <v>82.1</v>
      </c>
      <c r="E46" s="335">
        <f>+'Purchased Power Model '!E46</f>
        <v>6.7000000000000004E-2</v>
      </c>
      <c r="F46" s="336">
        <f>+'Purchased Power Model '!F46</f>
        <v>31</v>
      </c>
      <c r="G46" s="336">
        <f>+'Purchased Power Model '!G46</f>
        <v>0</v>
      </c>
      <c r="H46" s="337">
        <f>+'Purchased Power Model '!H46</f>
        <v>100219497.77670158</v>
      </c>
      <c r="J46" s="332">
        <f>+'10 Year Average'!A46</f>
        <v>38930</v>
      </c>
      <c r="K46" s="338">
        <f>+'10 Year Average'!B46</f>
        <v>98252830</v>
      </c>
      <c r="L46" s="334">
        <f>+'10 Year Average'!C46</f>
        <v>4.4000000000000004</v>
      </c>
      <c r="M46" s="334">
        <f>+'10 Year Average'!D46</f>
        <v>82.1</v>
      </c>
      <c r="N46" s="335">
        <f>+'10 Year Average'!E46</f>
        <v>6.7000000000000004E-2</v>
      </c>
      <c r="O46" s="336">
        <f>+'10 Year Average'!F46</f>
        <v>31</v>
      </c>
      <c r="P46" s="336">
        <f>+'10 Year Average'!G46</f>
        <v>0</v>
      </c>
      <c r="Q46" s="337">
        <f>+'10 Year Average'!H46</f>
        <v>100219497.77670158</v>
      </c>
      <c r="S46" s="332">
        <f>+'20 Year Trend'!A46</f>
        <v>38930</v>
      </c>
      <c r="T46" s="338">
        <f>+'20 Year Trend'!B46</f>
        <v>98252830</v>
      </c>
      <c r="U46" s="334">
        <f>+'20 Year Trend'!C46</f>
        <v>4.4000000000000004</v>
      </c>
      <c r="V46" s="334">
        <f>+'20 Year Trend'!D46</f>
        <v>82.1</v>
      </c>
      <c r="W46" s="335">
        <f>+'20 Year Trend'!E46</f>
        <v>6.7000000000000004E-2</v>
      </c>
      <c r="X46" s="336">
        <f>+'20 Year Trend'!F46</f>
        <v>31</v>
      </c>
      <c r="Y46" s="336">
        <f>+'20 Year Trend'!G46</f>
        <v>0</v>
      </c>
      <c r="Z46" s="337">
        <f>+'20 Year Trend'!H46</f>
        <v>100219497.77670158</v>
      </c>
    </row>
    <row r="47" spans="1:26">
      <c r="A47" s="332">
        <f>+'Purchased Power Model '!A47</f>
        <v>38961</v>
      </c>
      <c r="B47" s="338">
        <f>+'Purchased Power Model '!B47</f>
        <v>83090470</v>
      </c>
      <c r="C47" s="334">
        <f>+'Purchased Power Model '!C47</f>
        <v>70.7</v>
      </c>
      <c r="D47" s="334">
        <f>+'Purchased Power Model '!D47</f>
        <v>5.0999999999999996</v>
      </c>
      <c r="E47" s="335">
        <f>+'Purchased Power Model '!E47</f>
        <v>6.7000000000000004E-2</v>
      </c>
      <c r="F47" s="336">
        <f>+'Purchased Power Model '!F47</f>
        <v>30</v>
      </c>
      <c r="G47" s="336">
        <f>+'Purchased Power Model '!G47</f>
        <v>1</v>
      </c>
      <c r="H47" s="337">
        <f>+'Purchased Power Model '!H47</f>
        <v>82004454.566610441</v>
      </c>
      <c r="J47" s="332">
        <f>+'10 Year Average'!A47</f>
        <v>38961</v>
      </c>
      <c r="K47" s="338">
        <f>+'10 Year Average'!B47</f>
        <v>83090470</v>
      </c>
      <c r="L47" s="334">
        <f>+'10 Year Average'!C47</f>
        <v>70.7</v>
      </c>
      <c r="M47" s="334">
        <f>+'10 Year Average'!D47</f>
        <v>5.0999999999999996</v>
      </c>
      <c r="N47" s="335">
        <f>+'10 Year Average'!E47</f>
        <v>6.7000000000000004E-2</v>
      </c>
      <c r="O47" s="336">
        <f>+'10 Year Average'!F47</f>
        <v>30</v>
      </c>
      <c r="P47" s="336">
        <f>+'10 Year Average'!G47</f>
        <v>1</v>
      </c>
      <c r="Q47" s="337">
        <f>+'10 Year Average'!H47</f>
        <v>82004454.566610441</v>
      </c>
      <c r="S47" s="332">
        <f>+'20 Year Trend'!A47</f>
        <v>38961</v>
      </c>
      <c r="T47" s="338">
        <f>+'20 Year Trend'!B47</f>
        <v>83090470</v>
      </c>
      <c r="U47" s="334">
        <f>+'20 Year Trend'!C47</f>
        <v>70.7</v>
      </c>
      <c r="V47" s="334">
        <f>+'20 Year Trend'!D47</f>
        <v>5.0999999999999996</v>
      </c>
      <c r="W47" s="335">
        <f>+'20 Year Trend'!E47</f>
        <v>6.7000000000000004E-2</v>
      </c>
      <c r="X47" s="336">
        <f>+'20 Year Trend'!F47</f>
        <v>30</v>
      </c>
      <c r="Y47" s="336">
        <f>+'20 Year Trend'!G47</f>
        <v>1</v>
      </c>
      <c r="Z47" s="337">
        <f>+'20 Year Trend'!H47</f>
        <v>82004454.566610441</v>
      </c>
    </row>
    <row r="48" spans="1:26">
      <c r="A48" s="332">
        <f>+'Purchased Power Model '!A48</f>
        <v>38991</v>
      </c>
      <c r="B48" s="338">
        <f>+'Purchased Power Model '!B48</f>
        <v>90859410</v>
      </c>
      <c r="C48" s="334">
        <f>+'Purchased Power Model '!C48</f>
        <v>274.60000000000002</v>
      </c>
      <c r="D48" s="334">
        <f>+'Purchased Power Model '!D48</f>
        <v>0</v>
      </c>
      <c r="E48" s="335">
        <f>+'Purchased Power Model '!E48</f>
        <v>6.8000000000000005E-2</v>
      </c>
      <c r="F48" s="336">
        <f>+'Purchased Power Model '!F48</f>
        <v>31</v>
      </c>
      <c r="G48" s="336">
        <f>+'Purchased Power Model '!G48</f>
        <v>1</v>
      </c>
      <c r="H48" s="337">
        <f>+'Purchased Power Model '!H48</f>
        <v>92181070.252090648</v>
      </c>
      <c r="J48" s="332">
        <f>+'10 Year Average'!A48</f>
        <v>38991</v>
      </c>
      <c r="K48" s="338">
        <f>+'10 Year Average'!B48</f>
        <v>90859410</v>
      </c>
      <c r="L48" s="334">
        <f>+'10 Year Average'!C48</f>
        <v>274.60000000000002</v>
      </c>
      <c r="M48" s="334">
        <f>+'10 Year Average'!D48</f>
        <v>0</v>
      </c>
      <c r="N48" s="335">
        <f>+'10 Year Average'!E48</f>
        <v>6.8000000000000005E-2</v>
      </c>
      <c r="O48" s="336">
        <f>+'10 Year Average'!F48</f>
        <v>31</v>
      </c>
      <c r="P48" s="336">
        <f>+'10 Year Average'!G48</f>
        <v>1</v>
      </c>
      <c r="Q48" s="337">
        <f>+'10 Year Average'!H48</f>
        <v>92181070.252090648</v>
      </c>
      <c r="S48" s="332">
        <f>+'20 Year Trend'!A48</f>
        <v>38991</v>
      </c>
      <c r="T48" s="338">
        <f>+'20 Year Trend'!B48</f>
        <v>90859410</v>
      </c>
      <c r="U48" s="334">
        <f>+'20 Year Trend'!C48</f>
        <v>274.60000000000002</v>
      </c>
      <c r="V48" s="334">
        <f>+'20 Year Trend'!D48</f>
        <v>0</v>
      </c>
      <c r="W48" s="335">
        <f>+'20 Year Trend'!E48</f>
        <v>6.8000000000000005E-2</v>
      </c>
      <c r="X48" s="336">
        <f>+'20 Year Trend'!F48</f>
        <v>31</v>
      </c>
      <c r="Y48" s="336">
        <f>+'20 Year Trend'!G48</f>
        <v>1</v>
      </c>
      <c r="Z48" s="337">
        <f>+'20 Year Trend'!H48</f>
        <v>92181070.252090648</v>
      </c>
    </row>
    <row r="49" spans="1:26">
      <c r="A49" s="332">
        <f>+'Purchased Power Model '!A49</f>
        <v>39022</v>
      </c>
      <c r="B49" s="338">
        <f>+'Purchased Power Model '!B49</f>
        <v>95117460</v>
      </c>
      <c r="C49" s="334">
        <f>+'Purchased Power Model '!C49</f>
        <v>367.5</v>
      </c>
      <c r="D49" s="334">
        <f>+'Purchased Power Model '!D49</f>
        <v>0</v>
      </c>
      <c r="E49" s="335">
        <f>+'Purchased Power Model '!E49</f>
        <v>6.8000000000000005E-2</v>
      </c>
      <c r="F49" s="336">
        <f>+'Purchased Power Model '!F49</f>
        <v>30</v>
      </c>
      <c r="G49" s="336">
        <f>+'Purchased Power Model '!G49</f>
        <v>1</v>
      </c>
      <c r="H49" s="337">
        <f>+'Purchased Power Model '!H49</f>
        <v>93076771.399556279</v>
      </c>
      <c r="J49" s="332">
        <f>+'10 Year Average'!A49</f>
        <v>39022</v>
      </c>
      <c r="K49" s="338">
        <f>+'10 Year Average'!B49</f>
        <v>95117460</v>
      </c>
      <c r="L49" s="334">
        <f>+'10 Year Average'!C49</f>
        <v>367.5</v>
      </c>
      <c r="M49" s="334">
        <f>+'10 Year Average'!D49</f>
        <v>0</v>
      </c>
      <c r="N49" s="335">
        <f>+'10 Year Average'!E49</f>
        <v>6.8000000000000005E-2</v>
      </c>
      <c r="O49" s="336">
        <f>+'10 Year Average'!F49</f>
        <v>30</v>
      </c>
      <c r="P49" s="336">
        <f>+'10 Year Average'!G49</f>
        <v>1</v>
      </c>
      <c r="Q49" s="337">
        <f>+'10 Year Average'!H49</f>
        <v>93076771.399556279</v>
      </c>
      <c r="S49" s="332">
        <f>+'20 Year Trend'!A49</f>
        <v>39022</v>
      </c>
      <c r="T49" s="338">
        <f>+'20 Year Trend'!B49</f>
        <v>95117460</v>
      </c>
      <c r="U49" s="334">
        <f>+'20 Year Trend'!C49</f>
        <v>367.5</v>
      </c>
      <c r="V49" s="334">
        <f>+'20 Year Trend'!D49</f>
        <v>0</v>
      </c>
      <c r="W49" s="335">
        <f>+'20 Year Trend'!E49</f>
        <v>6.8000000000000005E-2</v>
      </c>
      <c r="X49" s="336">
        <f>+'20 Year Trend'!F49</f>
        <v>30</v>
      </c>
      <c r="Y49" s="336">
        <f>+'20 Year Trend'!G49</f>
        <v>1</v>
      </c>
      <c r="Z49" s="337">
        <f>+'20 Year Trend'!H49</f>
        <v>93076771.399556279</v>
      </c>
    </row>
    <row r="50" spans="1:26">
      <c r="A50" s="332">
        <f>+'Purchased Power Model '!A50</f>
        <v>39052</v>
      </c>
      <c r="B50" s="338">
        <f>+'Purchased Power Model '!B50</f>
        <v>105098960</v>
      </c>
      <c r="C50" s="334">
        <f>+'Purchased Power Model '!C50</f>
        <v>471.5</v>
      </c>
      <c r="D50" s="334">
        <f>+'Purchased Power Model '!D50</f>
        <v>0</v>
      </c>
      <c r="E50" s="335">
        <f>+'Purchased Power Model '!E50</f>
        <v>6.8000000000000005E-2</v>
      </c>
      <c r="F50" s="336">
        <f>+'Purchased Power Model '!F50</f>
        <v>31</v>
      </c>
      <c r="G50" s="336">
        <f>+'Purchased Power Model '!G50</f>
        <v>0</v>
      </c>
      <c r="H50" s="337">
        <f>+'Purchased Power Model '!H50</f>
        <v>107316073.18684751</v>
      </c>
      <c r="J50" s="332">
        <f>+'10 Year Average'!A50</f>
        <v>39052</v>
      </c>
      <c r="K50" s="338">
        <f>+'10 Year Average'!B50</f>
        <v>105098960</v>
      </c>
      <c r="L50" s="334">
        <f>+'10 Year Average'!C50</f>
        <v>471.5</v>
      </c>
      <c r="M50" s="334">
        <f>+'10 Year Average'!D50</f>
        <v>0</v>
      </c>
      <c r="N50" s="335">
        <f>+'10 Year Average'!E50</f>
        <v>6.8000000000000005E-2</v>
      </c>
      <c r="O50" s="336">
        <f>+'10 Year Average'!F50</f>
        <v>31</v>
      </c>
      <c r="P50" s="336">
        <f>+'10 Year Average'!G50</f>
        <v>0</v>
      </c>
      <c r="Q50" s="337">
        <f>+'10 Year Average'!H50</f>
        <v>107316073.18684751</v>
      </c>
      <c r="S50" s="332">
        <f>+'20 Year Trend'!A50</f>
        <v>39052</v>
      </c>
      <c r="T50" s="338">
        <f>+'20 Year Trend'!B50</f>
        <v>105098960</v>
      </c>
      <c r="U50" s="334">
        <f>+'20 Year Trend'!C50</f>
        <v>471.5</v>
      </c>
      <c r="V50" s="334">
        <f>+'20 Year Trend'!D50</f>
        <v>0</v>
      </c>
      <c r="W50" s="335">
        <f>+'20 Year Trend'!E50</f>
        <v>6.8000000000000005E-2</v>
      </c>
      <c r="X50" s="336">
        <f>+'20 Year Trend'!F50</f>
        <v>31</v>
      </c>
      <c r="Y50" s="336">
        <f>+'20 Year Trend'!G50</f>
        <v>0</v>
      </c>
      <c r="Z50" s="337">
        <f>+'20 Year Trend'!H50</f>
        <v>107316073.18684751</v>
      </c>
    </row>
    <row r="51" spans="1:26">
      <c r="A51" s="332">
        <f>+'Purchased Power Model '!A51</f>
        <v>39083</v>
      </c>
      <c r="B51" s="338">
        <f>+'Purchased Power Model '!B51</f>
        <v>112093789.99999999</v>
      </c>
      <c r="C51" s="334">
        <f>+'Purchased Power Model '!C51</f>
        <v>573.1</v>
      </c>
      <c r="D51" s="334">
        <f>+'Purchased Power Model '!D51</f>
        <v>0</v>
      </c>
      <c r="E51" s="335">
        <f>+'Purchased Power Model '!E51</f>
        <v>6.0999999999999999E-2</v>
      </c>
      <c r="F51" s="336">
        <f>+'Purchased Power Model '!F51</f>
        <v>31</v>
      </c>
      <c r="G51" s="336">
        <f>+'Purchased Power Model '!G51</f>
        <v>0</v>
      </c>
      <c r="H51" s="337">
        <f>+'Purchased Power Model '!H51</f>
        <v>112298023.86406963</v>
      </c>
      <c r="J51" s="332">
        <f>+'10 Year Average'!A51</f>
        <v>39083</v>
      </c>
      <c r="K51" s="338">
        <f>+'10 Year Average'!B51</f>
        <v>112093789.99999999</v>
      </c>
      <c r="L51" s="334">
        <f>+'10 Year Average'!C51</f>
        <v>573.1</v>
      </c>
      <c r="M51" s="334">
        <f>+'10 Year Average'!D51</f>
        <v>0</v>
      </c>
      <c r="N51" s="335">
        <f>+'10 Year Average'!E51</f>
        <v>6.0999999999999999E-2</v>
      </c>
      <c r="O51" s="336">
        <f>+'10 Year Average'!F51</f>
        <v>31</v>
      </c>
      <c r="P51" s="336">
        <f>+'10 Year Average'!G51</f>
        <v>0</v>
      </c>
      <c r="Q51" s="337">
        <f>+'10 Year Average'!H51</f>
        <v>112298023.86406963</v>
      </c>
      <c r="S51" s="332">
        <f>+'20 Year Trend'!A51</f>
        <v>39083</v>
      </c>
      <c r="T51" s="338">
        <f>+'20 Year Trend'!B51</f>
        <v>112093789.99999999</v>
      </c>
      <c r="U51" s="334">
        <f>+'20 Year Trend'!C51</f>
        <v>573.1</v>
      </c>
      <c r="V51" s="334">
        <f>+'20 Year Trend'!D51</f>
        <v>0</v>
      </c>
      <c r="W51" s="335">
        <f>+'20 Year Trend'!E51</f>
        <v>6.0999999999999999E-2</v>
      </c>
      <c r="X51" s="336">
        <f>+'20 Year Trend'!F51</f>
        <v>31</v>
      </c>
      <c r="Y51" s="336">
        <f>+'20 Year Trend'!G51</f>
        <v>0</v>
      </c>
      <c r="Z51" s="337">
        <f>+'20 Year Trend'!H51</f>
        <v>112298023.86406963</v>
      </c>
    </row>
    <row r="52" spans="1:26">
      <c r="A52" s="332">
        <f>+'Purchased Power Model '!A52</f>
        <v>39114</v>
      </c>
      <c r="B52" s="338">
        <f>+'Purchased Power Model '!B52</f>
        <v>109302770</v>
      </c>
      <c r="C52" s="334">
        <f>+'Purchased Power Model '!C52</f>
        <v>693.5</v>
      </c>
      <c r="D52" s="334">
        <f>+'Purchased Power Model '!D52</f>
        <v>0</v>
      </c>
      <c r="E52" s="335">
        <f>+'Purchased Power Model '!E52</f>
        <v>6.0999999999999999E-2</v>
      </c>
      <c r="F52" s="336">
        <f>+'Purchased Power Model '!F52</f>
        <v>28</v>
      </c>
      <c r="G52" s="336">
        <f>+'Purchased Power Model '!G52</f>
        <v>0</v>
      </c>
      <c r="H52" s="337">
        <f>+'Purchased Power Model '!H52</f>
        <v>108628875.70673472</v>
      </c>
      <c r="J52" s="332">
        <f>+'10 Year Average'!A52</f>
        <v>39114</v>
      </c>
      <c r="K52" s="338">
        <f>+'10 Year Average'!B52</f>
        <v>109302770</v>
      </c>
      <c r="L52" s="334">
        <f>+'10 Year Average'!C52</f>
        <v>693.5</v>
      </c>
      <c r="M52" s="334">
        <f>+'10 Year Average'!D52</f>
        <v>0</v>
      </c>
      <c r="N52" s="335">
        <f>+'10 Year Average'!E52</f>
        <v>6.0999999999999999E-2</v>
      </c>
      <c r="O52" s="336">
        <f>+'10 Year Average'!F52</f>
        <v>28</v>
      </c>
      <c r="P52" s="336">
        <f>+'10 Year Average'!G52</f>
        <v>0</v>
      </c>
      <c r="Q52" s="337">
        <f>+'10 Year Average'!H52</f>
        <v>108628875.70673472</v>
      </c>
      <c r="S52" s="332">
        <f>+'20 Year Trend'!A52</f>
        <v>39114</v>
      </c>
      <c r="T52" s="338">
        <f>+'20 Year Trend'!B52</f>
        <v>109302770</v>
      </c>
      <c r="U52" s="334">
        <f>+'20 Year Trend'!C52</f>
        <v>693.5</v>
      </c>
      <c r="V52" s="334">
        <f>+'20 Year Trend'!D52</f>
        <v>0</v>
      </c>
      <c r="W52" s="335">
        <f>+'20 Year Trend'!E52</f>
        <v>6.0999999999999999E-2</v>
      </c>
      <c r="X52" s="336">
        <f>+'20 Year Trend'!F52</f>
        <v>28</v>
      </c>
      <c r="Y52" s="336">
        <f>+'20 Year Trend'!G52</f>
        <v>0</v>
      </c>
      <c r="Z52" s="337">
        <f>+'20 Year Trend'!H52</f>
        <v>108628875.70673472</v>
      </c>
    </row>
    <row r="53" spans="1:26">
      <c r="A53" s="332">
        <f>+'Purchased Power Model '!A53</f>
        <v>39142</v>
      </c>
      <c r="B53" s="338">
        <f>+'Purchased Power Model '!B53</f>
        <v>106781890</v>
      </c>
      <c r="C53" s="334">
        <f>+'Purchased Power Model '!C53</f>
        <v>477.9</v>
      </c>
      <c r="D53" s="334">
        <f>+'Purchased Power Model '!D53</f>
        <v>0</v>
      </c>
      <c r="E53" s="335">
        <f>+'Purchased Power Model '!E53</f>
        <v>6.0999999999999999E-2</v>
      </c>
      <c r="F53" s="336">
        <f>+'Purchased Power Model '!F53</f>
        <v>31</v>
      </c>
      <c r="G53" s="336">
        <f>+'Purchased Power Model '!G53</f>
        <v>1</v>
      </c>
      <c r="H53" s="337">
        <f>+'Purchased Power Model '!H53</f>
        <v>101246601.3948385</v>
      </c>
      <c r="J53" s="332">
        <f>+'10 Year Average'!A53</f>
        <v>39142</v>
      </c>
      <c r="K53" s="338">
        <f>+'10 Year Average'!B53</f>
        <v>106781890</v>
      </c>
      <c r="L53" s="334">
        <f>+'10 Year Average'!C53</f>
        <v>477.9</v>
      </c>
      <c r="M53" s="334">
        <f>+'10 Year Average'!D53</f>
        <v>0</v>
      </c>
      <c r="N53" s="335">
        <f>+'10 Year Average'!E53</f>
        <v>6.0999999999999999E-2</v>
      </c>
      <c r="O53" s="336">
        <f>+'10 Year Average'!F53</f>
        <v>31</v>
      </c>
      <c r="P53" s="336">
        <f>+'10 Year Average'!G53</f>
        <v>1</v>
      </c>
      <c r="Q53" s="337">
        <f>+'10 Year Average'!H53</f>
        <v>101246601.3948385</v>
      </c>
      <c r="S53" s="332">
        <f>+'20 Year Trend'!A53</f>
        <v>39142</v>
      </c>
      <c r="T53" s="338">
        <f>+'20 Year Trend'!B53</f>
        <v>106781890</v>
      </c>
      <c r="U53" s="334">
        <f>+'20 Year Trend'!C53</f>
        <v>477.9</v>
      </c>
      <c r="V53" s="334">
        <f>+'20 Year Trend'!D53</f>
        <v>0</v>
      </c>
      <c r="W53" s="335">
        <f>+'20 Year Trend'!E53</f>
        <v>6.0999999999999999E-2</v>
      </c>
      <c r="X53" s="336">
        <f>+'20 Year Trend'!F53</f>
        <v>31</v>
      </c>
      <c r="Y53" s="336">
        <f>+'20 Year Trend'!G53</f>
        <v>1</v>
      </c>
      <c r="Z53" s="337">
        <f>+'20 Year Trend'!H53</f>
        <v>101246601.3948385</v>
      </c>
    </row>
    <row r="54" spans="1:26">
      <c r="A54" s="332">
        <f>+'Purchased Power Model '!A54</f>
        <v>39173</v>
      </c>
      <c r="B54" s="338">
        <f>+'Purchased Power Model '!B54</f>
        <v>92267850</v>
      </c>
      <c r="C54" s="334">
        <f>+'Purchased Power Model '!C54</f>
        <v>280.39999999999998</v>
      </c>
      <c r="D54" s="334">
        <f>+'Purchased Power Model '!D54</f>
        <v>0</v>
      </c>
      <c r="E54" s="335">
        <f>+'Purchased Power Model '!E54</f>
        <v>0.06</v>
      </c>
      <c r="F54" s="336">
        <f>+'Purchased Power Model '!F54</f>
        <v>30</v>
      </c>
      <c r="G54" s="336">
        <f>+'Purchased Power Model '!G54</f>
        <v>1</v>
      </c>
      <c r="H54" s="337">
        <f>+'Purchased Power Model '!H54</f>
        <v>90610725.408233821</v>
      </c>
      <c r="J54" s="332">
        <f>+'10 Year Average'!A54</f>
        <v>39173</v>
      </c>
      <c r="K54" s="338">
        <f>+'10 Year Average'!B54</f>
        <v>92267850</v>
      </c>
      <c r="L54" s="334">
        <f>+'10 Year Average'!C54</f>
        <v>280.39999999999998</v>
      </c>
      <c r="M54" s="334">
        <f>+'10 Year Average'!D54</f>
        <v>0</v>
      </c>
      <c r="N54" s="335">
        <f>+'10 Year Average'!E54</f>
        <v>0.06</v>
      </c>
      <c r="O54" s="336">
        <f>+'10 Year Average'!F54</f>
        <v>30</v>
      </c>
      <c r="P54" s="336">
        <f>+'10 Year Average'!G54</f>
        <v>1</v>
      </c>
      <c r="Q54" s="337">
        <f>+'10 Year Average'!H54</f>
        <v>90610725.408233821</v>
      </c>
      <c r="S54" s="332">
        <f>+'20 Year Trend'!A54</f>
        <v>39173</v>
      </c>
      <c r="T54" s="338">
        <f>+'20 Year Trend'!B54</f>
        <v>92267850</v>
      </c>
      <c r="U54" s="334">
        <f>+'20 Year Trend'!C54</f>
        <v>280.39999999999998</v>
      </c>
      <c r="V54" s="334">
        <f>+'20 Year Trend'!D54</f>
        <v>0</v>
      </c>
      <c r="W54" s="335">
        <f>+'20 Year Trend'!E54</f>
        <v>0.06</v>
      </c>
      <c r="X54" s="336">
        <f>+'20 Year Trend'!F54</f>
        <v>30</v>
      </c>
      <c r="Y54" s="336">
        <f>+'20 Year Trend'!G54</f>
        <v>1</v>
      </c>
      <c r="Z54" s="337">
        <f>+'20 Year Trend'!H54</f>
        <v>90610725.408233821</v>
      </c>
    </row>
    <row r="55" spans="1:26">
      <c r="A55" s="332">
        <f>+'Purchased Power Model '!A55</f>
        <v>39203</v>
      </c>
      <c r="B55" s="338">
        <f>+'Purchased Power Model '!B55</f>
        <v>86029130</v>
      </c>
      <c r="C55" s="334">
        <f>+'Purchased Power Model '!C55</f>
        <v>72.8</v>
      </c>
      <c r="D55" s="334">
        <f>+'Purchased Power Model '!D55</f>
        <v>4.5</v>
      </c>
      <c r="E55" s="335">
        <f>+'Purchased Power Model '!E55</f>
        <v>0.06</v>
      </c>
      <c r="F55" s="336">
        <f>+'Purchased Power Model '!F55</f>
        <v>31</v>
      </c>
      <c r="G55" s="336">
        <f>+'Purchased Power Model '!G55</f>
        <v>1</v>
      </c>
      <c r="H55" s="337">
        <f>+'Purchased Power Model '!H55</f>
        <v>85741429.353212655</v>
      </c>
      <c r="J55" s="332">
        <f>+'10 Year Average'!A55</f>
        <v>39203</v>
      </c>
      <c r="K55" s="338">
        <f>+'10 Year Average'!B55</f>
        <v>86029130</v>
      </c>
      <c r="L55" s="334">
        <f>+'10 Year Average'!C55</f>
        <v>72.8</v>
      </c>
      <c r="M55" s="334">
        <f>+'10 Year Average'!D55</f>
        <v>4.5</v>
      </c>
      <c r="N55" s="335">
        <f>+'10 Year Average'!E55</f>
        <v>0.06</v>
      </c>
      <c r="O55" s="336">
        <f>+'10 Year Average'!F55</f>
        <v>31</v>
      </c>
      <c r="P55" s="336">
        <f>+'10 Year Average'!G55</f>
        <v>1</v>
      </c>
      <c r="Q55" s="337">
        <f>+'10 Year Average'!H55</f>
        <v>85741429.353212655</v>
      </c>
      <c r="S55" s="332">
        <f>+'20 Year Trend'!A55</f>
        <v>39203</v>
      </c>
      <c r="T55" s="338">
        <f>+'20 Year Trend'!B55</f>
        <v>86029130</v>
      </c>
      <c r="U55" s="334">
        <f>+'20 Year Trend'!C55</f>
        <v>72.8</v>
      </c>
      <c r="V55" s="334">
        <f>+'20 Year Trend'!D55</f>
        <v>4.5</v>
      </c>
      <c r="W55" s="335">
        <f>+'20 Year Trend'!E55</f>
        <v>0.06</v>
      </c>
      <c r="X55" s="336">
        <f>+'20 Year Trend'!F55</f>
        <v>31</v>
      </c>
      <c r="Y55" s="336">
        <f>+'20 Year Trend'!G55</f>
        <v>1</v>
      </c>
      <c r="Z55" s="337">
        <f>+'20 Year Trend'!H55</f>
        <v>85741429.353212655</v>
      </c>
    </row>
    <row r="56" spans="1:26">
      <c r="A56" s="332">
        <f>+'Purchased Power Model '!A56</f>
        <v>39234</v>
      </c>
      <c r="B56" s="338">
        <f>+'Purchased Power Model '!B56</f>
        <v>96829929.999999985</v>
      </c>
      <c r="C56" s="334">
        <f>+'Purchased Power Model '!C56</f>
        <v>6.2</v>
      </c>
      <c r="D56" s="334">
        <f>+'Purchased Power Model '!D56</f>
        <v>32.799999999999997</v>
      </c>
      <c r="E56" s="335">
        <f>+'Purchased Power Model '!E56</f>
        <v>0.06</v>
      </c>
      <c r="F56" s="336">
        <f>+'Purchased Power Model '!F56</f>
        <v>30</v>
      </c>
      <c r="G56" s="336">
        <f>+'Purchased Power Model '!G56</f>
        <v>0</v>
      </c>
      <c r="H56" s="337">
        <f>+'Purchased Power Model '!H56</f>
        <v>91435967.013292283</v>
      </c>
      <c r="J56" s="332">
        <f>+'10 Year Average'!A56</f>
        <v>39234</v>
      </c>
      <c r="K56" s="338">
        <f>+'10 Year Average'!B56</f>
        <v>96829929.999999985</v>
      </c>
      <c r="L56" s="334">
        <f>+'10 Year Average'!C56</f>
        <v>6.2</v>
      </c>
      <c r="M56" s="334">
        <f>+'10 Year Average'!D56</f>
        <v>32.799999999999997</v>
      </c>
      <c r="N56" s="335">
        <f>+'10 Year Average'!E56</f>
        <v>0.06</v>
      </c>
      <c r="O56" s="336">
        <f>+'10 Year Average'!F56</f>
        <v>30</v>
      </c>
      <c r="P56" s="336">
        <f>+'10 Year Average'!G56</f>
        <v>0</v>
      </c>
      <c r="Q56" s="337">
        <f>+'10 Year Average'!H56</f>
        <v>91435967.013292283</v>
      </c>
      <c r="S56" s="332">
        <f>+'20 Year Trend'!A56</f>
        <v>39234</v>
      </c>
      <c r="T56" s="338">
        <f>+'20 Year Trend'!B56</f>
        <v>96829929.999999985</v>
      </c>
      <c r="U56" s="334">
        <f>+'20 Year Trend'!C56</f>
        <v>6.2</v>
      </c>
      <c r="V56" s="334">
        <f>+'20 Year Trend'!D56</f>
        <v>32.799999999999997</v>
      </c>
      <c r="W56" s="335">
        <f>+'20 Year Trend'!E56</f>
        <v>0.06</v>
      </c>
      <c r="X56" s="336">
        <f>+'20 Year Trend'!F56</f>
        <v>30</v>
      </c>
      <c r="Y56" s="336">
        <f>+'20 Year Trend'!G56</f>
        <v>0</v>
      </c>
      <c r="Z56" s="337">
        <f>+'20 Year Trend'!H56</f>
        <v>91435967.013292283</v>
      </c>
    </row>
    <row r="57" spans="1:26">
      <c r="A57" s="332">
        <f>+'Purchased Power Model '!A57</f>
        <v>39264</v>
      </c>
      <c r="B57" s="338">
        <f>+'Purchased Power Model '!B57</f>
        <v>96919610</v>
      </c>
      <c r="C57" s="334">
        <f>+'Purchased Power Model '!C57</f>
        <v>8.6999999999999993</v>
      </c>
      <c r="D57" s="334">
        <f>+'Purchased Power Model '!D57</f>
        <v>41.6</v>
      </c>
      <c r="E57" s="335">
        <f>+'Purchased Power Model '!E57</f>
        <v>6.5000000000000002E-2</v>
      </c>
      <c r="F57" s="336">
        <f>+'Purchased Power Model '!F57</f>
        <v>31</v>
      </c>
      <c r="G57" s="336">
        <f>+'Purchased Power Model '!G57</f>
        <v>0</v>
      </c>
      <c r="H57" s="337">
        <f>+'Purchased Power Model '!H57</f>
        <v>94962186.524317935</v>
      </c>
      <c r="J57" s="332">
        <f>+'10 Year Average'!A57</f>
        <v>39264</v>
      </c>
      <c r="K57" s="338">
        <f>+'10 Year Average'!B57</f>
        <v>96919610</v>
      </c>
      <c r="L57" s="334">
        <f>+'10 Year Average'!C57</f>
        <v>8.6999999999999993</v>
      </c>
      <c r="M57" s="334">
        <f>+'10 Year Average'!D57</f>
        <v>41.6</v>
      </c>
      <c r="N57" s="335">
        <f>+'10 Year Average'!E57</f>
        <v>6.5000000000000002E-2</v>
      </c>
      <c r="O57" s="336">
        <f>+'10 Year Average'!F57</f>
        <v>31</v>
      </c>
      <c r="P57" s="336">
        <f>+'10 Year Average'!G57</f>
        <v>0</v>
      </c>
      <c r="Q57" s="337">
        <f>+'10 Year Average'!H57</f>
        <v>94962186.524317935</v>
      </c>
      <c r="S57" s="332">
        <f>+'20 Year Trend'!A57</f>
        <v>39264</v>
      </c>
      <c r="T57" s="338">
        <f>+'20 Year Trend'!B57</f>
        <v>96919610</v>
      </c>
      <c r="U57" s="334">
        <f>+'20 Year Trend'!C57</f>
        <v>8.6999999999999993</v>
      </c>
      <c r="V57" s="334">
        <f>+'20 Year Trend'!D57</f>
        <v>41.6</v>
      </c>
      <c r="W57" s="335">
        <f>+'20 Year Trend'!E57</f>
        <v>6.5000000000000002E-2</v>
      </c>
      <c r="X57" s="336">
        <f>+'20 Year Trend'!F57</f>
        <v>31</v>
      </c>
      <c r="Y57" s="336">
        <f>+'20 Year Trend'!G57</f>
        <v>0</v>
      </c>
      <c r="Z57" s="337">
        <f>+'20 Year Trend'!H57</f>
        <v>94962186.524317935</v>
      </c>
    </row>
    <row r="58" spans="1:26">
      <c r="A58" s="332">
        <f>+'Purchased Power Model '!A58</f>
        <v>39295</v>
      </c>
      <c r="B58" s="338">
        <f>+'Purchased Power Model '!B58</f>
        <v>103644560</v>
      </c>
      <c r="C58" s="334">
        <f>+'Purchased Power Model '!C58</f>
        <v>4</v>
      </c>
      <c r="D58" s="334">
        <f>+'Purchased Power Model '!D58</f>
        <v>87.8</v>
      </c>
      <c r="E58" s="335">
        <f>+'Purchased Power Model '!E58</f>
        <v>6.5000000000000002E-2</v>
      </c>
      <c r="F58" s="336">
        <f>+'Purchased Power Model '!F58</f>
        <v>31</v>
      </c>
      <c r="G58" s="336">
        <f>+'Purchased Power Model '!G58</f>
        <v>0</v>
      </c>
      <c r="H58" s="337">
        <f>+'Purchased Power Model '!H58</f>
        <v>101261765.33846444</v>
      </c>
      <c r="J58" s="332">
        <f>+'10 Year Average'!A58</f>
        <v>39295</v>
      </c>
      <c r="K58" s="338">
        <f>+'10 Year Average'!B58</f>
        <v>103644560</v>
      </c>
      <c r="L58" s="334">
        <f>+'10 Year Average'!C58</f>
        <v>4</v>
      </c>
      <c r="M58" s="334">
        <f>+'10 Year Average'!D58</f>
        <v>87.8</v>
      </c>
      <c r="N58" s="335">
        <f>+'10 Year Average'!E58</f>
        <v>6.5000000000000002E-2</v>
      </c>
      <c r="O58" s="336">
        <f>+'10 Year Average'!F58</f>
        <v>31</v>
      </c>
      <c r="P58" s="336">
        <f>+'10 Year Average'!G58</f>
        <v>0</v>
      </c>
      <c r="Q58" s="337">
        <f>+'10 Year Average'!H58</f>
        <v>101261765.33846444</v>
      </c>
      <c r="S58" s="332">
        <f>+'20 Year Trend'!A58</f>
        <v>39295</v>
      </c>
      <c r="T58" s="338">
        <f>+'20 Year Trend'!B58</f>
        <v>103644560</v>
      </c>
      <c r="U58" s="334">
        <f>+'20 Year Trend'!C58</f>
        <v>4</v>
      </c>
      <c r="V58" s="334">
        <f>+'20 Year Trend'!D58</f>
        <v>87.8</v>
      </c>
      <c r="W58" s="335">
        <f>+'20 Year Trend'!E58</f>
        <v>6.5000000000000002E-2</v>
      </c>
      <c r="X58" s="336">
        <f>+'20 Year Trend'!F58</f>
        <v>31</v>
      </c>
      <c r="Y58" s="336">
        <f>+'20 Year Trend'!G58</f>
        <v>0</v>
      </c>
      <c r="Z58" s="337">
        <f>+'20 Year Trend'!H58</f>
        <v>101261765.33846444</v>
      </c>
    </row>
    <row r="59" spans="1:26">
      <c r="A59" s="332">
        <f>+'Purchased Power Model '!A59</f>
        <v>39326</v>
      </c>
      <c r="B59" s="338">
        <f>+'Purchased Power Model '!B59</f>
        <v>87760000</v>
      </c>
      <c r="C59" s="334">
        <f>+'Purchased Power Model '!C59</f>
        <v>20.100000000000001</v>
      </c>
      <c r="D59" s="334">
        <f>+'Purchased Power Model '!D59</f>
        <v>12.3</v>
      </c>
      <c r="E59" s="335">
        <f>+'Purchased Power Model '!E59</f>
        <v>6.5000000000000002E-2</v>
      </c>
      <c r="F59" s="336">
        <f>+'Purchased Power Model '!F59</f>
        <v>30</v>
      </c>
      <c r="G59" s="336">
        <f>+'Purchased Power Model '!G59</f>
        <v>1</v>
      </c>
      <c r="H59" s="337">
        <f>+'Purchased Power Model '!H59</f>
        <v>81241690.529517934</v>
      </c>
      <c r="J59" s="332">
        <f>+'10 Year Average'!A59</f>
        <v>39326</v>
      </c>
      <c r="K59" s="338">
        <f>+'10 Year Average'!B59</f>
        <v>87760000</v>
      </c>
      <c r="L59" s="334">
        <f>+'10 Year Average'!C59</f>
        <v>20.100000000000001</v>
      </c>
      <c r="M59" s="334">
        <f>+'10 Year Average'!D59</f>
        <v>12.3</v>
      </c>
      <c r="N59" s="335">
        <f>+'10 Year Average'!E59</f>
        <v>6.5000000000000002E-2</v>
      </c>
      <c r="O59" s="336">
        <f>+'10 Year Average'!F59</f>
        <v>30</v>
      </c>
      <c r="P59" s="336">
        <f>+'10 Year Average'!G59</f>
        <v>1</v>
      </c>
      <c r="Q59" s="337">
        <f>+'10 Year Average'!H59</f>
        <v>81241690.529517934</v>
      </c>
      <c r="S59" s="332">
        <f>+'20 Year Trend'!A59</f>
        <v>39326</v>
      </c>
      <c r="T59" s="338">
        <f>+'20 Year Trend'!B59</f>
        <v>87760000</v>
      </c>
      <c r="U59" s="334">
        <f>+'20 Year Trend'!C59</f>
        <v>20.100000000000001</v>
      </c>
      <c r="V59" s="334">
        <f>+'20 Year Trend'!D59</f>
        <v>12.3</v>
      </c>
      <c r="W59" s="335">
        <f>+'20 Year Trend'!E59</f>
        <v>6.5000000000000002E-2</v>
      </c>
      <c r="X59" s="336">
        <f>+'20 Year Trend'!F59</f>
        <v>30</v>
      </c>
      <c r="Y59" s="336">
        <f>+'20 Year Trend'!G59</f>
        <v>1</v>
      </c>
      <c r="Z59" s="337">
        <f>+'20 Year Trend'!H59</f>
        <v>81241690.529517934</v>
      </c>
    </row>
    <row r="60" spans="1:26">
      <c r="A60" s="332">
        <f>+'Purchased Power Model '!A60</f>
        <v>39356</v>
      </c>
      <c r="B60" s="338">
        <f>+'Purchased Power Model '!B60</f>
        <v>88883380</v>
      </c>
      <c r="C60" s="334">
        <f>+'Purchased Power Model '!C60</f>
        <v>101.5</v>
      </c>
      <c r="D60" s="334">
        <f>+'Purchased Power Model '!D60</f>
        <v>0</v>
      </c>
      <c r="E60" s="335">
        <f>+'Purchased Power Model '!E60</f>
        <v>6.3E-2</v>
      </c>
      <c r="F60" s="336">
        <f>+'Purchased Power Model '!F60</f>
        <v>31</v>
      </c>
      <c r="G60" s="336">
        <f>+'Purchased Power Model '!G60</f>
        <v>1</v>
      </c>
      <c r="H60" s="337">
        <f>+'Purchased Power Model '!H60</f>
        <v>85875112.382730946</v>
      </c>
      <c r="J60" s="332">
        <f>+'10 Year Average'!A60</f>
        <v>39356</v>
      </c>
      <c r="K60" s="338">
        <f>+'10 Year Average'!B60</f>
        <v>88883380</v>
      </c>
      <c r="L60" s="334">
        <f>+'10 Year Average'!C60</f>
        <v>101.5</v>
      </c>
      <c r="M60" s="334">
        <f>+'10 Year Average'!D60</f>
        <v>0</v>
      </c>
      <c r="N60" s="335">
        <f>+'10 Year Average'!E60</f>
        <v>6.3E-2</v>
      </c>
      <c r="O60" s="336">
        <f>+'10 Year Average'!F60</f>
        <v>31</v>
      </c>
      <c r="P60" s="336">
        <f>+'10 Year Average'!G60</f>
        <v>1</v>
      </c>
      <c r="Q60" s="337">
        <f>+'10 Year Average'!H60</f>
        <v>85875112.382730946</v>
      </c>
      <c r="S60" s="332">
        <f>+'20 Year Trend'!A60</f>
        <v>39356</v>
      </c>
      <c r="T60" s="338">
        <f>+'20 Year Trend'!B60</f>
        <v>88883380</v>
      </c>
      <c r="U60" s="334">
        <f>+'20 Year Trend'!C60</f>
        <v>101.5</v>
      </c>
      <c r="V60" s="334">
        <f>+'20 Year Trend'!D60</f>
        <v>0</v>
      </c>
      <c r="W60" s="335">
        <f>+'20 Year Trend'!E60</f>
        <v>6.3E-2</v>
      </c>
      <c r="X60" s="336">
        <f>+'20 Year Trend'!F60</f>
        <v>31</v>
      </c>
      <c r="Y60" s="336">
        <f>+'20 Year Trend'!G60</f>
        <v>1</v>
      </c>
      <c r="Z60" s="337">
        <f>+'20 Year Trend'!H60</f>
        <v>85875112.382730946</v>
      </c>
    </row>
    <row r="61" spans="1:26">
      <c r="A61" s="332">
        <f>+'Purchased Power Model '!A61</f>
        <v>39387</v>
      </c>
      <c r="B61" s="338">
        <f>+'Purchased Power Model '!B61</f>
        <v>97788230</v>
      </c>
      <c r="C61" s="334">
        <f>+'Purchased Power Model '!C61</f>
        <v>314.10000000000002</v>
      </c>
      <c r="D61" s="334">
        <f>+'Purchased Power Model '!D61</f>
        <v>0</v>
      </c>
      <c r="E61" s="335">
        <f>+'Purchased Power Model '!E61</f>
        <v>6.3E-2</v>
      </c>
      <c r="F61" s="336">
        <f>+'Purchased Power Model '!F61</f>
        <v>30</v>
      </c>
      <c r="G61" s="336">
        <f>+'Purchased Power Model '!G61</f>
        <v>1</v>
      </c>
      <c r="H61" s="337">
        <f>+'Purchased Power Model '!H61</f>
        <v>91577151.600240156</v>
      </c>
      <c r="J61" s="332">
        <f>+'10 Year Average'!A61</f>
        <v>39387</v>
      </c>
      <c r="K61" s="338">
        <f>+'10 Year Average'!B61</f>
        <v>97788230</v>
      </c>
      <c r="L61" s="334">
        <f>+'10 Year Average'!C61</f>
        <v>314.10000000000002</v>
      </c>
      <c r="M61" s="334">
        <f>+'10 Year Average'!D61</f>
        <v>0</v>
      </c>
      <c r="N61" s="335">
        <f>+'10 Year Average'!E61</f>
        <v>6.3E-2</v>
      </c>
      <c r="O61" s="336">
        <f>+'10 Year Average'!F61</f>
        <v>30</v>
      </c>
      <c r="P61" s="336">
        <f>+'10 Year Average'!G61</f>
        <v>1</v>
      </c>
      <c r="Q61" s="337">
        <f>+'10 Year Average'!H61</f>
        <v>91577151.600240156</v>
      </c>
      <c r="S61" s="332">
        <f>+'20 Year Trend'!A61</f>
        <v>39387</v>
      </c>
      <c r="T61" s="338">
        <f>+'20 Year Trend'!B61</f>
        <v>97788230</v>
      </c>
      <c r="U61" s="334">
        <f>+'20 Year Trend'!C61</f>
        <v>314.10000000000002</v>
      </c>
      <c r="V61" s="334">
        <f>+'20 Year Trend'!D61</f>
        <v>0</v>
      </c>
      <c r="W61" s="335">
        <f>+'20 Year Trend'!E61</f>
        <v>6.3E-2</v>
      </c>
      <c r="X61" s="336">
        <f>+'20 Year Trend'!F61</f>
        <v>30</v>
      </c>
      <c r="Y61" s="336">
        <f>+'20 Year Trend'!G61</f>
        <v>1</v>
      </c>
      <c r="Z61" s="337">
        <f>+'20 Year Trend'!H61</f>
        <v>91577151.600240156</v>
      </c>
    </row>
    <row r="62" spans="1:26">
      <c r="A62" s="332">
        <f>+'Purchased Power Model '!A62</f>
        <v>39417</v>
      </c>
      <c r="B62" s="338">
        <f>+'Purchased Power Model '!B62</f>
        <v>112852450</v>
      </c>
      <c r="C62" s="334">
        <f>+'Purchased Power Model '!C62</f>
        <v>337.8</v>
      </c>
      <c r="D62" s="334">
        <f>+'Purchased Power Model '!D62</f>
        <v>0</v>
      </c>
      <c r="E62" s="335">
        <f>+'Purchased Power Model '!E62</f>
        <v>6.3E-2</v>
      </c>
      <c r="F62" s="336">
        <f>+'Purchased Power Model '!F62</f>
        <v>31</v>
      </c>
      <c r="G62" s="336">
        <f>+'Purchased Power Model '!G62</f>
        <v>0</v>
      </c>
      <c r="H62" s="337">
        <f>+'Purchased Power Model '!H62</f>
        <v>102592151.40737684</v>
      </c>
      <c r="J62" s="332">
        <f>+'10 Year Average'!A62</f>
        <v>39417</v>
      </c>
      <c r="K62" s="338">
        <f>+'10 Year Average'!B62</f>
        <v>112852450</v>
      </c>
      <c r="L62" s="334">
        <f>+'10 Year Average'!C62</f>
        <v>337.8</v>
      </c>
      <c r="M62" s="334">
        <f>+'10 Year Average'!D62</f>
        <v>0</v>
      </c>
      <c r="N62" s="335">
        <f>+'10 Year Average'!E62</f>
        <v>6.3E-2</v>
      </c>
      <c r="O62" s="336">
        <f>+'10 Year Average'!F62</f>
        <v>31</v>
      </c>
      <c r="P62" s="336">
        <f>+'10 Year Average'!G62</f>
        <v>0</v>
      </c>
      <c r="Q62" s="337">
        <f>+'10 Year Average'!H62</f>
        <v>102592151.40737684</v>
      </c>
      <c r="S62" s="332">
        <f>+'20 Year Trend'!A62</f>
        <v>39417</v>
      </c>
      <c r="T62" s="338">
        <f>+'20 Year Trend'!B62</f>
        <v>112852450</v>
      </c>
      <c r="U62" s="334">
        <f>+'20 Year Trend'!C62</f>
        <v>337.8</v>
      </c>
      <c r="V62" s="334">
        <f>+'20 Year Trend'!D62</f>
        <v>0</v>
      </c>
      <c r="W62" s="335">
        <f>+'20 Year Trend'!E62</f>
        <v>6.3E-2</v>
      </c>
      <c r="X62" s="336">
        <f>+'20 Year Trend'!F62</f>
        <v>31</v>
      </c>
      <c r="Y62" s="336">
        <f>+'20 Year Trend'!G62</f>
        <v>0</v>
      </c>
      <c r="Z62" s="337">
        <f>+'20 Year Trend'!H62</f>
        <v>102592151.40737684</v>
      </c>
    </row>
    <row r="63" spans="1:26">
      <c r="A63" s="332">
        <f>+'Purchased Power Model '!A63</f>
        <v>39448</v>
      </c>
      <c r="B63" s="336">
        <f>+'Purchased Power Model '!B63</f>
        <v>111423480</v>
      </c>
      <c r="C63" s="334">
        <f>+'Purchased Power Model '!C63</f>
        <v>432.8</v>
      </c>
      <c r="D63" s="334">
        <f>+'Purchased Power Model '!D63</f>
        <v>0</v>
      </c>
      <c r="E63" s="335">
        <f>+'Purchased Power Model '!E63</f>
        <v>6.4000000000000001E-2</v>
      </c>
      <c r="F63" s="336">
        <f>+'Purchased Power Model '!F63</f>
        <v>31</v>
      </c>
      <c r="G63" s="336">
        <f>+'Purchased Power Model '!G63</f>
        <v>0</v>
      </c>
      <c r="H63" s="337">
        <f>+'Purchased Power Model '!H63</f>
        <v>106277793.2124036</v>
      </c>
      <c r="J63" s="332">
        <f>+'10 Year Average'!A63</f>
        <v>39448</v>
      </c>
      <c r="K63" s="336">
        <f>+'10 Year Average'!B63</f>
        <v>111423480</v>
      </c>
      <c r="L63" s="334">
        <f>+'10 Year Average'!C63</f>
        <v>432.8</v>
      </c>
      <c r="M63" s="334">
        <f>+'10 Year Average'!D63</f>
        <v>0</v>
      </c>
      <c r="N63" s="335">
        <f>+'10 Year Average'!E63</f>
        <v>6.4000000000000001E-2</v>
      </c>
      <c r="O63" s="336">
        <f>+'10 Year Average'!F63</f>
        <v>31</v>
      </c>
      <c r="P63" s="336">
        <f>+'10 Year Average'!G63</f>
        <v>0</v>
      </c>
      <c r="Q63" s="337">
        <f>+'10 Year Average'!H63</f>
        <v>106277793.2124036</v>
      </c>
      <c r="S63" s="332">
        <f>+'20 Year Trend'!A63</f>
        <v>39448</v>
      </c>
      <c r="T63" s="336">
        <f>+'20 Year Trend'!B63</f>
        <v>111423480</v>
      </c>
      <c r="U63" s="334">
        <f>+'20 Year Trend'!C63</f>
        <v>432.8</v>
      </c>
      <c r="V63" s="334">
        <f>+'20 Year Trend'!D63</f>
        <v>0</v>
      </c>
      <c r="W63" s="335">
        <f>+'20 Year Trend'!E63</f>
        <v>6.4000000000000001E-2</v>
      </c>
      <c r="X63" s="336">
        <f>+'20 Year Trend'!F63</f>
        <v>31</v>
      </c>
      <c r="Y63" s="336">
        <f>+'20 Year Trend'!G63</f>
        <v>0</v>
      </c>
      <c r="Z63" s="337">
        <f>+'20 Year Trend'!H63</f>
        <v>106277793.2124036</v>
      </c>
    </row>
    <row r="64" spans="1:26">
      <c r="A64" s="332">
        <f>+'Purchased Power Model '!A64</f>
        <v>39479</v>
      </c>
      <c r="B64" s="336">
        <f>+'Purchased Power Model '!B64</f>
        <v>106527560</v>
      </c>
      <c r="C64" s="334">
        <f>+'Purchased Power Model '!C64</f>
        <v>317.60000000000002</v>
      </c>
      <c r="D64" s="334">
        <f>+'Purchased Power Model '!D64</f>
        <v>0</v>
      </c>
      <c r="E64" s="335">
        <f>+'Purchased Power Model '!E64</f>
        <v>6.4000000000000001E-2</v>
      </c>
      <c r="F64" s="336">
        <f>+'Purchased Power Model '!F64</f>
        <v>29</v>
      </c>
      <c r="G64" s="336">
        <f>+'Purchased Power Model '!G64</f>
        <v>0</v>
      </c>
      <c r="H64" s="337">
        <f>+'Purchased Power Model '!H64</f>
        <v>95983082.231786683</v>
      </c>
      <c r="J64" s="332">
        <f>+'10 Year Average'!A64</f>
        <v>39479</v>
      </c>
      <c r="K64" s="336">
        <f>+'10 Year Average'!B64</f>
        <v>106527560</v>
      </c>
      <c r="L64" s="334">
        <f>+'10 Year Average'!C64</f>
        <v>317.60000000000002</v>
      </c>
      <c r="M64" s="334">
        <f>+'10 Year Average'!D64</f>
        <v>0</v>
      </c>
      <c r="N64" s="335">
        <f>+'10 Year Average'!E64</f>
        <v>6.4000000000000001E-2</v>
      </c>
      <c r="O64" s="336">
        <f>+'10 Year Average'!F64</f>
        <v>29</v>
      </c>
      <c r="P64" s="336">
        <f>+'10 Year Average'!G64</f>
        <v>0</v>
      </c>
      <c r="Q64" s="337">
        <f>+'10 Year Average'!H64</f>
        <v>95983082.231786683</v>
      </c>
      <c r="S64" s="332">
        <f>+'20 Year Trend'!A64</f>
        <v>39479</v>
      </c>
      <c r="T64" s="336">
        <f>+'20 Year Trend'!B64</f>
        <v>106527560</v>
      </c>
      <c r="U64" s="334">
        <f>+'20 Year Trend'!C64</f>
        <v>317.60000000000002</v>
      </c>
      <c r="V64" s="334">
        <f>+'20 Year Trend'!D64</f>
        <v>0</v>
      </c>
      <c r="W64" s="335">
        <f>+'20 Year Trend'!E64</f>
        <v>6.4000000000000001E-2</v>
      </c>
      <c r="X64" s="336">
        <f>+'20 Year Trend'!F64</f>
        <v>29</v>
      </c>
      <c r="Y64" s="336">
        <f>+'20 Year Trend'!G64</f>
        <v>0</v>
      </c>
      <c r="Z64" s="337">
        <f>+'20 Year Trend'!H64</f>
        <v>95983082.231786683</v>
      </c>
    </row>
    <row r="65" spans="1:26">
      <c r="A65" s="332">
        <f>+'Purchased Power Model '!A65</f>
        <v>39508</v>
      </c>
      <c r="B65" s="336">
        <f>+'Purchased Power Model '!B65</f>
        <v>105633899.99999999</v>
      </c>
      <c r="C65" s="334">
        <f>+'Purchased Power Model '!C65</f>
        <v>430</v>
      </c>
      <c r="D65" s="334">
        <f>+'Purchased Power Model '!D65</f>
        <v>0</v>
      </c>
      <c r="E65" s="335">
        <f>+'Purchased Power Model '!E65</f>
        <v>6.4000000000000001E-2</v>
      </c>
      <c r="F65" s="336">
        <f>+'Purchased Power Model '!F65</f>
        <v>31</v>
      </c>
      <c r="G65" s="336">
        <f>+'Purchased Power Model '!G65</f>
        <v>1</v>
      </c>
      <c r="H65" s="337">
        <f>+'Purchased Power Model '!H65</f>
        <v>98936526.446364</v>
      </c>
      <c r="J65" s="332">
        <f>+'10 Year Average'!A65</f>
        <v>39508</v>
      </c>
      <c r="K65" s="336">
        <f>+'10 Year Average'!B65</f>
        <v>105633899.99999999</v>
      </c>
      <c r="L65" s="334">
        <f>+'10 Year Average'!C65</f>
        <v>430</v>
      </c>
      <c r="M65" s="334">
        <f>+'10 Year Average'!D65</f>
        <v>0</v>
      </c>
      <c r="N65" s="335">
        <f>+'10 Year Average'!E65</f>
        <v>6.4000000000000001E-2</v>
      </c>
      <c r="O65" s="336">
        <f>+'10 Year Average'!F65</f>
        <v>31</v>
      </c>
      <c r="P65" s="336">
        <f>+'10 Year Average'!G65</f>
        <v>1</v>
      </c>
      <c r="Q65" s="337">
        <f>+'10 Year Average'!H65</f>
        <v>98936526.446364</v>
      </c>
      <c r="S65" s="332">
        <f>+'20 Year Trend'!A65</f>
        <v>39508</v>
      </c>
      <c r="T65" s="336">
        <f>+'20 Year Trend'!B65</f>
        <v>105633899.99999999</v>
      </c>
      <c r="U65" s="334">
        <f>+'20 Year Trend'!C65</f>
        <v>430</v>
      </c>
      <c r="V65" s="334">
        <f>+'20 Year Trend'!D65</f>
        <v>0</v>
      </c>
      <c r="W65" s="335">
        <f>+'20 Year Trend'!E65</f>
        <v>6.4000000000000001E-2</v>
      </c>
      <c r="X65" s="336">
        <f>+'20 Year Trend'!F65</f>
        <v>31</v>
      </c>
      <c r="Y65" s="336">
        <f>+'20 Year Trend'!G65</f>
        <v>1</v>
      </c>
      <c r="Z65" s="337">
        <f>+'20 Year Trend'!H65</f>
        <v>98936526.446364</v>
      </c>
    </row>
    <row r="66" spans="1:26">
      <c r="A66" s="332">
        <f>+'Purchased Power Model '!A66</f>
        <v>39539</v>
      </c>
      <c r="B66" s="336">
        <f>+'Purchased Power Model '!B66</f>
        <v>86147429.999999985</v>
      </c>
      <c r="C66" s="334">
        <f>+'Purchased Power Model '!C66</f>
        <v>144.6</v>
      </c>
      <c r="D66" s="334">
        <f>+'Purchased Power Model '!D66</f>
        <v>0</v>
      </c>
      <c r="E66" s="335">
        <f>+'Purchased Power Model '!E66</f>
        <v>7.400000000000001E-2</v>
      </c>
      <c r="F66" s="336">
        <f>+'Purchased Power Model '!F66</f>
        <v>30</v>
      </c>
      <c r="G66" s="336">
        <f>+'Purchased Power Model '!G66</f>
        <v>1</v>
      </c>
      <c r="H66" s="337">
        <f>+'Purchased Power Model '!H66</f>
        <v>83353149.75070636</v>
      </c>
      <c r="J66" s="332">
        <f>+'10 Year Average'!A66</f>
        <v>39539</v>
      </c>
      <c r="K66" s="336">
        <f>+'10 Year Average'!B66</f>
        <v>86147429.999999985</v>
      </c>
      <c r="L66" s="334">
        <f>+'10 Year Average'!C66</f>
        <v>144.6</v>
      </c>
      <c r="M66" s="334">
        <f>+'10 Year Average'!D66</f>
        <v>0</v>
      </c>
      <c r="N66" s="335">
        <f>+'10 Year Average'!E66</f>
        <v>7.400000000000001E-2</v>
      </c>
      <c r="O66" s="336">
        <f>+'10 Year Average'!F66</f>
        <v>30</v>
      </c>
      <c r="P66" s="336">
        <f>+'10 Year Average'!G66</f>
        <v>1</v>
      </c>
      <c r="Q66" s="337">
        <f>+'10 Year Average'!H66</f>
        <v>83353149.75070636</v>
      </c>
      <c r="S66" s="332">
        <f>+'20 Year Trend'!A66</f>
        <v>39539</v>
      </c>
      <c r="T66" s="336">
        <f>+'20 Year Trend'!B66</f>
        <v>86147429.999999985</v>
      </c>
      <c r="U66" s="334">
        <f>+'20 Year Trend'!C66</f>
        <v>144.6</v>
      </c>
      <c r="V66" s="334">
        <f>+'20 Year Trend'!D66</f>
        <v>0</v>
      </c>
      <c r="W66" s="335">
        <f>+'20 Year Trend'!E66</f>
        <v>7.400000000000001E-2</v>
      </c>
      <c r="X66" s="336">
        <f>+'20 Year Trend'!F66</f>
        <v>30</v>
      </c>
      <c r="Y66" s="336">
        <f>+'20 Year Trend'!G66</f>
        <v>1</v>
      </c>
      <c r="Z66" s="337">
        <f>+'20 Year Trend'!H66</f>
        <v>83353149.75070636</v>
      </c>
    </row>
    <row r="67" spans="1:26">
      <c r="A67" s="332">
        <f>+'Purchased Power Model '!A67</f>
        <v>39569</v>
      </c>
      <c r="B67" s="336">
        <f>+'Purchased Power Model '!B67</f>
        <v>82776310</v>
      </c>
      <c r="C67" s="334">
        <f>+'Purchased Power Model '!C67</f>
        <v>151</v>
      </c>
      <c r="D67" s="334">
        <f>+'Purchased Power Model '!D67</f>
        <v>0</v>
      </c>
      <c r="E67" s="335">
        <f>+'Purchased Power Model '!E67</f>
        <v>7.400000000000001E-2</v>
      </c>
      <c r="F67" s="336">
        <f>+'Purchased Power Model '!F67</f>
        <v>31</v>
      </c>
      <c r="G67" s="336">
        <f>+'Purchased Power Model '!G67</f>
        <v>1</v>
      </c>
      <c r="H67" s="337">
        <f>+'Purchased Power Model '!H67</f>
        <v>86444661.388164088</v>
      </c>
      <c r="J67" s="332">
        <f>+'10 Year Average'!A67</f>
        <v>39569</v>
      </c>
      <c r="K67" s="336">
        <f>+'10 Year Average'!B67</f>
        <v>82776310</v>
      </c>
      <c r="L67" s="334">
        <f>+'10 Year Average'!C67</f>
        <v>151</v>
      </c>
      <c r="M67" s="334">
        <f>+'10 Year Average'!D67</f>
        <v>0</v>
      </c>
      <c r="N67" s="335">
        <f>+'10 Year Average'!E67</f>
        <v>7.400000000000001E-2</v>
      </c>
      <c r="O67" s="336">
        <f>+'10 Year Average'!F67</f>
        <v>31</v>
      </c>
      <c r="P67" s="336">
        <f>+'10 Year Average'!G67</f>
        <v>1</v>
      </c>
      <c r="Q67" s="337">
        <f>+'10 Year Average'!H67</f>
        <v>86444661.388164088</v>
      </c>
      <c r="S67" s="332">
        <f>+'20 Year Trend'!A67</f>
        <v>39569</v>
      </c>
      <c r="T67" s="336">
        <f>+'20 Year Trend'!B67</f>
        <v>82776310</v>
      </c>
      <c r="U67" s="334">
        <f>+'20 Year Trend'!C67</f>
        <v>151</v>
      </c>
      <c r="V67" s="334">
        <f>+'20 Year Trend'!D67</f>
        <v>0</v>
      </c>
      <c r="W67" s="335">
        <f>+'20 Year Trend'!E67</f>
        <v>7.400000000000001E-2</v>
      </c>
      <c r="X67" s="336">
        <f>+'20 Year Trend'!F67</f>
        <v>31</v>
      </c>
      <c r="Y67" s="336">
        <f>+'20 Year Trend'!G67</f>
        <v>1</v>
      </c>
      <c r="Z67" s="337">
        <f>+'20 Year Trend'!H67</f>
        <v>86444661.388164088</v>
      </c>
    </row>
    <row r="68" spans="1:26">
      <c r="A68" s="332">
        <f>+'Purchased Power Model '!A68</f>
        <v>39600</v>
      </c>
      <c r="B68" s="336">
        <f>+'Purchased Power Model '!B68</f>
        <v>90692793</v>
      </c>
      <c r="C68" s="334">
        <f>+'Purchased Power Model '!C68</f>
        <v>15.5</v>
      </c>
      <c r="D68" s="334">
        <f>+'Purchased Power Model '!D68</f>
        <v>23.6</v>
      </c>
      <c r="E68" s="335">
        <f>+'Purchased Power Model '!E68</f>
        <v>7.400000000000001E-2</v>
      </c>
      <c r="F68" s="336">
        <f>+'Purchased Power Model '!F68</f>
        <v>30</v>
      </c>
      <c r="G68" s="336">
        <f>+'Purchased Power Model '!G68</f>
        <v>0</v>
      </c>
      <c r="H68" s="337">
        <f>+'Purchased Power Model '!H68</f>
        <v>88712578.515884832</v>
      </c>
      <c r="J68" s="332">
        <f>+'10 Year Average'!A68</f>
        <v>39600</v>
      </c>
      <c r="K68" s="336">
        <f>+'10 Year Average'!B68</f>
        <v>90692793</v>
      </c>
      <c r="L68" s="334">
        <f>+'10 Year Average'!C68</f>
        <v>15.5</v>
      </c>
      <c r="M68" s="334">
        <f>+'10 Year Average'!D68</f>
        <v>23.6</v>
      </c>
      <c r="N68" s="335">
        <f>+'10 Year Average'!E68</f>
        <v>7.400000000000001E-2</v>
      </c>
      <c r="O68" s="336">
        <f>+'10 Year Average'!F68</f>
        <v>30</v>
      </c>
      <c r="P68" s="336">
        <f>+'10 Year Average'!G68</f>
        <v>0</v>
      </c>
      <c r="Q68" s="337">
        <f>+'10 Year Average'!H68</f>
        <v>88712578.515884832</v>
      </c>
      <c r="S68" s="332">
        <f>+'20 Year Trend'!A68</f>
        <v>39600</v>
      </c>
      <c r="T68" s="336">
        <f>+'20 Year Trend'!B68</f>
        <v>90692793</v>
      </c>
      <c r="U68" s="334">
        <f>+'20 Year Trend'!C68</f>
        <v>15.5</v>
      </c>
      <c r="V68" s="334">
        <f>+'20 Year Trend'!D68</f>
        <v>23.6</v>
      </c>
      <c r="W68" s="335">
        <f>+'20 Year Trend'!E68</f>
        <v>7.400000000000001E-2</v>
      </c>
      <c r="X68" s="336">
        <f>+'20 Year Trend'!F68</f>
        <v>30</v>
      </c>
      <c r="Y68" s="336">
        <f>+'20 Year Trend'!G68</f>
        <v>0</v>
      </c>
      <c r="Z68" s="337">
        <f>+'20 Year Trend'!H68</f>
        <v>88712578.515884832</v>
      </c>
    </row>
    <row r="69" spans="1:26">
      <c r="A69" s="332">
        <f>+'Purchased Power Model '!A69</f>
        <v>39630</v>
      </c>
      <c r="B69" s="336">
        <f>+'Purchased Power Model '!B69</f>
        <v>98868440</v>
      </c>
      <c r="C69" s="334">
        <f>+'Purchased Power Model '!C69</f>
        <v>1</v>
      </c>
      <c r="D69" s="334">
        <f>+'Purchased Power Model '!D69</f>
        <v>61.4</v>
      </c>
      <c r="E69" s="335">
        <f>+'Purchased Power Model '!E69</f>
        <v>6.8000000000000005E-2</v>
      </c>
      <c r="F69" s="336">
        <f>+'Purchased Power Model '!F69</f>
        <v>31</v>
      </c>
      <c r="G69" s="336">
        <f>+'Purchased Power Model '!G69</f>
        <v>0</v>
      </c>
      <c r="H69" s="337">
        <f>+'Purchased Power Model '!H69</f>
        <v>97046969.735358745</v>
      </c>
      <c r="J69" s="332">
        <f>+'10 Year Average'!A69</f>
        <v>39630</v>
      </c>
      <c r="K69" s="336">
        <f>+'10 Year Average'!B69</f>
        <v>98868440</v>
      </c>
      <c r="L69" s="334">
        <f>+'10 Year Average'!C69</f>
        <v>1</v>
      </c>
      <c r="M69" s="334">
        <f>+'10 Year Average'!D69</f>
        <v>61.4</v>
      </c>
      <c r="N69" s="335">
        <f>+'10 Year Average'!E69</f>
        <v>6.8000000000000005E-2</v>
      </c>
      <c r="O69" s="336">
        <f>+'10 Year Average'!F69</f>
        <v>31</v>
      </c>
      <c r="P69" s="336">
        <f>+'10 Year Average'!G69</f>
        <v>0</v>
      </c>
      <c r="Q69" s="337">
        <f>+'10 Year Average'!H69</f>
        <v>97046969.735358745</v>
      </c>
      <c r="S69" s="332">
        <f>+'20 Year Trend'!A69</f>
        <v>39630</v>
      </c>
      <c r="T69" s="336">
        <f>+'20 Year Trend'!B69</f>
        <v>98868440</v>
      </c>
      <c r="U69" s="334">
        <f>+'20 Year Trend'!C69</f>
        <v>1</v>
      </c>
      <c r="V69" s="334">
        <f>+'20 Year Trend'!D69</f>
        <v>61.4</v>
      </c>
      <c r="W69" s="335">
        <f>+'20 Year Trend'!E69</f>
        <v>6.8000000000000005E-2</v>
      </c>
      <c r="X69" s="336">
        <f>+'20 Year Trend'!F69</f>
        <v>31</v>
      </c>
      <c r="Y69" s="336">
        <f>+'20 Year Trend'!G69</f>
        <v>0</v>
      </c>
      <c r="Z69" s="337">
        <f>+'20 Year Trend'!H69</f>
        <v>97046969.735358745</v>
      </c>
    </row>
    <row r="70" spans="1:26">
      <c r="A70" s="332">
        <f>+'Purchased Power Model '!A70</f>
        <v>39661</v>
      </c>
      <c r="B70" s="336">
        <f>+'Purchased Power Model '!B70</f>
        <v>93432320</v>
      </c>
      <c r="C70" s="334">
        <f>+'Purchased Power Model '!C70</f>
        <v>13.8</v>
      </c>
      <c r="D70" s="334">
        <f>+'Purchased Power Model '!D70</f>
        <v>29.9</v>
      </c>
      <c r="E70" s="335">
        <f>+'Purchased Power Model '!E70</f>
        <v>6.8000000000000005E-2</v>
      </c>
      <c r="F70" s="336">
        <f>+'Purchased Power Model '!F70</f>
        <v>31</v>
      </c>
      <c r="G70" s="336">
        <f>+'Purchased Power Model '!G70</f>
        <v>0</v>
      </c>
      <c r="H70" s="337">
        <f>+'Purchased Power Model '!H70</f>
        <v>93137090.569939956</v>
      </c>
      <c r="J70" s="332">
        <f>+'10 Year Average'!A70</f>
        <v>39661</v>
      </c>
      <c r="K70" s="336">
        <f>+'10 Year Average'!B70</f>
        <v>93432320</v>
      </c>
      <c r="L70" s="334">
        <f>+'10 Year Average'!C70</f>
        <v>13.8</v>
      </c>
      <c r="M70" s="334">
        <f>+'10 Year Average'!D70</f>
        <v>29.9</v>
      </c>
      <c r="N70" s="335">
        <f>+'10 Year Average'!E70</f>
        <v>6.8000000000000005E-2</v>
      </c>
      <c r="O70" s="336">
        <f>+'10 Year Average'!F70</f>
        <v>31</v>
      </c>
      <c r="P70" s="336">
        <f>+'10 Year Average'!G70</f>
        <v>0</v>
      </c>
      <c r="Q70" s="337">
        <f>+'10 Year Average'!H70</f>
        <v>93137090.569939956</v>
      </c>
      <c r="S70" s="332">
        <f>+'20 Year Trend'!A70</f>
        <v>39661</v>
      </c>
      <c r="T70" s="336">
        <f>+'20 Year Trend'!B70</f>
        <v>93432320</v>
      </c>
      <c r="U70" s="334">
        <f>+'20 Year Trend'!C70</f>
        <v>13.8</v>
      </c>
      <c r="V70" s="334">
        <f>+'20 Year Trend'!D70</f>
        <v>29.9</v>
      </c>
      <c r="W70" s="335">
        <f>+'20 Year Trend'!E70</f>
        <v>6.8000000000000005E-2</v>
      </c>
      <c r="X70" s="336">
        <f>+'20 Year Trend'!F70</f>
        <v>31</v>
      </c>
      <c r="Y70" s="336">
        <f>+'20 Year Trend'!G70</f>
        <v>0</v>
      </c>
      <c r="Z70" s="337">
        <f>+'20 Year Trend'!H70</f>
        <v>93137090.569939956</v>
      </c>
    </row>
    <row r="71" spans="1:26">
      <c r="A71" s="332">
        <f>+'Purchased Power Model '!A71</f>
        <v>39692</v>
      </c>
      <c r="B71" s="336">
        <f>+'Purchased Power Model '!B71</f>
        <v>86855072</v>
      </c>
      <c r="C71" s="334">
        <f>+'Purchased Power Model '!C71</f>
        <v>51.6</v>
      </c>
      <c r="D71" s="334">
        <f>+'Purchased Power Model '!D71</f>
        <v>15.1</v>
      </c>
      <c r="E71" s="335">
        <f>+'Purchased Power Model '!E71</f>
        <v>6.8000000000000005E-2</v>
      </c>
      <c r="F71" s="336">
        <f>+'Purchased Power Model '!F71</f>
        <v>30</v>
      </c>
      <c r="G71" s="336">
        <f>+'Purchased Power Model '!G71</f>
        <v>1</v>
      </c>
      <c r="H71" s="337">
        <f>+'Purchased Power Model '!H71</f>
        <v>82513009.914628208</v>
      </c>
      <c r="J71" s="332">
        <f>+'10 Year Average'!A71</f>
        <v>39692</v>
      </c>
      <c r="K71" s="336">
        <f>+'10 Year Average'!B71</f>
        <v>86855072</v>
      </c>
      <c r="L71" s="334">
        <f>+'10 Year Average'!C71</f>
        <v>51.6</v>
      </c>
      <c r="M71" s="334">
        <f>+'10 Year Average'!D71</f>
        <v>15.1</v>
      </c>
      <c r="N71" s="335">
        <f>+'10 Year Average'!E71</f>
        <v>6.8000000000000005E-2</v>
      </c>
      <c r="O71" s="336">
        <f>+'10 Year Average'!F71</f>
        <v>30</v>
      </c>
      <c r="P71" s="336">
        <f>+'10 Year Average'!G71</f>
        <v>1</v>
      </c>
      <c r="Q71" s="337">
        <f>+'10 Year Average'!H71</f>
        <v>82513009.914628208</v>
      </c>
      <c r="S71" s="332">
        <f>+'20 Year Trend'!A71</f>
        <v>39692</v>
      </c>
      <c r="T71" s="336">
        <f>+'20 Year Trend'!B71</f>
        <v>86855072</v>
      </c>
      <c r="U71" s="334">
        <f>+'20 Year Trend'!C71</f>
        <v>51.6</v>
      </c>
      <c r="V71" s="334">
        <f>+'20 Year Trend'!D71</f>
        <v>15.1</v>
      </c>
      <c r="W71" s="335">
        <f>+'20 Year Trend'!E71</f>
        <v>6.8000000000000005E-2</v>
      </c>
      <c r="X71" s="336">
        <f>+'20 Year Trend'!F71</f>
        <v>30</v>
      </c>
      <c r="Y71" s="336">
        <f>+'20 Year Trend'!G71</f>
        <v>1</v>
      </c>
      <c r="Z71" s="337">
        <f>+'20 Year Trend'!H71</f>
        <v>82513009.914628208</v>
      </c>
    </row>
    <row r="72" spans="1:26">
      <c r="A72" s="332">
        <f>+'Purchased Power Model '!A72</f>
        <v>39722</v>
      </c>
      <c r="B72" s="336">
        <f>+'Purchased Power Model '!B72</f>
        <v>88294618</v>
      </c>
      <c r="C72" s="334">
        <f>+'Purchased Power Model '!C72</f>
        <v>203.1</v>
      </c>
      <c r="D72" s="334">
        <f>+'Purchased Power Model '!D72</f>
        <v>0</v>
      </c>
      <c r="E72" s="335">
        <f>+'Purchased Power Model '!E72</f>
        <v>7.9000000000000001E-2</v>
      </c>
      <c r="F72" s="336">
        <f>+'Purchased Power Model '!F72</f>
        <v>31</v>
      </c>
      <c r="G72" s="336">
        <f>+'Purchased Power Model '!G72</f>
        <v>1</v>
      </c>
      <c r="H72" s="337">
        <f>+'Purchased Power Model '!H72</f>
        <v>87892082.027153939</v>
      </c>
      <c r="J72" s="332">
        <f>+'10 Year Average'!A72</f>
        <v>39722</v>
      </c>
      <c r="K72" s="336">
        <f>+'10 Year Average'!B72</f>
        <v>88294618</v>
      </c>
      <c r="L72" s="334">
        <f>+'10 Year Average'!C72</f>
        <v>203.1</v>
      </c>
      <c r="M72" s="334">
        <f>+'10 Year Average'!D72</f>
        <v>0</v>
      </c>
      <c r="N72" s="335">
        <f>+'10 Year Average'!E72</f>
        <v>7.9000000000000001E-2</v>
      </c>
      <c r="O72" s="336">
        <f>+'10 Year Average'!F72</f>
        <v>31</v>
      </c>
      <c r="P72" s="336">
        <f>+'10 Year Average'!G72</f>
        <v>1</v>
      </c>
      <c r="Q72" s="337">
        <f>+'10 Year Average'!H72</f>
        <v>87892082.027153939</v>
      </c>
      <c r="S72" s="332">
        <f>+'20 Year Trend'!A72</f>
        <v>39722</v>
      </c>
      <c r="T72" s="336">
        <f>+'20 Year Trend'!B72</f>
        <v>88294618</v>
      </c>
      <c r="U72" s="334">
        <f>+'20 Year Trend'!C72</f>
        <v>203.1</v>
      </c>
      <c r="V72" s="334">
        <f>+'20 Year Trend'!D72</f>
        <v>0</v>
      </c>
      <c r="W72" s="335">
        <f>+'20 Year Trend'!E72</f>
        <v>7.9000000000000001E-2</v>
      </c>
      <c r="X72" s="336">
        <f>+'20 Year Trend'!F72</f>
        <v>31</v>
      </c>
      <c r="Y72" s="336">
        <f>+'20 Year Trend'!G72</f>
        <v>1</v>
      </c>
      <c r="Z72" s="337">
        <f>+'20 Year Trend'!H72</f>
        <v>87892082.027153939</v>
      </c>
    </row>
    <row r="73" spans="1:26">
      <c r="A73" s="332">
        <f>+'Purchased Power Model '!A73</f>
        <v>39753</v>
      </c>
      <c r="B73" s="336">
        <f>+'Purchased Power Model '!B73</f>
        <v>95870835</v>
      </c>
      <c r="C73" s="334">
        <f>+'Purchased Power Model '!C73</f>
        <v>268.8</v>
      </c>
      <c r="D73" s="334">
        <f>+'Purchased Power Model '!D73</f>
        <v>0</v>
      </c>
      <c r="E73" s="335">
        <f>+'Purchased Power Model '!E73</f>
        <v>7.9000000000000001E-2</v>
      </c>
      <c r="F73" s="336">
        <f>+'Purchased Power Model '!F73</f>
        <v>30</v>
      </c>
      <c r="G73" s="336">
        <f>+'Purchased Power Model '!G73</f>
        <v>1</v>
      </c>
      <c r="H73" s="337">
        <f>+'Purchased Power Model '!H73</f>
        <v>87695616.127792627</v>
      </c>
      <c r="J73" s="332">
        <f>+'10 Year Average'!A73</f>
        <v>39753</v>
      </c>
      <c r="K73" s="336">
        <f>+'10 Year Average'!B73</f>
        <v>95870835</v>
      </c>
      <c r="L73" s="334">
        <f>+'10 Year Average'!C73</f>
        <v>268.8</v>
      </c>
      <c r="M73" s="334">
        <f>+'10 Year Average'!D73</f>
        <v>0</v>
      </c>
      <c r="N73" s="335">
        <f>+'10 Year Average'!E73</f>
        <v>7.9000000000000001E-2</v>
      </c>
      <c r="O73" s="336">
        <f>+'10 Year Average'!F73</f>
        <v>30</v>
      </c>
      <c r="P73" s="336">
        <f>+'10 Year Average'!G73</f>
        <v>1</v>
      </c>
      <c r="Q73" s="337">
        <f>+'10 Year Average'!H73</f>
        <v>87695616.127792627</v>
      </c>
      <c r="S73" s="332">
        <f>+'20 Year Trend'!A73</f>
        <v>39753</v>
      </c>
      <c r="T73" s="336">
        <f>+'20 Year Trend'!B73</f>
        <v>95870835</v>
      </c>
      <c r="U73" s="334">
        <f>+'20 Year Trend'!C73</f>
        <v>268.8</v>
      </c>
      <c r="V73" s="334">
        <f>+'20 Year Trend'!D73</f>
        <v>0</v>
      </c>
      <c r="W73" s="335">
        <f>+'20 Year Trend'!E73</f>
        <v>7.9000000000000001E-2</v>
      </c>
      <c r="X73" s="336">
        <f>+'20 Year Trend'!F73</f>
        <v>30</v>
      </c>
      <c r="Y73" s="336">
        <f>+'20 Year Trend'!G73</f>
        <v>1</v>
      </c>
      <c r="Z73" s="337">
        <f>+'20 Year Trend'!H73</f>
        <v>87695616.127792627</v>
      </c>
    </row>
    <row r="74" spans="1:26">
      <c r="A74" s="332">
        <f>+'Purchased Power Model '!A74</f>
        <v>39783</v>
      </c>
      <c r="B74" s="336">
        <f>+'Purchased Power Model '!B74</f>
        <v>112359168</v>
      </c>
      <c r="C74" s="334">
        <f>+'Purchased Power Model '!C74</f>
        <v>378.9</v>
      </c>
      <c r="D74" s="334">
        <f>+'Purchased Power Model '!D74</f>
        <v>0</v>
      </c>
      <c r="E74" s="335">
        <f>+'Purchased Power Model '!E74</f>
        <v>7.9000000000000001E-2</v>
      </c>
      <c r="F74" s="336">
        <f>+'Purchased Power Model '!F74</f>
        <v>31</v>
      </c>
      <c r="G74" s="336">
        <f>+'Purchased Power Model '!G74</f>
        <v>0</v>
      </c>
      <c r="H74" s="337">
        <f>+'Purchased Power Model '!H74</f>
        <v>102179852.4366149</v>
      </c>
      <c r="J74" s="332">
        <f>+'10 Year Average'!A74</f>
        <v>39783</v>
      </c>
      <c r="K74" s="336">
        <f>+'10 Year Average'!B74</f>
        <v>112359168</v>
      </c>
      <c r="L74" s="334">
        <f>+'10 Year Average'!C74</f>
        <v>378.9</v>
      </c>
      <c r="M74" s="334">
        <f>+'10 Year Average'!D74</f>
        <v>0</v>
      </c>
      <c r="N74" s="335">
        <f>+'10 Year Average'!E74</f>
        <v>7.9000000000000001E-2</v>
      </c>
      <c r="O74" s="336">
        <f>+'10 Year Average'!F74</f>
        <v>31</v>
      </c>
      <c r="P74" s="336">
        <f>+'10 Year Average'!G74</f>
        <v>0</v>
      </c>
      <c r="Q74" s="337">
        <f>+'10 Year Average'!H74</f>
        <v>102179852.4366149</v>
      </c>
      <c r="S74" s="332">
        <f>+'20 Year Trend'!A74</f>
        <v>39783</v>
      </c>
      <c r="T74" s="336">
        <f>+'20 Year Trend'!B74</f>
        <v>112359168</v>
      </c>
      <c r="U74" s="334">
        <f>+'20 Year Trend'!C74</f>
        <v>378.9</v>
      </c>
      <c r="V74" s="334">
        <f>+'20 Year Trend'!D74</f>
        <v>0</v>
      </c>
      <c r="W74" s="335">
        <f>+'20 Year Trend'!E74</f>
        <v>7.9000000000000001E-2</v>
      </c>
      <c r="X74" s="336">
        <f>+'20 Year Trend'!F74</f>
        <v>31</v>
      </c>
      <c r="Y74" s="336">
        <f>+'20 Year Trend'!G74</f>
        <v>0</v>
      </c>
      <c r="Z74" s="337">
        <f>+'20 Year Trend'!H74</f>
        <v>102179852.4366149</v>
      </c>
    </row>
    <row r="75" spans="1:26">
      <c r="A75" s="332">
        <f>+'Purchased Power Model '!A75</f>
        <v>39814</v>
      </c>
      <c r="B75" s="338">
        <f>+'Purchased Power Model '!B75</f>
        <v>119321706</v>
      </c>
      <c r="C75" s="334">
        <f>+'Purchased Power Model '!C75</f>
        <v>684.3</v>
      </c>
      <c r="D75" s="334">
        <f>+'Purchased Power Model '!D75</f>
        <v>0</v>
      </c>
      <c r="E75" s="335">
        <f>+'Purchased Power Model '!E75</f>
        <v>8.5000000000000006E-2</v>
      </c>
      <c r="F75" s="336">
        <f>+'Purchased Power Model '!F75</f>
        <v>31</v>
      </c>
      <c r="G75" s="336">
        <f>+'Purchased Power Model '!G75</f>
        <v>0</v>
      </c>
      <c r="H75" s="337">
        <f>+'Purchased Power Model '!H75</f>
        <v>113669166.48036329</v>
      </c>
      <c r="J75" s="332">
        <f>+'10 Year Average'!A75</f>
        <v>39814</v>
      </c>
      <c r="K75" s="338">
        <f>+'10 Year Average'!B75</f>
        <v>119321706</v>
      </c>
      <c r="L75" s="334">
        <f>+'10 Year Average'!C75</f>
        <v>684.3</v>
      </c>
      <c r="M75" s="334">
        <f>+'10 Year Average'!D75</f>
        <v>0</v>
      </c>
      <c r="N75" s="335">
        <f>+'10 Year Average'!E75</f>
        <v>8.5000000000000006E-2</v>
      </c>
      <c r="O75" s="336">
        <f>+'10 Year Average'!F75</f>
        <v>31</v>
      </c>
      <c r="P75" s="336">
        <f>+'10 Year Average'!G75</f>
        <v>0</v>
      </c>
      <c r="Q75" s="337">
        <f>+'10 Year Average'!H75</f>
        <v>113669166.48036329</v>
      </c>
      <c r="S75" s="332">
        <f>+'20 Year Trend'!A75</f>
        <v>39814</v>
      </c>
      <c r="T75" s="338">
        <f>+'20 Year Trend'!B75</f>
        <v>119321706</v>
      </c>
      <c r="U75" s="334">
        <f>+'20 Year Trend'!C75</f>
        <v>684.3</v>
      </c>
      <c r="V75" s="334">
        <f>+'20 Year Trend'!D75</f>
        <v>0</v>
      </c>
      <c r="W75" s="335">
        <f>+'20 Year Trend'!E75</f>
        <v>8.5000000000000006E-2</v>
      </c>
      <c r="X75" s="336">
        <f>+'20 Year Trend'!F75</f>
        <v>31</v>
      </c>
      <c r="Y75" s="336">
        <f>+'20 Year Trend'!G75</f>
        <v>0</v>
      </c>
      <c r="Z75" s="337">
        <f>+'20 Year Trend'!H75</f>
        <v>113669166.48036329</v>
      </c>
    </row>
    <row r="76" spans="1:26">
      <c r="A76" s="332">
        <f>+'Purchased Power Model '!A76</f>
        <v>39845</v>
      </c>
      <c r="B76" s="338">
        <f>+'Purchased Power Model '!B76</f>
        <v>99385016</v>
      </c>
      <c r="C76" s="334">
        <f>+'Purchased Power Model '!C76</f>
        <v>595.29999999999995</v>
      </c>
      <c r="D76" s="334">
        <f>+'Purchased Power Model '!D76</f>
        <v>0</v>
      </c>
      <c r="E76" s="335">
        <f>+'Purchased Power Model '!E76</f>
        <v>8.5000000000000006E-2</v>
      </c>
      <c r="F76" s="336">
        <f>+'Purchased Power Model '!F76</f>
        <v>28</v>
      </c>
      <c r="G76" s="336">
        <f>+'Purchased Power Model '!G76</f>
        <v>0</v>
      </c>
      <c r="H76" s="337">
        <f>+'Purchased Power Model '!H76</f>
        <v>101591938.19047095</v>
      </c>
      <c r="J76" s="332">
        <f>+'10 Year Average'!A76</f>
        <v>39845</v>
      </c>
      <c r="K76" s="338">
        <f>+'10 Year Average'!B76</f>
        <v>99385016</v>
      </c>
      <c r="L76" s="334">
        <f>+'10 Year Average'!C76</f>
        <v>595.29999999999995</v>
      </c>
      <c r="M76" s="334">
        <f>+'10 Year Average'!D76</f>
        <v>0</v>
      </c>
      <c r="N76" s="335">
        <f>+'10 Year Average'!E76</f>
        <v>8.5000000000000006E-2</v>
      </c>
      <c r="O76" s="336">
        <f>+'10 Year Average'!F76</f>
        <v>28</v>
      </c>
      <c r="P76" s="336">
        <f>+'10 Year Average'!G76</f>
        <v>0</v>
      </c>
      <c r="Q76" s="337">
        <f>+'10 Year Average'!H76</f>
        <v>101591938.19047095</v>
      </c>
      <c r="S76" s="332">
        <f>+'20 Year Trend'!A76</f>
        <v>39845</v>
      </c>
      <c r="T76" s="338">
        <f>+'20 Year Trend'!B76</f>
        <v>99385016</v>
      </c>
      <c r="U76" s="334">
        <f>+'20 Year Trend'!C76</f>
        <v>595.29999999999995</v>
      </c>
      <c r="V76" s="334">
        <f>+'20 Year Trend'!D76</f>
        <v>0</v>
      </c>
      <c r="W76" s="335">
        <f>+'20 Year Trend'!E76</f>
        <v>8.5000000000000006E-2</v>
      </c>
      <c r="X76" s="336">
        <f>+'20 Year Trend'!F76</f>
        <v>28</v>
      </c>
      <c r="Y76" s="336">
        <f>+'20 Year Trend'!G76</f>
        <v>0</v>
      </c>
      <c r="Z76" s="337">
        <f>+'20 Year Trend'!H76</f>
        <v>101591938.19047095</v>
      </c>
    </row>
    <row r="77" spans="1:26">
      <c r="A77" s="332">
        <f>+'Purchased Power Model '!A77</f>
        <v>39873</v>
      </c>
      <c r="B77" s="338">
        <f>+'Purchased Power Model '!B77</f>
        <v>100852310</v>
      </c>
      <c r="C77" s="334">
        <f>+'Purchased Power Model '!C77</f>
        <v>442.2</v>
      </c>
      <c r="D77" s="334">
        <f>+'Purchased Power Model '!D77</f>
        <v>0</v>
      </c>
      <c r="E77" s="335">
        <f>+'Purchased Power Model '!E77</f>
        <v>8.5000000000000006E-2</v>
      </c>
      <c r="F77" s="336">
        <f>+'Purchased Power Model '!F77</f>
        <v>31</v>
      </c>
      <c r="G77" s="336">
        <f>+'Purchased Power Model '!G77</f>
        <v>1</v>
      </c>
      <c r="H77" s="337">
        <f>+'Purchased Power Model '!H77</f>
        <v>96719238.894261658</v>
      </c>
      <c r="J77" s="332">
        <f>+'10 Year Average'!A77</f>
        <v>39873</v>
      </c>
      <c r="K77" s="338">
        <f>+'10 Year Average'!B77</f>
        <v>100852310</v>
      </c>
      <c r="L77" s="334">
        <f>+'10 Year Average'!C77</f>
        <v>442.2</v>
      </c>
      <c r="M77" s="334">
        <f>+'10 Year Average'!D77</f>
        <v>0</v>
      </c>
      <c r="N77" s="335">
        <f>+'10 Year Average'!E77</f>
        <v>8.5000000000000006E-2</v>
      </c>
      <c r="O77" s="336">
        <f>+'10 Year Average'!F77</f>
        <v>31</v>
      </c>
      <c r="P77" s="336">
        <f>+'10 Year Average'!G77</f>
        <v>1</v>
      </c>
      <c r="Q77" s="337">
        <f>+'10 Year Average'!H77</f>
        <v>96719238.894261658</v>
      </c>
      <c r="S77" s="332">
        <f>+'20 Year Trend'!A77</f>
        <v>39873</v>
      </c>
      <c r="T77" s="338">
        <f>+'20 Year Trend'!B77</f>
        <v>100852310</v>
      </c>
      <c r="U77" s="334">
        <f>+'20 Year Trend'!C77</f>
        <v>442.2</v>
      </c>
      <c r="V77" s="334">
        <f>+'20 Year Trend'!D77</f>
        <v>0</v>
      </c>
      <c r="W77" s="335">
        <f>+'20 Year Trend'!E77</f>
        <v>8.5000000000000006E-2</v>
      </c>
      <c r="X77" s="336">
        <f>+'20 Year Trend'!F77</f>
        <v>31</v>
      </c>
      <c r="Y77" s="336">
        <f>+'20 Year Trend'!G77</f>
        <v>1</v>
      </c>
      <c r="Z77" s="337">
        <f>+'20 Year Trend'!H77</f>
        <v>96719238.894261658</v>
      </c>
    </row>
    <row r="78" spans="1:26">
      <c r="A78" s="332">
        <f>+'Purchased Power Model '!A78</f>
        <v>39904</v>
      </c>
      <c r="B78" s="338">
        <f>+'Purchased Power Model '!B78</f>
        <v>86741668</v>
      </c>
      <c r="C78" s="334">
        <f>+'Purchased Power Model '!C78</f>
        <v>313.8</v>
      </c>
      <c r="D78" s="334">
        <f>+'Purchased Power Model '!D78</f>
        <v>0</v>
      </c>
      <c r="E78" s="335">
        <f>+'Purchased Power Model '!E78</f>
        <v>8.6999999999999994E-2</v>
      </c>
      <c r="F78" s="336">
        <f>+'Purchased Power Model '!F78</f>
        <v>30</v>
      </c>
      <c r="G78" s="336">
        <f>+'Purchased Power Model '!G78</f>
        <v>1</v>
      </c>
      <c r="H78" s="337">
        <f>+'Purchased Power Model '!H78</f>
        <v>88471212.388548374</v>
      </c>
      <c r="J78" s="332">
        <f>+'10 Year Average'!A78</f>
        <v>39904</v>
      </c>
      <c r="K78" s="338">
        <f>+'10 Year Average'!B78</f>
        <v>86741668</v>
      </c>
      <c r="L78" s="334">
        <f>+'10 Year Average'!C78</f>
        <v>313.8</v>
      </c>
      <c r="M78" s="334">
        <f>+'10 Year Average'!D78</f>
        <v>0</v>
      </c>
      <c r="N78" s="335">
        <f>+'10 Year Average'!E78</f>
        <v>8.6999999999999994E-2</v>
      </c>
      <c r="O78" s="336">
        <f>+'10 Year Average'!F78</f>
        <v>30</v>
      </c>
      <c r="P78" s="336">
        <f>+'10 Year Average'!G78</f>
        <v>1</v>
      </c>
      <c r="Q78" s="337">
        <f>+'10 Year Average'!H78</f>
        <v>88471212.388548374</v>
      </c>
      <c r="S78" s="332">
        <f>+'20 Year Trend'!A78</f>
        <v>39904</v>
      </c>
      <c r="T78" s="338">
        <f>+'20 Year Trend'!B78</f>
        <v>86741668</v>
      </c>
      <c r="U78" s="334">
        <f>+'20 Year Trend'!C78</f>
        <v>313.8</v>
      </c>
      <c r="V78" s="334">
        <f>+'20 Year Trend'!D78</f>
        <v>0</v>
      </c>
      <c r="W78" s="335">
        <f>+'20 Year Trend'!E78</f>
        <v>8.6999999999999994E-2</v>
      </c>
      <c r="X78" s="336">
        <f>+'20 Year Trend'!F78</f>
        <v>30</v>
      </c>
      <c r="Y78" s="336">
        <f>+'20 Year Trend'!G78</f>
        <v>1</v>
      </c>
      <c r="Z78" s="337">
        <f>+'20 Year Trend'!H78</f>
        <v>88471212.388548374</v>
      </c>
    </row>
    <row r="79" spans="1:26">
      <c r="A79" s="332">
        <f>+'Purchased Power Model '!A79</f>
        <v>39934</v>
      </c>
      <c r="B79" s="338">
        <f>+'Purchased Power Model '!B79</f>
        <v>80591893.384615391</v>
      </c>
      <c r="C79" s="334">
        <f>+'Purchased Power Model '!C79</f>
        <v>170.1</v>
      </c>
      <c r="D79" s="334">
        <f>+'Purchased Power Model '!D79</f>
        <v>0</v>
      </c>
      <c r="E79" s="335">
        <f>+'Purchased Power Model '!E79</f>
        <v>8.6999999999999994E-2</v>
      </c>
      <c r="F79" s="336">
        <f>+'Purchased Power Model '!F79</f>
        <v>31</v>
      </c>
      <c r="G79" s="336">
        <f>+'Purchased Power Model '!G79</f>
        <v>1</v>
      </c>
      <c r="H79" s="337">
        <f>+'Purchased Power Model '!H79</f>
        <v>85535728.668332428</v>
      </c>
      <c r="J79" s="332">
        <f>+'10 Year Average'!A79</f>
        <v>39934</v>
      </c>
      <c r="K79" s="338">
        <f>+'10 Year Average'!B79</f>
        <v>80591893.384615391</v>
      </c>
      <c r="L79" s="334">
        <f>+'10 Year Average'!C79</f>
        <v>170.1</v>
      </c>
      <c r="M79" s="334">
        <f>+'10 Year Average'!D79</f>
        <v>0</v>
      </c>
      <c r="N79" s="335">
        <f>+'10 Year Average'!E79</f>
        <v>8.6999999999999994E-2</v>
      </c>
      <c r="O79" s="336">
        <f>+'10 Year Average'!F79</f>
        <v>31</v>
      </c>
      <c r="P79" s="336">
        <f>+'10 Year Average'!G79</f>
        <v>1</v>
      </c>
      <c r="Q79" s="337">
        <f>+'10 Year Average'!H79</f>
        <v>85535728.668332428</v>
      </c>
      <c r="S79" s="332">
        <f>+'20 Year Trend'!A79</f>
        <v>39934</v>
      </c>
      <c r="T79" s="338">
        <f>+'20 Year Trend'!B79</f>
        <v>80591893.384615391</v>
      </c>
      <c r="U79" s="334">
        <f>+'20 Year Trend'!C79</f>
        <v>170.1</v>
      </c>
      <c r="V79" s="334">
        <f>+'20 Year Trend'!D79</f>
        <v>0</v>
      </c>
      <c r="W79" s="335">
        <f>+'20 Year Trend'!E79</f>
        <v>8.6999999999999994E-2</v>
      </c>
      <c r="X79" s="336">
        <f>+'20 Year Trend'!F79</f>
        <v>31</v>
      </c>
      <c r="Y79" s="336">
        <f>+'20 Year Trend'!G79</f>
        <v>1</v>
      </c>
      <c r="Z79" s="337">
        <f>+'20 Year Trend'!H79</f>
        <v>85535728.668332428</v>
      </c>
    </row>
    <row r="80" spans="1:26">
      <c r="A80" s="332">
        <f>+'Purchased Power Model '!A80</f>
        <v>39965</v>
      </c>
      <c r="B80" s="338">
        <f>+'Purchased Power Model '!B80</f>
        <v>84198050.923076928</v>
      </c>
      <c r="C80" s="334">
        <f>+'Purchased Power Model '!C80</f>
        <v>57.9</v>
      </c>
      <c r="D80" s="334">
        <f>+'Purchased Power Model '!D80</f>
        <v>26.3</v>
      </c>
      <c r="E80" s="335">
        <f>+'Purchased Power Model '!E80</f>
        <v>8.6999999999999994E-2</v>
      </c>
      <c r="F80" s="336">
        <f>+'Purchased Power Model '!F80</f>
        <v>30</v>
      </c>
      <c r="G80" s="336">
        <f>+'Purchased Power Model '!G80</f>
        <v>0</v>
      </c>
      <c r="H80" s="337">
        <f>+'Purchased Power Model '!H80</f>
        <v>89118401.658641085</v>
      </c>
      <c r="J80" s="332">
        <f>+'10 Year Average'!A80</f>
        <v>39965</v>
      </c>
      <c r="K80" s="338">
        <f>+'10 Year Average'!B80</f>
        <v>84198050.923076928</v>
      </c>
      <c r="L80" s="334">
        <f>+'10 Year Average'!C80</f>
        <v>57.9</v>
      </c>
      <c r="M80" s="334">
        <f>+'10 Year Average'!D80</f>
        <v>26.3</v>
      </c>
      <c r="N80" s="335">
        <f>+'10 Year Average'!E80</f>
        <v>8.6999999999999994E-2</v>
      </c>
      <c r="O80" s="336">
        <f>+'10 Year Average'!F80</f>
        <v>30</v>
      </c>
      <c r="P80" s="336">
        <f>+'10 Year Average'!G80</f>
        <v>0</v>
      </c>
      <c r="Q80" s="337">
        <f>+'10 Year Average'!H80</f>
        <v>89118401.658641085</v>
      </c>
      <c r="S80" s="332">
        <f>+'20 Year Trend'!A80</f>
        <v>39965</v>
      </c>
      <c r="T80" s="338">
        <f>+'20 Year Trend'!B80</f>
        <v>84198050.923076928</v>
      </c>
      <c r="U80" s="334">
        <f>+'20 Year Trend'!C80</f>
        <v>57.9</v>
      </c>
      <c r="V80" s="334">
        <f>+'20 Year Trend'!D80</f>
        <v>26.3</v>
      </c>
      <c r="W80" s="335">
        <f>+'20 Year Trend'!E80</f>
        <v>8.6999999999999994E-2</v>
      </c>
      <c r="X80" s="336">
        <f>+'20 Year Trend'!F80</f>
        <v>30</v>
      </c>
      <c r="Y80" s="336">
        <f>+'20 Year Trend'!G80</f>
        <v>0</v>
      </c>
      <c r="Z80" s="337">
        <f>+'20 Year Trend'!H80</f>
        <v>89118401.658641085</v>
      </c>
    </row>
    <row r="81" spans="1:26">
      <c r="A81" s="332">
        <f>+'Purchased Power Model '!A81</f>
        <v>39995</v>
      </c>
      <c r="B81" s="338">
        <f>+'Purchased Power Model '!B81</f>
        <v>87831701.059230775</v>
      </c>
      <c r="C81" s="334">
        <f>+'Purchased Power Model '!C81</f>
        <v>16.8</v>
      </c>
      <c r="D81" s="334">
        <f>+'Purchased Power Model '!D81</f>
        <v>25.6</v>
      </c>
      <c r="E81" s="335">
        <f>+'Purchased Power Model '!E81</f>
        <v>9.1999999999999998E-2</v>
      </c>
      <c r="F81" s="336">
        <f>+'Purchased Power Model '!F81</f>
        <v>31</v>
      </c>
      <c r="G81" s="336">
        <f>+'Purchased Power Model '!G81</f>
        <v>0</v>
      </c>
      <c r="H81" s="337">
        <f>+'Purchased Power Model '!H81</f>
        <v>89559767.631675959</v>
      </c>
      <c r="J81" s="332">
        <f>+'10 Year Average'!A81</f>
        <v>39995</v>
      </c>
      <c r="K81" s="338">
        <f>+'10 Year Average'!B81</f>
        <v>87831701.059230775</v>
      </c>
      <c r="L81" s="334">
        <f>+'10 Year Average'!C81</f>
        <v>16.8</v>
      </c>
      <c r="M81" s="334">
        <f>+'10 Year Average'!D81</f>
        <v>25.6</v>
      </c>
      <c r="N81" s="335">
        <f>+'10 Year Average'!E81</f>
        <v>9.1999999999999998E-2</v>
      </c>
      <c r="O81" s="336">
        <f>+'10 Year Average'!F81</f>
        <v>31</v>
      </c>
      <c r="P81" s="336">
        <f>+'10 Year Average'!G81</f>
        <v>0</v>
      </c>
      <c r="Q81" s="337">
        <f>+'10 Year Average'!H81</f>
        <v>89559767.631675959</v>
      </c>
      <c r="S81" s="332">
        <f>+'20 Year Trend'!A81</f>
        <v>39995</v>
      </c>
      <c r="T81" s="338">
        <f>+'20 Year Trend'!B81</f>
        <v>87831701.059230775</v>
      </c>
      <c r="U81" s="334">
        <f>+'20 Year Trend'!C81</f>
        <v>16.8</v>
      </c>
      <c r="V81" s="334">
        <f>+'20 Year Trend'!D81</f>
        <v>25.6</v>
      </c>
      <c r="W81" s="335">
        <f>+'20 Year Trend'!E81</f>
        <v>9.1999999999999998E-2</v>
      </c>
      <c r="X81" s="336">
        <f>+'20 Year Trend'!F81</f>
        <v>31</v>
      </c>
      <c r="Y81" s="336">
        <f>+'20 Year Trend'!G81</f>
        <v>0</v>
      </c>
      <c r="Z81" s="337">
        <f>+'20 Year Trend'!H81</f>
        <v>89559767.631675959</v>
      </c>
    </row>
    <row r="82" spans="1:26">
      <c r="A82" s="332">
        <f>+'Purchased Power Model '!A82</f>
        <v>40026</v>
      </c>
      <c r="B82" s="338">
        <f>+'Purchased Power Model '!B82</f>
        <v>97879755</v>
      </c>
      <c r="C82" s="334">
        <f>+'Purchased Power Model '!C82</f>
        <v>13.1</v>
      </c>
      <c r="D82" s="334">
        <f>+'Purchased Power Model '!D82</f>
        <v>77.7</v>
      </c>
      <c r="E82" s="335">
        <f>+'Purchased Power Model '!E82</f>
        <v>9.1999999999999998E-2</v>
      </c>
      <c r="F82" s="336">
        <f>+'Purchased Power Model '!F82</f>
        <v>31</v>
      </c>
      <c r="G82" s="336">
        <f>+'Purchased Power Model '!G82</f>
        <v>0</v>
      </c>
      <c r="H82" s="337">
        <f>+'Purchased Power Model '!H82</f>
        <v>96728091.924134597</v>
      </c>
      <c r="J82" s="332">
        <f>+'10 Year Average'!A82</f>
        <v>40026</v>
      </c>
      <c r="K82" s="338">
        <f>+'10 Year Average'!B82</f>
        <v>97879755</v>
      </c>
      <c r="L82" s="334">
        <f>+'10 Year Average'!C82</f>
        <v>13.1</v>
      </c>
      <c r="M82" s="334">
        <f>+'10 Year Average'!D82</f>
        <v>77.7</v>
      </c>
      <c r="N82" s="335">
        <f>+'10 Year Average'!E82</f>
        <v>9.1999999999999998E-2</v>
      </c>
      <c r="O82" s="336">
        <f>+'10 Year Average'!F82</f>
        <v>31</v>
      </c>
      <c r="P82" s="336">
        <f>+'10 Year Average'!G82</f>
        <v>0</v>
      </c>
      <c r="Q82" s="337">
        <f>+'10 Year Average'!H82</f>
        <v>96728091.924134597</v>
      </c>
      <c r="S82" s="332">
        <f>+'20 Year Trend'!A82</f>
        <v>40026</v>
      </c>
      <c r="T82" s="338">
        <f>+'20 Year Trend'!B82</f>
        <v>97879755</v>
      </c>
      <c r="U82" s="334">
        <f>+'20 Year Trend'!C82</f>
        <v>13.1</v>
      </c>
      <c r="V82" s="334">
        <f>+'20 Year Trend'!D82</f>
        <v>77.7</v>
      </c>
      <c r="W82" s="335">
        <f>+'20 Year Trend'!E82</f>
        <v>9.1999999999999998E-2</v>
      </c>
      <c r="X82" s="336">
        <f>+'20 Year Trend'!F82</f>
        <v>31</v>
      </c>
      <c r="Y82" s="336">
        <f>+'20 Year Trend'!G82</f>
        <v>0</v>
      </c>
      <c r="Z82" s="337">
        <f>+'20 Year Trend'!H82</f>
        <v>96728091.924134597</v>
      </c>
    </row>
    <row r="83" spans="1:26">
      <c r="A83" s="332">
        <f>+'Purchased Power Model '!A83</f>
        <v>40057</v>
      </c>
      <c r="B83" s="338">
        <f>+'Purchased Power Model '!B83</f>
        <v>83907661.687692314</v>
      </c>
      <c r="C83" s="334">
        <f>+'Purchased Power Model '!C83</f>
        <v>64.8</v>
      </c>
      <c r="D83" s="334">
        <f>+'Purchased Power Model '!D83</f>
        <v>9</v>
      </c>
      <c r="E83" s="335">
        <f>+'Purchased Power Model '!E83</f>
        <v>9.1999999999999998E-2</v>
      </c>
      <c r="F83" s="336">
        <f>+'Purchased Power Model '!F83</f>
        <v>30</v>
      </c>
      <c r="G83" s="336">
        <f>+'Purchased Power Model '!G83</f>
        <v>1</v>
      </c>
      <c r="H83" s="337">
        <f>+'Purchased Power Model '!H83</f>
        <v>79092458.754431084</v>
      </c>
      <c r="J83" s="332">
        <f>+'10 Year Average'!A83</f>
        <v>40057</v>
      </c>
      <c r="K83" s="338">
        <f>+'10 Year Average'!B83</f>
        <v>83907661.687692314</v>
      </c>
      <c r="L83" s="334">
        <f>+'10 Year Average'!C83</f>
        <v>64.8</v>
      </c>
      <c r="M83" s="334">
        <f>+'10 Year Average'!D83</f>
        <v>9</v>
      </c>
      <c r="N83" s="335">
        <f>+'10 Year Average'!E83</f>
        <v>9.1999999999999998E-2</v>
      </c>
      <c r="O83" s="336">
        <f>+'10 Year Average'!F83</f>
        <v>30</v>
      </c>
      <c r="P83" s="336">
        <f>+'10 Year Average'!G83</f>
        <v>1</v>
      </c>
      <c r="Q83" s="337">
        <f>+'10 Year Average'!H83</f>
        <v>79092458.754431084</v>
      </c>
      <c r="S83" s="332">
        <f>+'20 Year Trend'!A83</f>
        <v>40057</v>
      </c>
      <c r="T83" s="338">
        <f>+'20 Year Trend'!B83</f>
        <v>83907661.687692314</v>
      </c>
      <c r="U83" s="334">
        <f>+'20 Year Trend'!C83</f>
        <v>64.8</v>
      </c>
      <c r="V83" s="334">
        <f>+'20 Year Trend'!D83</f>
        <v>9</v>
      </c>
      <c r="W83" s="335">
        <f>+'20 Year Trend'!E83</f>
        <v>9.1999999999999998E-2</v>
      </c>
      <c r="X83" s="336">
        <f>+'20 Year Trend'!F83</f>
        <v>30</v>
      </c>
      <c r="Y83" s="336">
        <f>+'20 Year Trend'!G83</f>
        <v>1</v>
      </c>
      <c r="Z83" s="337">
        <f>+'20 Year Trend'!H83</f>
        <v>79092458.754431084</v>
      </c>
    </row>
    <row r="84" spans="1:26">
      <c r="A84" s="332">
        <f>+'Purchased Power Model '!A84</f>
        <v>40087</v>
      </c>
      <c r="B84" s="338">
        <f>+'Purchased Power Model '!B84</f>
        <v>88097164.336923078</v>
      </c>
      <c r="C84" s="334">
        <f>+'Purchased Power Model '!C84</f>
        <v>287.89999999999998</v>
      </c>
      <c r="D84" s="334">
        <f>+'Purchased Power Model '!D84</f>
        <v>0</v>
      </c>
      <c r="E84" s="335">
        <f>+'Purchased Power Model '!E84</f>
        <v>9.9000000000000005E-2</v>
      </c>
      <c r="F84" s="336">
        <f>+'Purchased Power Model '!F84</f>
        <v>31</v>
      </c>
      <c r="G84" s="336">
        <f>+'Purchased Power Model '!G84</f>
        <v>1</v>
      </c>
      <c r="H84" s="337">
        <f>+'Purchased Power Model '!H84</f>
        <v>88718829.032090873</v>
      </c>
      <c r="J84" s="332">
        <f>+'10 Year Average'!A84</f>
        <v>40087</v>
      </c>
      <c r="K84" s="338">
        <f>+'10 Year Average'!B84</f>
        <v>88097164.336923078</v>
      </c>
      <c r="L84" s="334">
        <f>+'10 Year Average'!C84</f>
        <v>287.89999999999998</v>
      </c>
      <c r="M84" s="334">
        <f>+'10 Year Average'!D84</f>
        <v>0</v>
      </c>
      <c r="N84" s="335">
        <f>+'10 Year Average'!E84</f>
        <v>9.9000000000000005E-2</v>
      </c>
      <c r="O84" s="336">
        <f>+'10 Year Average'!F84</f>
        <v>31</v>
      </c>
      <c r="P84" s="336">
        <f>+'10 Year Average'!G84</f>
        <v>1</v>
      </c>
      <c r="Q84" s="337">
        <f>+'10 Year Average'!H84</f>
        <v>88718829.032090873</v>
      </c>
      <c r="S84" s="332">
        <f>+'20 Year Trend'!A84</f>
        <v>40087</v>
      </c>
      <c r="T84" s="338">
        <f>+'20 Year Trend'!B84</f>
        <v>88097164.336923078</v>
      </c>
      <c r="U84" s="334">
        <f>+'20 Year Trend'!C84</f>
        <v>287.89999999999998</v>
      </c>
      <c r="V84" s="334">
        <f>+'20 Year Trend'!D84</f>
        <v>0</v>
      </c>
      <c r="W84" s="335">
        <f>+'20 Year Trend'!E84</f>
        <v>9.9000000000000005E-2</v>
      </c>
      <c r="X84" s="336">
        <f>+'20 Year Trend'!F84</f>
        <v>31</v>
      </c>
      <c r="Y84" s="336">
        <f>+'20 Year Trend'!G84</f>
        <v>1</v>
      </c>
      <c r="Z84" s="337">
        <f>+'20 Year Trend'!H84</f>
        <v>88718829.032090873</v>
      </c>
    </row>
    <row r="85" spans="1:26">
      <c r="A85" s="332">
        <f>+'Purchased Power Model '!A85</f>
        <v>40118</v>
      </c>
      <c r="B85" s="338">
        <f>+'Purchased Power Model '!B85</f>
        <v>89873866.688461557</v>
      </c>
      <c r="C85" s="334">
        <f>+'Purchased Power Model '!C85</f>
        <v>347.4</v>
      </c>
      <c r="D85" s="334">
        <f>+'Purchased Power Model '!D85</f>
        <v>0</v>
      </c>
      <c r="E85" s="335">
        <f>+'Purchased Power Model '!E85</f>
        <v>9.9000000000000005E-2</v>
      </c>
      <c r="F85" s="336">
        <f>+'Purchased Power Model '!F85</f>
        <v>30</v>
      </c>
      <c r="G85" s="336">
        <f>+'Purchased Power Model '!G85</f>
        <v>1</v>
      </c>
      <c r="H85" s="337">
        <f>+'Purchased Power Model '!H85</f>
        <v>88273413.291173413</v>
      </c>
      <c r="J85" s="332">
        <f>+'10 Year Average'!A85</f>
        <v>40118</v>
      </c>
      <c r="K85" s="338">
        <f>+'10 Year Average'!B85</f>
        <v>89873866.688461557</v>
      </c>
      <c r="L85" s="334">
        <f>+'10 Year Average'!C85</f>
        <v>347.4</v>
      </c>
      <c r="M85" s="334">
        <f>+'10 Year Average'!D85</f>
        <v>0</v>
      </c>
      <c r="N85" s="335">
        <f>+'10 Year Average'!E85</f>
        <v>9.9000000000000005E-2</v>
      </c>
      <c r="O85" s="336">
        <f>+'10 Year Average'!F85</f>
        <v>30</v>
      </c>
      <c r="P85" s="336">
        <f>+'10 Year Average'!G85</f>
        <v>1</v>
      </c>
      <c r="Q85" s="337">
        <f>+'10 Year Average'!H85</f>
        <v>88273413.291173413</v>
      </c>
      <c r="S85" s="332">
        <f>+'20 Year Trend'!A85</f>
        <v>40118</v>
      </c>
      <c r="T85" s="338">
        <f>+'20 Year Trend'!B85</f>
        <v>89873866.688461557</v>
      </c>
      <c r="U85" s="334">
        <f>+'20 Year Trend'!C85</f>
        <v>347.4</v>
      </c>
      <c r="V85" s="334">
        <f>+'20 Year Trend'!D85</f>
        <v>0</v>
      </c>
      <c r="W85" s="335">
        <f>+'20 Year Trend'!E85</f>
        <v>9.9000000000000005E-2</v>
      </c>
      <c r="X85" s="336">
        <f>+'20 Year Trend'!F85</f>
        <v>30</v>
      </c>
      <c r="Y85" s="336">
        <f>+'20 Year Trend'!G85</f>
        <v>1</v>
      </c>
      <c r="Z85" s="337">
        <f>+'20 Year Trend'!H85</f>
        <v>88273413.291173413</v>
      </c>
    </row>
    <row r="86" spans="1:26">
      <c r="A86" s="332">
        <f>+'Purchased Power Model '!A86</f>
        <v>40148</v>
      </c>
      <c r="B86" s="338">
        <f>+'Purchased Power Model '!B86</f>
        <v>109709991.43076923</v>
      </c>
      <c r="C86" s="334">
        <f>+'Purchased Power Model '!C86</f>
        <v>619.1</v>
      </c>
      <c r="D86" s="334">
        <f>+'Purchased Power Model '!D86</f>
        <v>0</v>
      </c>
      <c r="E86" s="335">
        <f>+'Purchased Power Model '!E86</f>
        <v>9.9000000000000005E-2</v>
      </c>
      <c r="F86" s="336">
        <f>+'Purchased Power Model '!F86</f>
        <v>31</v>
      </c>
      <c r="G86" s="336">
        <f>+'Purchased Power Model '!G86</f>
        <v>0</v>
      </c>
      <c r="H86" s="337">
        <f>+'Purchased Power Model '!H86</f>
        <v>109246406.76055576</v>
      </c>
      <c r="J86" s="332">
        <f>+'10 Year Average'!A86</f>
        <v>40148</v>
      </c>
      <c r="K86" s="338">
        <f>+'10 Year Average'!B86</f>
        <v>109709991.43076923</v>
      </c>
      <c r="L86" s="334">
        <f>+'10 Year Average'!C86</f>
        <v>619.1</v>
      </c>
      <c r="M86" s="334">
        <f>+'10 Year Average'!D86</f>
        <v>0</v>
      </c>
      <c r="N86" s="335">
        <f>+'10 Year Average'!E86</f>
        <v>9.9000000000000005E-2</v>
      </c>
      <c r="O86" s="336">
        <f>+'10 Year Average'!F86</f>
        <v>31</v>
      </c>
      <c r="P86" s="336">
        <f>+'10 Year Average'!G86</f>
        <v>0</v>
      </c>
      <c r="Q86" s="337">
        <f>+'10 Year Average'!H86</f>
        <v>109246406.76055576</v>
      </c>
      <c r="S86" s="332">
        <f>+'20 Year Trend'!A86</f>
        <v>40148</v>
      </c>
      <c r="T86" s="338">
        <f>+'20 Year Trend'!B86</f>
        <v>109709991.43076923</v>
      </c>
      <c r="U86" s="334">
        <f>+'20 Year Trend'!C86</f>
        <v>619.1</v>
      </c>
      <c r="V86" s="334">
        <f>+'20 Year Trend'!D86</f>
        <v>0</v>
      </c>
      <c r="W86" s="335">
        <f>+'20 Year Trend'!E86</f>
        <v>9.9000000000000005E-2</v>
      </c>
      <c r="X86" s="336">
        <f>+'20 Year Trend'!F86</f>
        <v>31</v>
      </c>
      <c r="Y86" s="336">
        <f>+'20 Year Trend'!G86</f>
        <v>0</v>
      </c>
      <c r="Z86" s="337">
        <f>+'20 Year Trend'!H86</f>
        <v>109246406.76055576</v>
      </c>
    </row>
    <row r="87" spans="1:26">
      <c r="A87" s="332">
        <f>+'Purchased Power Model '!A87</f>
        <v>40179</v>
      </c>
      <c r="B87" s="338">
        <f>+'Purchased Power Model '!B87</f>
        <v>114148404.02769232</v>
      </c>
      <c r="C87" s="334">
        <f>+'Purchased Power Model '!C87</f>
        <v>699.9</v>
      </c>
      <c r="D87" s="334">
        <f>+'Purchased Power Model '!D87</f>
        <v>0</v>
      </c>
      <c r="E87" s="335">
        <f>+'Purchased Power Model '!E87</f>
        <v>0.10300000000000001</v>
      </c>
      <c r="F87" s="336">
        <f>+'Purchased Power Model '!F87</f>
        <v>31</v>
      </c>
      <c r="G87" s="336">
        <f>+'Purchased Power Model '!G87</f>
        <v>0</v>
      </c>
      <c r="H87" s="337">
        <f>+'Purchased Power Model '!H87</f>
        <v>111975136.46556638</v>
      </c>
      <c r="J87" s="332">
        <f>+'10 Year Average'!A87</f>
        <v>40179</v>
      </c>
      <c r="K87" s="338">
        <f>+'10 Year Average'!B87</f>
        <v>114148404.02769232</v>
      </c>
      <c r="L87" s="334">
        <f>+'10 Year Average'!C87</f>
        <v>699.9</v>
      </c>
      <c r="M87" s="334">
        <f>+'10 Year Average'!D87</f>
        <v>0</v>
      </c>
      <c r="N87" s="335">
        <f>+'10 Year Average'!E87</f>
        <v>0.10300000000000001</v>
      </c>
      <c r="O87" s="336">
        <f>+'10 Year Average'!F87</f>
        <v>31</v>
      </c>
      <c r="P87" s="336">
        <f>+'10 Year Average'!G87</f>
        <v>0</v>
      </c>
      <c r="Q87" s="337">
        <f>+'10 Year Average'!H87</f>
        <v>111975136.46556638</v>
      </c>
      <c r="S87" s="332">
        <f>+'20 Year Trend'!A87</f>
        <v>40179</v>
      </c>
      <c r="T87" s="338">
        <f>+'20 Year Trend'!B87</f>
        <v>114148404.02769232</v>
      </c>
      <c r="U87" s="334">
        <f>+'20 Year Trend'!C87</f>
        <v>699.9</v>
      </c>
      <c r="V87" s="334">
        <f>+'20 Year Trend'!D87</f>
        <v>0</v>
      </c>
      <c r="W87" s="335">
        <f>+'20 Year Trend'!E87</f>
        <v>0.10300000000000001</v>
      </c>
      <c r="X87" s="336">
        <f>+'20 Year Trend'!F87</f>
        <v>31</v>
      </c>
      <c r="Y87" s="336">
        <f>+'20 Year Trend'!G87</f>
        <v>0</v>
      </c>
      <c r="Z87" s="337">
        <f>+'20 Year Trend'!H87</f>
        <v>111975136.46556638</v>
      </c>
    </row>
    <row r="88" spans="1:26">
      <c r="A88" s="332">
        <f>+'Purchased Power Model '!A88</f>
        <v>40210</v>
      </c>
      <c r="B88" s="338">
        <f>+'Purchased Power Model '!B88</f>
        <v>100280891.65769231</v>
      </c>
      <c r="C88" s="334">
        <f>+'Purchased Power Model '!C88</f>
        <v>583.79999999999995</v>
      </c>
      <c r="D88" s="334">
        <f>+'Purchased Power Model '!D88</f>
        <v>0</v>
      </c>
      <c r="E88" s="335">
        <f>+'Purchased Power Model '!E88</f>
        <v>0.10300000000000001</v>
      </c>
      <c r="F88" s="336">
        <f>+'Purchased Power Model '!F88</f>
        <v>28</v>
      </c>
      <c r="G88" s="336">
        <f>+'Purchased Power Model '!G88</f>
        <v>0</v>
      </c>
      <c r="H88" s="337">
        <f>+'Purchased Power Model '!H88</f>
        <v>98809756.448872194</v>
      </c>
      <c r="J88" s="332">
        <f>+'10 Year Average'!A88</f>
        <v>40210</v>
      </c>
      <c r="K88" s="338">
        <f>+'10 Year Average'!B88</f>
        <v>100280891.65769231</v>
      </c>
      <c r="L88" s="334">
        <f>+'10 Year Average'!C88</f>
        <v>583.79999999999995</v>
      </c>
      <c r="M88" s="334">
        <f>+'10 Year Average'!D88</f>
        <v>0</v>
      </c>
      <c r="N88" s="335">
        <f>+'10 Year Average'!E88</f>
        <v>0.10300000000000001</v>
      </c>
      <c r="O88" s="336">
        <f>+'10 Year Average'!F88</f>
        <v>28</v>
      </c>
      <c r="P88" s="336">
        <f>+'10 Year Average'!G88</f>
        <v>0</v>
      </c>
      <c r="Q88" s="337">
        <f>+'10 Year Average'!H88</f>
        <v>98809756.448872194</v>
      </c>
      <c r="S88" s="332">
        <f>+'20 Year Trend'!A88</f>
        <v>40210</v>
      </c>
      <c r="T88" s="338">
        <f>+'20 Year Trend'!B88</f>
        <v>100280891.65769231</v>
      </c>
      <c r="U88" s="334">
        <f>+'20 Year Trend'!C88</f>
        <v>583.79999999999995</v>
      </c>
      <c r="V88" s="334">
        <f>+'20 Year Trend'!D88</f>
        <v>0</v>
      </c>
      <c r="W88" s="335">
        <f>+'20 Year Trend'!E88</f>
        <v>0.10300000000000001</v>
      </c>
      <c r="X88" s="336">
        <f>+'20 Year Trend'!F88</f>
        <v>28</v>
      </c>
      <c r="Y88" s="336">
        <f>+'20 Year Trend'!G88</f>
        <v>0</v>
      </c>
      <c r="Z88" s="337">
        <f>+'20 Year Trend'!H88</f>
        <v>98809756.448872194</v>
      </c>
    </row>
    <row r="89" spans="1:26">
      <c r="A89" s="332">
        <f>+'Purchased Power Model '!A89</f>
        <v>40238</v>
      </c>
      <c r="B89" s="338">
        <f>+'Purchased Power Model '!B89</f>
        <v>95443611.384615391</v>
      </c>
      <c r="C89" s="334">
        <f>+'Purchased Power Model '!C89</f>
        <v>411</v>
      </c>
      <c r="D89" s="334">
        <f>+'Purchased Power Model '!D89</f>
        <v>0</v>
      </c>
      <c r="E89" s="335">
        <f>+'Purchased Power Model '!E89</f>
        <v>0.10300000000000001</v>
      </c>
      <c r="F89" s="336">
        <f>+'Purchased Power Model '!F89</f>
        <v>31</v>
      </c>
      <c r="G89" s="336">
        <f>+'Purchased Power Model '!G89</f>
        <v>1</v>
      </c>
      <c r="H89" s="337">
        <f>+'Purchased Power Model '!H89</f>
        <v>93146039.107718393</v>
      </c>
      <c r="J89" s="332">
        <f>+'10 Year Average'!A89</f>
        <v>40238</v>
      </c>
      <c r="K89" s="338">
        <f>+'10 Year Average'!B89</f>
        <v>95443611.384615391</v>
      </c>
      <c r="L89" s="334">
        <f>+'10 Year Average'!C89</f>
        <v>411</v>
      </c>
      <c r="M89" s="334">
        <f>+'10 Year Average'!D89</f>
        <v>0</v>
      </c>
      <c r="N89" s="335">
        <f>+'10 Year Average'!E89</f>
        <v>0.10300000000000001</v>
      </c>
      <c r="O89" s="336">
        <f>+'10 Year Average'!F89</f>
        <v>31</v>
      </c>
      <c r="P89" s="336">
        <f>+'10 Year Average'!G89</f>
        <v>1</v>
      </c>
      <c r="Q89" s="337">
        <f>+'10 Year Average'!H89</f>
        <v>93146039.107718393</v>
      </c>
      <c r="S89" s="332">
        <f>+'20 Year Trend'!A89</f>
        <v>40238</v>
      </c>
      <c r="T89" s="338">
        <f>+'20 Year Trend'!B89</f>
        <v>95443611.384615391</v>
      </c>
      <c r="U89" s="334">
        <f>+'20 Year Trend'!C89</f>
        <v>411</v>
      </c>
      <c r="V89" s="334">
        <f>+'20 Year Trend'!D89</f>
        <v>0</v>
      </c>
      <c r="W89" s="335">
        <f>+'20 Year Trend'!E89</f>
        <v>0.10300000000000001</v>
      </c>
      <c r="X89" s="336">
        <f>+'20 Year Trend'!F89</f>
        <v>31</v>
      </c>
      <c r="Y89" s="336">
        <f>+'20 Year Trend'!G89</f>
        <v>1</v>
      </c>
      <c r="Z89" s="337">
        <f>+'20 Year Trend'!H89</f>
        <v>93146039.107718393</v>
      </c>
    </row>
    <row r="90" spans="1:26">
      <c r="A90" s="332">
        <f>+'Purchased Power Model '!A90</f>
        <v>40269</v>
      </c>
      <c r="B90" s="338">
        <f>+'Purchased Power Model '!B90</f>
        <v>80941805.90538463</v>
      </c>
      <c r="C90" s="334">
        <f>+'Purchased Power Model '!C90</f>
        <v>244</v>
      </c>
      <c r="D90" s="334">
        <f>+'Purchased Power Model '!D90</f>
        <v>0</v>
      </c>
      <c r="E90" s="335">
        <f>+'Purchased Power Model '!E90</f>
        <v>9.9000000000000005E-2</v>
      </c>
      <c r="F90" s="336">
        <f>+'Purchased Power Model '!F90</f>
        <v>30</v>
      </c>
      <c r="G90" s="336">
        <f>+'Purchased Power Model '!G90</f>
        <v>1</v>
      </c>
      <c r="H90" s="337">
        <f>+'Purchased Power Model '!H90</f>
        <v>84121572.38522099</v>
      </c>
      <c r="J90" s="332">
        <f>+'10 Year Average'!A90</f>
        <v>40269</v>
      </c>
      <c r="K90" s="338">
        <f>+'10 Year Average'!B90</f>
        <v>80941805.90538463</v>
      </c>
      <c r="L90" s="334">
        <f>+'10 Year Average'!C90</f>
        <v>244</v>
      </c>
      <c r="M90" s="334">
        <f>+'10 Year Average'!D90</f>
        <v>0</v>
      </c>
      <c r="N90" s="335">
        <f>+'10 Year Average'!E90</f>
        <v>9.9000000000000005E-2</v>
      </c>
      <c r="O90" s="336">
        <f>+'10 Year Average'!F90</f>
        <v>30</v>
      </c>
      <c r="P90" s="336">
        <f>+'10 Year Average'!G90</f>
        <v>1</v>
      </c>
      <c r="Q90" s="337">
        <f>+'10 Year Average'!H90</f>
        <v>84121572.38522099</v>
      </c>
      <c r="S90" s="332">
        <f>+'20 Year Trend'!A90</f>
        <v>40269</v>
      </c>
      <c r="T90" s="338">
        <f>+'20 Year Trend'!B90</f>
        <v>80941805.90538463</v>
      </c>
      <c r="U90" s="334">
        <f>+'20 Year Trend'!C90</f>
        <v>244</v>
      </c>
      <c r="V90" s="334">
        <f>+'20 Year Trend'!D90</f>
        <v>0</v>
      </c>
      <c r="W90" s="335">
        <f>+'20 Year Trend'!E90</f>
        <v>9.9000000000000005E-2</v>
      </c>
      <c r="X90" s="336">
        <f>+'20 Year Trend'!F90</f>
        <v>30</v>
      </c>
      <c r="Y90" s="336">
        <f>+'20 Year Trend'!G90</f>
        <v>1</v>
      </c>
      <c r="Z90" s="337">
        <f>+'20 Year Trend'!H90</f>
        <v>84121572.38522099</v>
      </c>
    </row>
    <row r="91" spans="1:26">
      <c r="A91" s="332">
        <f>+'Purchased Power Model '!A91</f>
        <v>40299</v>
      </c>
      <c r="B91" s="338">
        <f>+'Purchased Power Model '!B91</f>
        <v>87418768.25846155</v>
      </c>
      <c r="C91" s="334">
        <f>+'Purchased Power Model '!C91</f>
        <v>121.7</v>
      </c>
      <c r="D91" s="334">
        <f>+'Purchased Power Model '!D91</f>
        <v>23.2</v>
      </c>
      <c r="E91" s="335">
        <f>+'Purchased Power Model '!E91</f>
        <v>9.9000000000000005E-2</v>
      </c>
      <c r="F91" s="336">
        <f>+'Purchased Power Model '!F91</f>
        <v>31</v>
      </c>
      <c r="G91" s="336">
        <f>+'Purchased Power Model '!G91</f>
        <v>1</v>
      </c>
      <c r="H91" s="337">
        <f>+'Purchased Power Model '!H91</f>
        <v>85303560.51495561</v>
      </c>
      <c r="J91" s="332">
        <f>+'10 Year Average'!A91</f>
        <v>40299</v>
      </c>
      <c r="K91" s="338">
        <f>+'10 Year Average'!B91</f>
        <v>87418768.25846155</v>
      </c>
      <c r="L91" s="334">
        <f>+'10 Year Average'!C91</f>
        <v>121.7</v>
      </c>
      <c r="M91" s="334">
        <f>+'10 Year Average'!D91</f>
        <v>23.2</v>
      </c>
      <c r="N91" s="335">
        <f>+'10 Year Average'!E91</f>
        <v>9.9000000000000005E-2</v>
      </c>
      <c r="O91" s="336">
        <f>+'10 Year Average'!F91</f>
        <v>31</v>
      </c>
      <c r="P91" s="336">
        <f>+'10 Year Average'!G91</f>
        <v>1</v>
      </c>
      <c r="Q91" s="337">
        <f>+'10 Year Average'!H91</f>
        <v>85303560.51495561</v>
      </c>
      <c r="S91" s="332">
        <f>+'20 Year Trend'!A91</f>
        <v>40299</v>
      </c>
      <c r="T91" s="338">
        <f>+'20 Year Trend'!B91</f>
        <v>87418768.25846155</v>
      </c>
      <c r="U91" s="334">
        <f>+'20 Year Trend'!C91</f>
        <v>121.7</v>
      </c>
      <c r="V91" s="334">
        <f>+'20 Year Trend'!D91</f>
        <v>23.2</v>
      </c>
      <c r="W91" s="335">
        <f>+'20 Year Trend'!E91</f>
        <v>9.9000000000000005E-2</v>
      </c>
      <c r="X91" s="336">
        <f>+'20 Year Trend'!F91</f>
        <v>31</v>
      </c>
      <c r="Y91" s="336">
        <f>+'20 Year Trend'!G91</f>
        <v>1</v>
      </c>
      <c r="Z91" s="337">
        <f>+'20 Year Trend'!H91</f>
        <v>85303560.51495561</v>
      </c>
    </row>
    <row r="92" spans="1:26">
      <c r="A92" s="332">
        <f>+'Purchased Power Model '!A92</f>
        <v>40330</v>
      </c>
      <c r="B92" s="338">
        <f>+'Purchased Power Model '!B92</f>
        <v>89087288.937692314</v>
      </c>
      <c r="C92" s="334">
        <f>+'Purchased Power Model '!C92</f>
        <v>19.399999999999999</v>
      </c>
      <c r="D92" s="334">
        <f>+'Purchased Power Model '!D92</f>
        <v>46.6</v>
      </c>
      <c r="E92" s="335">
        <f>+'Purchased Power Model '!E92</f>
        <v>9.9000000000000005E-2</v>
      </c>
      <c r="F92" s="336">
        <f>+'Purchased Power Model '!F92</f>
        <v>30</v>
      </c>
      <c r="G92" s="336">
        <f>+'Purchased Power Model '!G92</f>
        <v>0</v>
      </c>
      <c r="H92" s="337">
        <f>+'Purchased Power Model '!H92</f>
        <v>88876476.017176658</v>
      </c>
      <c r="J92" s="332">
        <f>+'10 Year Average'!A92</f>
        <v>40330</v>
      </c>
      <c r="K92" s="338">
        <f>+'10 Year Average'!B92</f>
        <v>89087288.937692314</v>
      </c>
      <c r="L92" s="334">
        <f>+'10 Year Average'!C92</f>
        <v>19.399999999999999</v>
      </c>
      <c r="M92" s="334">
        <f>+'10 Year Average'!D92</f>
        <v>46.6</v>
      </c>
      <c r="N92" s="335">
        <f>+'10 Year Average'!E92</f>
        <v>9.9000000000000005E-2</v>
      </c>
      <c r="O92" s="336">
        <f>+'10 Year Average'!F92</f>
        <v>30</v>
      </c>
      <c r="P92" s="336">
        <f>+'10 Year Average'!G92</f>
        <v>0</v>
      </c>
      <c r="Q92" s="337">
        <f>+'10 Year Average'!H92</f>
        <v>88876476.017176658</v>
      </c>
      <c r="S92" s="332">
        <f>+'20 Year Trend'!A92</f>
        <v>40330</v>
      </c>
      <c r="T92" s="338">
        <f>+'20 Year Trend'!B92</f>
        <v>89087288.937692314</v>
      </c>
      <c r="U92" s="334">
        <f>+'20 Year Trend'!C92</f>
        <v>19.399999999999999</v>
      </c>
      <c r="V92" s="334">
        <f>+'20 Year Trend'!D92</f>
        <v>46.6</v>
      </c>
      <c r="W92" s="335">
        <f>+'20 Year Trend'!E92</f>
        <v>9.9000000000000005E-2</v>
      </c>
      <c r="X92" s="336">
        <f>+'20 Year Trend'!F92</f>
        <v>30</v>
      </c>
      <c r="Y92" s="336">
        <f>+'20 Year Trend'!G92</f>
        <v>0</v>
      </c>
      <c r="Z92" s="337">
        <f>+'20 Year Trend'!H92</f>
        <v>88876476.017176658</v>
      </c>
    </row>
    <row r="93" spans="1:26">
      <c r="A93" s="332">
        <f>+'Purchased Power Model '!A93</f>
        <v>40360</v>
      </c>
      <c r="B93" s="338">
        <f>+'Purchased Power Model '!B93</f>
        <v>107904059.08</v>
      </c>
      <c r="C93" s="334">
        <f>+'Purchased Power Model '!C93</f>
        <v>3.5</v>
      </c>
      <c r="D93" s="334">
        <f>+'Purchased Power Model '!D93</f>
        <v>124</v>
      </c>
      <c r="E93" s="335">
        <f>+'Purchased Power Model '!E93</f>
        <v>0.10400000000000001</v>
      </c>
      <c r="F93" s="336">
        <f>+'Purchased Power Model '!F93</f>
        <v>31</v>
      </c>
      <c r="G93" s="336">
        <f>+'Purchased Power Model '!G93</f>
        <v>0</v>
      </c>
      <c r="H93" s="337">
        <f>+'Purchased Power Model '!H93</f>
        <v>101298017.36815929</v>
      </c>
      <c r="J93" s="332">
        <f>+'10 Year Average'!A93</f>
        <v>40360</v>
      </c>
      <c r="K93" s="338">
        <f>+'10 Year Average'!B93</f>
        <v>107904059.08</v>
      </c>
      <c r="L93" s="334">
        <f>+'10 Year Average'!C93</f>
        <v>3.5</v>
      </c>
      <c r="M93" s="334">
        <f>+'10 Year Average'!D93</f>
        <v>124</v>
      </c>
      <c r="N93" s="335">
        <f>+'10 Year Average'!E93</f>
        <v>0.10400000000000001</v>
      </c>
      <c r="O93" s="336">
        <f>+'10 Year Average'!F93</f>
        <v>31</v>
      </c>
      <c r="P93" s="336">
        <f>+'10 Year Average'!G93</f>
        <v>0</v>
      </c>
      <c r="Q93" s="337">
        <f>+'10 Year Average'!H93</f>
        <v>101298017.36815929</v>
      </c>
      <c r="S93" s="332">
        <f>+'20 Year Trend'!A93</f>
        <v>40360</v>
      </c>
      <c r="T93" s="338">
        <f>+'20 Year Trend'!B93</f>
        <v>107904059.08</v>
      </c>
      <c r="U93" s="334">
        <f>+'20 Year Trend'!C93</f>
        <v>3.5</v>
      </c>
      <c r="V93" s="334">
        <f>+'20 Year Trend'!D93</f>
        <v>124</v>
      </c>
      <c r="W93" s="335">
        <f>+'20 Year Trend'!E93</f>
        <v>0.10400000000000001</v>
      </c>
      <c r="X93" s="336">
        <f>+'20 Year Trend'!F93</f>
        <v>31</v>
      </c>
      <c r="Y93" s="336">
        <f>+'20 Year Trend'!G93</f>
        <v>0</v>
      </c>
      <c r="Z93" s="337">
        <f>+'20 Year Trend'!H93</f>
        <v>101298017.36815929</v>
      </c>
    </row>
    <row r="94" spans="1:26">
      <c r="A94" s="332">
        <f>+'Purchased Power Model '!A94</f>
        <v>40391</v>
      </c>
      <c r="B94" s="338">
        <f>+'Purchased Power Model '!B94</f>
        <v>102274426.19461538</v>
      </c>
      <c r="C94" s="334">
        <f>+'Purchased Power Model '!C94</f>
        <v>3.2</v>
      </c>
      <c r="D94" s="334">
        <f>+'Purchased Power Model '!D94</f>
        <v>96.8</v>
      </c>
      <c r="E94" s="335">
        <f>+'Purchased Power Model '!E94</f>
        <v>0.10400000000000001</v>
      </c>
      <c r="F94" s="336">
        <f>+'Purchased Power Model '!F94</f>
        <v>31</v>
      </c>
      <c r="G94" s="336">
        <f>+'Purchased Power Model '!G94</f>
        <v>0</v>
      </c>
      <c r="H94" s="337">
        <f>+'Purchased Power Model '!H94</f>
        <v>97466020.566853017</v>
      </c>
      <c r="J94" s="332">
        <f>+'10 Year Average'!A94</f>
        <v>40391</v>
      </c>
      <c r="K94" s="338">
        <f>+'10 Year Average'!B94</f>
        <v>102274426.19461538</v>
      </c>
      <c r="L94" s="334">
        <f>+'10 Year Average'!C94</f>
        <v>3.2</v>
      </c>
      <c r="M94" s="334">
        <f>+'10 Year Average'!D94</f>
        <v>96.8</v>
      </c>
      <c r="N94" s="335">
        <f>+'10 Year Average'!E94</f>
        <v>0.10400000000000001</v>
      </c>
      <c r="O94" s="336">
        <f>+'10 Year Average'!F94</f>
        <v>31</v>
      </c>
      <c r="P94" s="336">
        <f>+'10 Year Average'!G94</f>
        <v>0</v>
      </c>
      <c r="Q94" s="337">
        <f>+'10 Year Average'!H94</f>
        <v>97466020.566853017</v>
      </c>
      <c r="S94" s="332">
        <f>+'20 Year Trend'!A94</f>
        <v>40391</v>
      </c>
      <c r="T94" s="338">
        <f>+'20 Year Trend'!B94</f>
        <v>102274426.19461538</v>
      </c>
      <c r="U94" s="334">
        <f>+'20 Year Trend'!C94</f>
        <v>3.2</v>
      </c>
      <c r="V94" s="334">
        <f>+'20 Year Trend'!D94</f>
        <v>96.8</v>
      </c>
      <c r="W94" s="335">
        <f>+'20 Year Trend'!E94</f>
        <v>0.10400000000000001</v>
      </c>
      <c r="X94" s="336">
        <f>+'20 Year Trend'!F94</f>
        <v>31</v>
      </c>
      <c r="Y94" s="336">
        <f>+'20 Year Trend'!G94</f>
        <v>0</v>
      </c>
      <c r="Z94" s="337">
        <f>+'20 Year Trend'!H94</f>
        <v>97466020.566853017</v>
      </c>
    </row>
    <row r="95" spans="1:26">
      <c r="A95" s="332">
        <f>+'Purchased Power Model '!A95</f>
        <v>40422</v>
      </c>
      <c r="B95" s="338">
        <f>+'Purchased Power Model '!B95</f>
        <v>83491002.500769228</v>
      </c>
      <c r="C95" s="334">
        <f>+'Purchased Power Model '!C95</f>
        <v>85.5</v>
      </c>
      <c r="D95" s="334">
        <f>+'Purchased Power Model '!D95</f>
        <v>18.5</v>
      </c>
      <c r="E95" s="335">
        <f>+'Purchased Power Model '!E95</f>
        <v>0.10400000000000001</v>
      </c>
      <c r="F95" s="336">
        <f>+'Purchased Power Model '!F95</f>
        <v>30</v>
      </c>
      <c r="G95" s="336">
        <f>+'Purchased Power Model '!G95</f>
        <v>1</v>
      </c>
      <c r="H95" s="337">
        <f>+'Purchased Power Model '!H95</f>
        <v>79710857.380865946</v>
      </c>
      <c r="J95" s="332">
        <f>+'10 Year Average'!A95</f>
        <v>40422</v>
      </c>
      <c r="K95" s="338">
        <f>+'10 Year Average'!B95</f>
        <v>83491002.500769228</v>
      </c>
      <c r="L95" s="334">
        <f>+'10 Year Average'!C95</f>
        <v>85.5</v>
      </c>
      <c r="M95" s="334">
        <f>+'10 Year Average'!D95</f>
        <v>18.5</v>
      </c>
      <c r="N95" s="335">
        <f>+'10 Year Average'!E95</f>
        <v>0.10400000000000001</v>
      </c>
      <c r="O95" s="336">
        <f>+'10 Year Average'!F95</f>
        <v>30</v>
      </c>
      <c r="P95" s="336">
        <f>+'10 Year Average'!G95</f>
        <v>1</v>
      </c>
      <c r="Q95" s="337">
        <f>+'10 Year Average'!H95</f>
        <v>79710857.380865946</v>
      </c>
      <c r="S95" s="332">
        <f>+'20 Year Trend'!A95</f>
        <v>40422</v>
      </c>
      <c r="T95" s="338">
        <f>+'20 Year Trend'!B95</f>
        <v>83491002.500769228</v>
      </c>
      <c r="U95" s="334">
        <f>+'20 Year Trend'!C95</f>
        <v>85.5</v>
      </c>
      <c r="V95" s="334">
        <f>+'20 Year Trend'!D95</f>
        <v>18.5</v>
      </c>
      <c r="W95" s="335">
        <f>+'20 Year Trend'!E95</f>
        <v>0.10400000000000001</v>
      </c>
      <c r="X95" s="336">
        <f>+'20 Year Trend'!F95</f>
        <v>30</v>
      </c>
      <c r="Y95" s="336">
        <f>+'20 Year Trend'!G95</f>
        <v>1</v>
      </c>
      <c r="Z95" s="337">
        <f>+'20 Year Trend'!H95</f>
        <v>79710857.380865946</v>
      </c>
    </row>
    <row r="96" spans="1:26">
      <c r="A96" s="332">
        <f>+'Purchased Power Model '!A96</f>
        <v>40452</v>
      </c>
      <c r="B96" s="338">
        <f>+'Purchased Power Model '!B96</f>
        <v>84900189.230769232</v>
      </c>
      <c r="C96" s="334">
        <f>+'Purchased Power Model '!C96</f>
        <v>247.8</v>
      </c>
      <c r="D96" s="334">
        <f>+'Purchased Power Model '!D96</f>
        <v>0</v>
      </c>
      <c r="E96" s="335">
        <f>+'Purchased Power Model '!E96</f>
        <v>9.3000000000000013E-2</v>
      </c>
      <c r="F96" s="336">
        <f>+'Purchased Power Model '!F96</f>
        <v>31</v>
      </c>
      <c r="G96" s="336">
        <f>+'Purchased Power Model '!G96</f>
        <v>1</v>
      </c>
      <c r="H96" s="337">
        <f>+'Purchased Power Model '!H96</f>
        <v>87882159.014930263</v>
      </c>
      <c r="J96" s="332">
        <f>+'10 Year Average'!A96</f>
        <v>40452</v>
      </c>
      <c r="K96" s="338">
        <f>+'10 Year Average'!B96</f>
        <v>84900189.230769232</v>
      </c>
      <c r="L96" s="334">
        <f>+'10 Year Average'!C96</f>
        <v>247.8</v>
      </c>
      <c r="M96" s="334">
        <f>+'10 Year Average'!D96</f>
        <v>0</v>
      </c>
      <c r="N96" s="335">
        <f>+'10 Year Average'!E96</f>
        <v>9.3000000000000013E-2</v>
      </c>
      <c r="O96" s="336">
        <f>+'10 Year Average'!F96</f>
        <v>31</v>
      </c>
      <c r="P96" s="336">
        <f>+'10 Year Average'!G96</f>
        <v>1</v>
      </c>
      <c r="Q96" s="337">
        <f>+'10 Year Average'!H96</f>
        <v>87882159.014930263</v>
      </c>
      <c r="S96" s="332">
        <f>+'20 Year Trend'!A96</f>
        <v>40452</v>
      </c>
      <c r="T96" s="338">
        <f>+'20 Year Trend'!B96</f>
        <v>84900189.230769232</v>
      </c>
      <c r="U96" s="334">
        <f>+'20 Year Trend'!C96</f>
        <v>247.8</v>
      </c>
      <c r="V96" s="334">
        <f>+'20 Year Trend'!D96</f>
        <v>0</v>
      </c>
      <c r="W96" s="335">
        <f>+'20 Year Trend'!E96</f>
        <v>9.3000000000000013E-2</v>
      </c>
      <c r="X96" s="336">
        <f>+'20 Year Trend'!F96</f>
        <v>31</v>
      </c>
      <c r="Y96" s="336">
        <f>+'20 Year Trend'!G96</f>
        <v>1</v>
      </c>
      <c r="Z96" s="337">
        <f>+'20 Year Trend'!H96</f>
        <v>87882159.014930263</v>
      </c>
    </row>
    <row r="97" spans="1:26">
      <c r="A97" s="332">
        <f>+'Purchased Power Model '!A97</f>
        <v>40483</v>
      </c>
      <c r="B97" s="338">
        <f>+'Purchased Power Model '!B97</f>
        <v>91736751.63692309</v>
      </c>
      <c r="C97" s="334">
        <f>+'Purchased Power Model '!C97</f>
        <v>389.2</v>
      </c>
      <c r="D97" s="334">
        <f>+'Purchased Power Model '!D97</f>
        <v>0</v>
      </c>
      <c r="E97" s="335">
        <f>+'Purchased Power Model '!E97</f>
        <v>9.3000000000000013E-2</v>
      </c>
      <c r="F97" s="336">
        <f>+'Purchased Power Model '!F97</f>
        <v>30</v>
      </c>
      <c r="G97" s="336">
        <f>+'Purchased Power Model '!G97</f>
        <v>1</v>
      </c>
      <c r="H97" s="337">
        <f>+'Purchased Power Model '!H97</f>
        <v>90725290.374568939</v>
      </c>
      <c r="J97" s="332">
        <f>+'10 Year Average'!A97</f>
        <v>40483</v>
      </c>
      <c r="K97" s="338">
        <f>+'10 Year Average'!B97</f>
        <v>91736751.63692309</v>
      </c>
      <c r="L97" s="334">
        <f>+'10 Year Average'!C97</f>
        <v>389.2</v>
      </c>
      <c r="M97" s="334">
        <f>+'10 Year Average'!D97</f>
        <v>0</v>
      </c>
      <c r="N97" s="335">
        <f>+'10 Year Average'!E97</f>
        <v>9.3000000000000013E-2</v>
      </c>
      <c r="O97" s="336">
        <f>+'10 Year Average'!F97</f>
        <v>30</v>
      </c>
      <c r="P97" s="336">
        <f>+'10 Year Average'!G97</f>
        <v>1</v>
      </c>
      <c r="Q97" s="337">
        <f>+'10 Year Average'!H97</f>
        <v>90725290.374568939</v>
      </c>
      <c r="S97" s="332">
        <f>+'20 Year Trend'!A97</f>
        <v>40483</v>
      </c>
      <c r="T97" s="338">
        <f>+'20 Year Trend'!B97</f>
        <v>91736751.63692309</v>
      </c>
      <c r="U97" s="334">
        <f>+'20 Year Trend'!C97</f>
        <v>389.2</v>
      </c>
      <c r="V97" s="334">
        <f>+'20 Year Trend'!D97</f>
        <v>0</v>
      </c>
      <c r="W97" s="335">
        <f>+'20 Year Trend'!E97</f>
        <v>9.3000000000000013E-2</v>
      </c>
      <c r="X97" s="336">
        <f>+'20 Year Trend'!F97</f>
        <v>30</v>
      </c>
      <c r="Y97" s="336">
        <f>+'20 Year Trend'!G97</f>
        <v>1</v>
      </c>
      <c r="Z97" s="337">
        <f>+'20 Year Trend'!H97</f>
        <v>90725290.374568939</v>
      </c>
    </row>
    <row r="98" spans="1:26">
      <c r="A98" s="332">
        <f>+'Purchased Power Model '!A98</f>
        <v>40513</v>
      </c>
      <c r="B98" s="338">
        <f>+'Purchased Power Model '!B98</f>
        <v>110862133</v>
      </c>
      <c r="C98" s="334">
        <f>+'Purchased Power Model '!C98</f>
        <v>628.70000000000005</v>
      </c>
      <c r="D98" s="334">
        <f>+'Purchased Power Model '!D98</f>
        <v>0</v>
      </c>
      <c r="E98" s="335">
        <f>+'Purchased Power Model '!E98</f>
        <v>9.3000000000000013E-2</v>
      </c>
      <c r="F98" s="336">
        <f>+'Purchased Power Model '!F98</f>
        <v>31</v>
      </c>
      <c r="G98" s="336">
        <f>+'Purchased Power Model '!G98</f>
        <v>0</v>
      </c>
      <c r="H98" s="337">
        <f>+'Purchased Power Model '!H98</f>
        <v>110405350.7958694</v>
      </c>
      <c r="J98" s="332">
        <f>+'10 Year Average'!A98</f>
        <v>40513</v>
      </c>
      <c r="K98" s="338">
        <f>+'10 Year Average'!B98</f>
        <v>110862133</v>
      </c>
      <c r="L98" s="334">
        <f>+'10 Year Average'!C98</f>
        <v>628.70000000000005</v>
      </c>
      <c r="M98" s="334">
        <f>+'10 Year Average'!D98</f>
        <v>0</v>
      </c>
      <c r="N98" s="335">
        <f>+'10 Year Average'!E98</f>
        <v>9.3000000000000013E-2</v>
      </c>
      <c r="O98" s="336">
        <f>+'10 Year Average'!F98</f>
        <v>31</v>
      </c>
      <c r="P98" s="336">
        <f>+'10 Year Average'!G98</f>
        <v>0</v>
      </c>
      <c r="Q98" s="337">
        <f>+'10 Year Average'!H98</f>
        <v>110405350.7958694</v>
      </c>
      <c r="S98" s="332">
        <f>+'20 Year Trend'!A98</f>
        <v>40513</v>
      </c>
      <c r="T98" s="338">
        <f>+'20 Year Trend'!B98</f>
        <v>110862133</v>
      </c>
      <c r="U98" s="334">
        <f>+'20 Year Trend'!C98</f>
        <v>628.70000000000005</v>
      </c>
      <c r="V98" s="334">
        <f>+'20 Year Trend'!D98</f>
        <v>0</v>
      </c>
      <c r="W98" s="335">
        <f>+'20 Year Trend'!E98</f>
        <v>9.3000000000000013E-2</v>
      </c>
      <c r="X98" s="336">
        <f>+'20 Year Trend'!F98</f>
        <v>31</v>
      </c>
      <c r="Y98" s="336">
        <f>+'20 Year Trend'!G98</f>
        <v>0</v>
      </c>
      <c r="Z98" s="337">
        <f>+'20 Year Trend'!H98</f>
        <v>110405350.7958694</v>
      </c>
    </row>
    <row r="99" spans="1:26">
      <c r="A99" s="332">
        <f>+'Purchased Power Model '!A99</f>
        <v>40544</v>
      </c>
      <c r="B99" s="338">
        <f>+'Purchased Power Model '!B99</f>
        <v>113644387.32076925</v>
      </c>
      <c r="C99" s="334">
        <f>+'Purchased Power Model '!C99</f>
        <v>760.9</v>
      </c>
      <c r="D99" s="334">
        <f>+'Purchased Power Model '!D99</f>
        <v>0</v>
      </c>
      <c r="E99" s="335">
        <f>+'Purchased Power Model '!E99</f>
        <v>8.6999999999999994E-2</v>
      </c>
      <c r="F99" s="336">
        <f>+'Purchased Power Model '!F99</f>
        <v>31</v>
      </c>
      <c r="G99" s="336">
        <f>+'Purchased Power Model '!G99</f>
        <v>0</v>
      </c>
      <c r="H99" s="337">
        <f>+'Purchased Power Model '!H99</f>
        <v>116487077.18195447</v>
      </c>
      <c r="J99" s="332">
        <f>+'10 Year Average'!A99</f>
        <v>40544</v>
      </c>
      <c r="K99" s="338">
        <f>+'10 Year Average'!B99</f>
        <v>113644387.32076925</v>
      </c>
      <c r="L99" s="334">
        <f>+'10 Year Average'!C99</f>
        <v>760.9</v>
      </c>
      <c r="M99" s="334">
        <f>+'10 Year Average'!D99</f>
        <v>0</v>
      </c>
      <c r="N99" s="335">
        <f>+'10 Year Average'!E99</f>
        <v>8.6999999999999994E-2</v>
      </c>
      <c r="O99" s="336">
        <f>+'10 Year Average'!F99</f>
        <v>31</v>
      </c>
      <c r="P99" s="336">
        <f>+'10 Year Average'!G99</f>
        <v>0</v>
      </c>
      <c r="Q99" s="337">
        <f>+'10 Year Average'!H99</f>
        <v>116487077.18195447</v>
      </c>
      <c r="S99" s="332">
        <f>+'20 Year Trend'!A99</f>
        <v>40544</v>
      </c>
      <c r="T99" s="338">
        <f>+'20 Year Trend'!B99</f>
        <v>113644387.32076925</v>
      </c>
      <c r="U99" s="334">
        <f>+'20 Year Trend'!C99</f>
        <v>760.9</v>
      </c>
      <c r="V99" s="334">
        <f>+'20 Year Trend'!D99</f>
        <v>0</v>
      </c>
      <c r="W99" s="335">
        <f>+'20 Year Trend'!E99</f>
        <v>8.6999999999999994E-2</v>
      </c>
      <c r="X99" s="336">
        <f>+'20 Year Trend'!F99</f>
        <v>31</v>
      </c>
      <c r="Y99" s="336">
        <f>+'20 Year Trend'!G99</f>
        <v>0</v>
      </c>
      <c r="Z99" s="337">
        <f>+'20 Year Trend'!H99</f>
        <v>116487077.18195447</v>
      </c>
    </row>
    <row r="100" spans="1:26">
      <c r="A100" s="332">
        <f>+'Purchased Power Model '!A100</f>
        <v>40575</v>
      </c>
      <c r="B100" s="338">
        <f>+'Purchased Power Model '!B100</f>
        <v>100561048.38461539</v>
      </c>
      <c r="C100" s="334">
        <f>+'Purchased Power Model '!C100</f>
        <v>634.19999999999993</v>
      </c>
      <c r="D100" s="334">
        <f>+'Purchased Power Model '!D100</f>
        <v>0</v>
      </c>
      <c r="E100" s="335">
        <f>+'Purchased Power Model '!E100</f>
        <v>8.6999999999999994E-2</v>
      </c>
      <c r="F100" s="336">
        <f>+'Purchased Power Model '!F100</f>
        <v>28</v>
      </c>
      <c r="G100" s="336">
        <f>+'Purchased Power Model '!G100</f>
        <v>0</v>
      </c>
      <c r="H100" s="337">
        <f>+'Purchased Power Model '!H100</f>
        <v>102896073.24259979</v>
      </c>
      <c r="J100" s="332">
        <f>+'10 Year Average'!A100</f>
        <v>40575</v>
      </c>
      <c r="K100" s="338">
        <f>+'10 Year Average'!B100</f>
        <v>100561048.38461539</v>
      </c>
      <c r="L100" s="334">
        <f>+'10 Year Average'!C100</f>
        <v>634.19999999999993</v>
      </c>
      <c r="M100" s="334">
        <f>+'10 Year Average'!D100</f>
        <v>0</v>
      </c>
      <c r="N100" s="335">
        <f>+'10 Year Average'!E100</f>
        <v>8.6999999999999994E-2</v>
      </c>
      <c r="O100" s="336">
        <f>+'10 Year Average'!F100</f>
        <v>28</v>
      </c>
      <c r="P100" s="336">
        <f>+'10 Year Average'!G100</f>
        <v>0</v>
      </c>
      <c r="Q100" s="337">
        <f>+'10 Year Average'!H100</f>
        <v>102896073.24259979</v>
      </c>
      <c r="S100" s="332">
        <f>+'20 Year Trend'!A100</f>
        <v>40575</v>
      </c>
      <c r="T100" s="338">
        <f>+'20 Year Trend'!B100</f>
        <v>100561048.38461539</v>
      </c>
      <c r="U100" s="334">
        <f>+'20 Year Trend'!C100</f>
        <v>634.19999999999993</v>
      </c>
      <c r="V100" s="334">
        <f>+'20 Year Trend'!D100</f>
        <v>0</v>
      </c>
      <c r="W100" s="335">
        <f>+'20 Year Trend'!E100</f>
        <v>8.6999999999999994E-2</v>
      </c>
      <c r="X100" s="336">
        <f>+'20 Year Trend'!F100</f>
        <v>28</v>
      </c>
      <c r="Y100" s="336">
        <f>+'20 Year Trend'!G100</f>
        <v>0</v>
      </c>
      <c r="Z100" s="337">
        <f>+'20 Year Trend'!H100</f>
        <v>102896073.24259979</v>
      </c>
    </row>
    <row r="101" spans="1:26">
      <c r="A101" s="332">
        <f>+'Purchased Power Model '!A101</f>
        <v>40603</v>
      </c>
      <c r="B101" s="338">
        <f>+'Purchased Power Model '!B101</f>
        <v>102613396.81846155</v>
      </c>
      <c r="C101" s="334">
        <f>+'Purchased Power Model '!C101</f>
        <v>559.80000000000007</v>
      </c>
      <c r="D101" s="334">
        <f>+'Purchased Power Model '!D101</f>
        <v>0</v>
      </c>
      <c r="E101" s="335">
        <f>+'Purchased Power Model '!E101</f>
        <v>8.6999999999999994E-2</v>
      </c>
      <c r="F101" s="336">
        <f>+'Purchased Power Model '!F101</f>
        <v>31</v>
      </c>
      <c r="G101" s="336">
        <f>+'Purchased Power Model '!G101</f>
        <v>1</v>
      </c>
      <c r="H101" s="337">
        <f>+'Purchased Power Model '!H101</f>
        <v>101183430.80614345</v>
      </c>
      <c r="J101" s="332">
        <f>+'10 Year Average'!A101</f>
        <v>40603</v>
      </c>
      <c r="K101" s="338">
        <f>+'10 Year Average'!B101</f>
        <v>102613396.81846155</v>
      </c>
      <c r="L101" s="334">
        <f>+'10 Year Average'!C101</f>
        <v>559.80000000000007</v>
      </c>
      <c r="M101" s="334">
        <f>+'10 Year Average'!D101</f>
        <v>0</v>
      </c>
      <c r="N101" s="335">
        <f>+'10 Year Average'!E101</f>
        <v>8.6999999999999994E-2</v>
      </c>
      <c r="O101" s="336">
        <f>+'10 Year Average'!F101</f>
        <v>31</v>
      </c>
      <c r="P101" s="336">
        <f>+'10 Year Average'!G101</f>
        <v>1</v>
      </c>
      <c r="Q101" s="337">
        <f>+'10 Year Average'!H101</f>
        <v>101183430.80614345</v>
      </c>
      <c r="S101" s="332">
        <f>+'20 Year Trend'!A101</f>
        <v>40603</v>
      </c>
      <c r="T101" s="338">
        <f>+'20 Year Trend'!B101</f>
        <v>102613396.81846155</v>
      </c>
      <c r="U101" s="334">
        <f>+'20 Year Trend'!C101</f>
        <v>559.80000000000007</v>
      </c>
      <c r="V101" s="334">
        <f>+'20 Year Trend'!D101</f>
        <v>0</v>
      </c>
      <c r="W101" s="335">
        <f>+'20 Year Trend'!E101</f>
        <v>8.6999999999999994E-2</v>
      </c>
      <c r="X101" s="336">
        <f>+'20 Year Trend'!F101</f>
        <v>31</v>
      </c>
      <c r="Y101" s="336">
        <f>+'20 Year Trend'!G101</f>
        <v>1</v>
      </c>
      <c r="Z101" s="337">
        <f>+'20 Year Trend'!H101</f>
        <v>101183430.80614345</v>
      </c>
    </row>
    <row r="102" spans="1:26">
      <c r="A102" s="332">
        <f>+'Purchased Power Model '!A102</f>
        <v>40634</v>
      </c>
      <c r="B102" s="338">
        <f>+'Purchased Power Model '!B102</f>
        <v>87015565.163076922</v>
      </c>
      <c r="C102" s="334">
        <f>+'Purchased Power Model '!C102</f>
        <v>350.79999999999995</v>
      </c>
      <c r="D102" s="334">
        <f>+'Purchased Power Model '!D102</f>
        <v>0</v>
      </c>
      <c r="E102" s="335">
        <f>+'Purchased Power Model '!E102</f>
        <v>9.3000000000000013E-2</v>
      </c>
      <c r="F102" s="336">
        <f>+'Purchased Power Model '!F102</f>
        <v>30</v>
      </c>
      <c r="G102" s="336">
        <f>+'Purchased Power Model '!G102</f>
        <v>1</v>
      </c>
      <c r="H102" s="337">
        <f>+'Purchased Power Model '!H102</f>
        <v>89183407.484930903</v>
      </c>
      <c r="J102" s="332">
        <f>+'10 Year Average'!A102</f>
        <v>40634</v>
      </c>
      <c r="K102" s="338">
        <f>+'10 Year Average'!B102</f>
        <v>87015565.163076922</v>
      </c>
      <c r="L102" s="334">
        <f>+'10 Year Average'!C102</f>
        <v>350.79999999999995</v>
      </c>
      <c r="M102" s="334">
        <f>+'10 Year Average'!D102</f>
        <v>0</v>
      </c>
      <c r="N102" s="335">
        <f>+'10 Year Average'!E102</f>
        <v>9.3000000000000013E-2</v>
      </c>
      <c r="O102" s="336">
        <f>+'10 Year Average'!F102</f>
        <v>30</v>
      </c>
      <c r="P102" s="336">
        <f>+'10 Year Average'!G102</f>
        <v>1</v>
      </c>
      <c r="Q102" s="337">
        <f>+'10 Year Average'!H102</f>
        <v>89183407.484930903</v>
      </c>
      <c r="S102" s="332">
        <f>+'20 Year Trend'!A102</f>
        <v>40634</v>
      </c>
      <c r="T102" s="338">
        <f>+'20 Year Trend'!B102</f>
        <v>87015565.163076922</v>
      </c>
      <c r="U102" s="334">
        <f>+'20 Year Trend'!C102</f>
        <v>350.79999999999995</v>
      </c>
      <c r="V102" s="334">
        <f>+'20 Year Trend'!D102</f>
        <v>0</v>
      </c>
      <c r="W102" s="335">
        <f>+'20 Year Trend'!E102</f>
        <v>9.3000000000000013E-2</v>
      </c>
      <c r="X102" s="336">
        <f>+'20 Year Trend'!F102</f>
        <v>30</v>
      </c>
      <c r="Y102" s="336">
        <f>+'20 Year Trend'!G102</f>
        <v>1</v>
      </c>
      <c r="Z102" s="337">
        <f>+'20 Year Trend'!H102</f>
        <v>89183407.484930903</v>
      </c>
    </row>
    <row r="103" spans="1:26">
      <c r="A103" s="332">
        <f>+'Purchased Power Model '!A103</f>
        <v>40664</v>
      </c>
      <c r="B103" s="338">
        <f>+'Purchased Power Model '!B103</f>
        <v>82921009.75</v>
      </c>
      <c r="C103" s="334">
        <f>+'Purchased Power Model '!C103</f>
        <v>157.69999999999996</v>
      </c>
      <c r="D103" s="334">
        <f>+'Purchased Power Model '!D103</f>
        <v>2.8</v>
      </c>
      <c r="E103" s="335">
        <f>+'Purchased Power Model '!E103</f>
        <v>9.3000000000000013E-2</v>
      </c>
      <c r="F103" s="336">
        <f>+'Purchased Power Model '!F103</f>
        <v>31</v>
      </c>
      <c r="G103" s="336">
        <f>+'Purchased Power Model '!G103</f>
        <v>1</v>
      </c>
      <c r="H103" s="337">
        <f>+'Purchased Power Model '!H103</f>
        <v>84657585.905972138</v>
      </c>
      <c r="J103" s="332">
        <f>+'10 Year Average'!A103</f>
        <v>40664</v>
      </c>
      <c r="K103" s="338">
        <f>+'10 Year Average'!B103</f>
        <v>82921009.75</v>
      </c>
      <c r="L103" s="334">
        <f>+'10 Year Average'!C103</f>
        <v>157.69999999999996</v>
      </c>
      <c r="M103" s="334">
        <f>+'10 Year Average'!D103</f>
        <v>2.8</v>
      </c>
      <c r="N103" s="335">
        <f>+'10 Year Average'!E103</f>
        <v>9.3000000000000013E-2</v>
      </c>
      <c r="O103" s="336">
        <f>+'10 Year Average'!F103</f>
        <v>31</v>
      </c>
      <c r="P103" s="336">
        <f>+'10 Year Average'!G103</f>
        <v>1</v>
      </c>
      <c r="Q103" s="337">
        <f>+'10 Year Average'!H103</f>
        <v>84657585.905972138</v>
      </c>
      <c r="S103" s="332">
        <f>+'20 Year Trend'!A103</f>
        <v>40664</v>
      </c>
      <c r="T103" s="338">
        <f>+'20 Year Trend'!B103</f>
        <v>82921009.75</v>
      </c>
      <c r="U103" s="334">
        <f>+'20 Year Trend'!C103</f>
        <v>157.69999999999996</v>
      </c>
      <c r="V103" s="334">
        <f>+'20 Year Trend'!D103</f>
        <v>2.8</v>
      </c>
      <c r="W103" s="335">
        <f>+'20 Year Trend'!E103</f>
        <v>9.3000000000000013E-2</v>
      </c>
      <c r="X103" s="336">
        <f>+'20 Year Trend'!F103</f>
        <v>31</v>
      </c>
      <c r="Y103" s="336">
        <f>+'20 Year Trend'!G103</f>
        <v>1</v>
      </c>
      <c r="Z103" s="337">
        <f>+'20 Year Trend'!H103</f>
        <v>84657585.905972138</v>
      </c>
    </row>
    <row r="104" spans="1:26">
      <c r="A104" s="332">
        <f>+'Purchased Power Model '!A104</f>
        <v>40695</v>
      </c>
      <c r="B104" s="338">
        <f>+'Purchased Power Model '!B104</f>
        <v>88149132.009230778</v>
      </c>
      <c r="C104" s="334">
        <f>+'Purchased Power Model '!C104</f>
        <v>26.699999999999996</v>
      </c>
      <c r="D104" s="334">
        <f>+'Purchased Power Model '!D104</f>
        <v>36.900000000000006</v>
      </c>
      <c r="E104" s="335">
        <f>+'Purchased Power Model '!E104</f>
        <v>9.3000000000000013E-2</v>
      </c>
      <c r="F104" s="336">
        <f>+'Purchased Power Model '!F104</f>
        <v>30</v>
      </c>
      <c r="G104" s="336">
        <f>+'Purchased Power Model '!G104</f>
        <v>0</v>
      </c>
      <c r="H104" s="337">
        <f>+'Purchased Power Model '!H104</f>
        <v>88580805.811032832</v>
      </c>
      <c r="J104" s="332">
        <f>+'10 Year Average'!A104</f>
        <v>40695</v>
      </c>
      <c r="K104" s="338">
        <f>+'10 Year Average'!B104</f>
        <v>88149132.009230778</v>
      </c>
      <c r="L104" s="334">
        <f>+'10 Year Average'!C104</f>
        <v>26.699999999999996</v>
      </c>
      <c r="M104" s="334">
        <f>+'10 Year Average'!D104</f>
        <v>36.900000000000006</v>
      </c>
      <c r="N104" s="335">
        <f>+'10 Year Average'!E104</f>
        <v>9.3000000000000013E-2</v>
      </c>
      <c r="O104" s="336">
        <f>+'10 Year Average'!F104</f>
        <v>30</v>
      </c>
      <c r="P104" s="336">
        <f>+'10 Year Average'!G104</f>
        <v>0</v>
      </c>
      <c r="Q104" s="337">
        <f>+'10 Year Average'!H104</f>
        <v>88580805.811032832</v>
      </c>
      <c r="S104" s="332">
        <f>+'20 Year Trend'!A104</f>
        <v>40695</v>
      </c>
      <c r="T104" s="338">
        <f>+'20 Year Trend'!B104</f>
        <v>88149132.009230778</v>
      </c>
      <c r="U104" s="334">
        <f>+'20 Year Trend'!C104</f>
        <v>26.699999999999996</v>
      </c>
      <c r="V104" s="334">
        <f>+'20 Year Trend'!D104</f>
        <v>36.900000000000006</v>
      </c>
      <c r="W104" s="335">
        <f>+'20 Year Trend'!E104</f>
        <v>9.3000000000000013E-2</v>
      </c>
      <c r="X104" s="336">
        <f>+'20 Year Trend'!F104</f>
        <v>30</v>
      </c>
      <c r="Y104" s="336">
        <f>+'20 Year Trend'!G104</f>
        <v>0</v>
      </c>
      <c r="Z104" s="337">
        <f>+'20 Year Trend'!H104</f>
        <v>88580805.811032832</v>
      </c>
    </row>
    <row r="105" spans="1:26">
      <c r="A105" s="332">
        <f>+'Purchased Power Model '!A105</f>
        <v>40725</v>
      </c>
      <c r="B105" s="338">
        <f>+'Purchased Power Model '!B105</f>
        <v>108927664.71923079</v>
      </c>
      <c r="C105" s="334">
        <f>+'Purchased Power Model '!C105</f>
        <v>0.2</v>
      </c>
      <c r="D105" s="334">
        <f>+'Purchased Power Model '!D105</f>
        <v>141.19999999999999</v>
      </c>
      <c r="E105" s="335">
        <f>+'Purchased Power Model '!E105</f>
        <v>7.0999999999999994E-2</v>
      </c>
      <c r="F105" s="336">
        <f>+'Purchased Power Model '!F105</f>
        <v>31</v>
      </c>
      <c r="G105" s="336">
        <f>+'Purchased Power Model '!G105</f>
        <v>0</v>
      </c>
      <c r="H105" s="337">
        <f>+'Purchased Power Model '!H105</f>
        <v>107835172.17790563</v>
      </c>
      <c r="J105" s="332">
        <f>+'10 Year Average'!A105</f>
        <v>40725</v>
      </c>
      <c r="K105" s="338">
        <f>+'10 Year Average'!B105</f>
        <v>108927664.71923079</v>
      </c>
      <c r="L105" s="334">
        <f>+'10 Year Average'!C105</f>
        <v>0.2</v>
      </c>
      <c r="M105" s="334">
        <f>+'10 Year Average'!D105</f>
        <v>141.19999999999999</v>
      </c>
      <c r="N105" s="335">
        <f>+'10 Year Average'!E105</f>
        <v>7.0999999999999994E-2</v>
      </c>
      <c r="O105" s="336">
        <f>+'10 Year Average'!F105</f>
        <v>31</v>
      </c>
      <c r="P105" s="336">
        <f>+'10 Year Average'!G105</f>
        <v>0</v>
      </c>
      <c r="Q105" s="337">
        <f>+'10 Year Average'!H105</f>
        <v>107835172.17790563</v>
      </c>
      <c r="S105" s="332">
        <f>+'20 Year Trend'!A105</f>
        <v>40725</v>
      </c>
      <c r="T105" s="338">
        <f>+'20 Year Trend'!B105</f>
        <v>108927664.71923079</v>
      </c>
      <c r="U105" s="334">
        <f>+'20 Year Trend'!C105</f>
        <v>0.2</v>
      </c>
      <c r="V105" s="334">
        <f>+'20 Year Trend'!D105</f>
        <v>141.19999999999999</v>
      </c>
      <c r="W105" s="335">
        <f>+'20 Year Trend'!E105</f>
        <v>7.0999999999999994E-2</v>
      </c>
      <c r="X105" s="336">
        <f>+'20 Year Trend'!F105</f>
        <v>31</v>
      </c>
      <c r="Y105" s="336">
        <f>+'20 Year Trend'!G105</f>
        <v>0</v>
      </c>
      <c r="Z105" s="337">
        <f>+'20 Year Trend'!H105</f>
        <v>107835172.17790563</v>
      </c>
    </row>
    <row r="106" spans="1:26">
      <c r="A106" s="332">
        <f>+'Purchased Power Model '!A106</f>
        <v>40756</v>
      </c>
      <c r="B106" s="338">
        <f>+'Purchased Power Model '!B106</f>
        <v>100307973.92692308</v>
      </c>
      <c r="C106" s="334">
        <f>+'Purchased Power Model '!C106</f>
        <v>3.7</v>
      </c>
      <c r="D106" s="334">
        <f>+'Purchased Power Model '!D106</f>
        <v>80.499999999999957</v>
      </c>
      <c r="E106" s="335">
        <f>+'Purchased Power Model '!E106</f>
        <v>7.0999999999999994E-2</v>
      </c>
      <c r="F106" s="336">
        <f>+'Purchased Power Model '!F106</f>
        <v>31</v>
      </c>
      <c r="G106" s="336">
        <f>+'Purchased Power Model '!G106</f>
        <v>0</v>
      </c>
      <c r="H106" s="337">
        <f>+'Purchased Power Model '!H106</f>
        <v>99451038.670595825</v>
      </c>
      <c r="J106" s="332">
        <f>+'10 Year Average'!A106</f>
        <v>40756</v>
      </c>
      <c r="K106" s="338">
        <f>+'10 Year Average'!B106</f>
        <v>100307973.92692308</v>
      </c>
      <c r="L106" s="334">
        <f>+'10 Year Average'!C106</f>
        <v>3.7</v>
      </c>
      <c r="M106" s="334">
        <f>+'10 Year Average'!D106</f>
        <v>80.499999999999957</v>
      </c>
      <c r="N106" s="335">
        <f>+'10 Year Average'!E106</f>
        <v>7.0999999999999994E-2</v>
      </c>
      <c r="O106" s="336">
        <f>+'10 Year Average'!F106</f>
        <v>31</v>
      </c>
      <c r="P106" s="336">
        <f>+'10 Year Average'!G106</f>
        <v>0</v>
      </c>
      <c r="Q106" s="337">
        <f>+'10 Year Average'!H106</f>
        <v>99451038.670595825</v>
      </c>
      <c r="S106" s="332">
        <f>+'20 Year Trend'!A106</f>
        <v>40756</v>
      </c>
      <c r="T106" s="338">
        <f>+'20 Year Trend'!B106</f>
        <v>100307973.92692308</v>
      </c>
      <c r="U106" s="334">
        <f>+'20 Year Trend'!C106</f>
        <v>3.7</v>
      </c>
      <c r="V106" s="334">
        <f>+'20 Year Trend'!D106</f>
        <v>80.499999999999957</v>
      </c>
      <c r="W106" s="335">
        <f>+'20 Year Trend'!E106</f>
        <v>7.0999999999999994E-2</v>
      </c>
      <c r="X106" s="336">
        <f>+'20 Year Trend'!F106</f>
        <v>31</v>
      </c>
      <c r="Y106" s="336">
        <f>+'20 Year Trend'!G106</f>
        <v>0</v>
      </c>
      <c r="Z106" s="337">
        <f>+'20 Year Trend'!H106</f>
        <v>99451038.670595825</v>
      </c>
    </row>
    <row r="107" spans="1:26">
      <c r="A107" s="332">
        <f>+'Purchased Power Model '!A107</f>
        <v>40787</v>
      </c>
      <c r="B107" s="338">
        <f>+'Purchased Power Model '!B107</f>
        <v>85805170.040769234</v>
      </c>
      <c r="C107" s="334">
        <f>+'Purchased Power Model '!C107</f>
        <v>48.900000000000006</v>
      </c>
      <c r="D107" s="334">
        <f>+'Purchased Power Model '!D107</f>
        <v>34.6</v>
      </c>
      <c r="E107" s="335">
        <f>+'Purchased Power Model '!E107</f>
        <v>7.0999999999999994E-2</v>
      </c>
      <c r="F107" s="336">
        <f>+'Purchased Power Model '!F107</f>
        <v>30</v>
      </c>
      <c r="G107" s="336">
        <f>+'Purchased Power Model '!G107</f>
        <v>1</v>
      </c>
      <c r="H107" s="337">
        <f>+'Purchased Power Model '!H107</f>
        <v>84756427.316175103</v>
      </c>
      <c r="J107" s="332">
        <f>+'10 Year Average'!A107</f>
        <v>40787</v>
      </c>
      <c r="K107" s="338">
        <f>+'10 Year Average'!B107</f>
        <v>85805170.040769234</v>
      </c>
      <c r="L107" s="334">
        <f>+'10 Year Average'!C107</f>
        <v>48.900000000000006</v>
      </c>
      <c r="M107" s="334">
        <f>+'10 Year Average'!D107</f>
        <v>34.6</v>
      </c>
      <c r="N107" s="335">
        <f>+'10 Year Average'!E107</f>
        <v>7.0999999999999994E-2</v>
      </c>
      <c r="O107" s="336">
        <f>+'10 Year Average'!F107</f>
        <v>30</v>
      </c>
      <c r="P107" s="336">
        <f>+'10 Year Average'!G107</f>
        <v>1</v>
      </c>
      <c r="Q107" s="337">
        <f>+'10 Year Average'!H107</f>
        <v>84756427.316175103</v>
      </c>
      <c r="S107" s="332">
        <f>+'20 Year Trend'!A107</f>
        <v>40787</v>
      </c>
      <c r="T107" s="338">
        <f>+'20 Year Trend'!B107</f>
        <v>85805170.040769234</v>
      </c>
      <c r="U107" s="334">
        <f>+'20 Year Trend'!C107</f>
        <v>48.900000000000006</v>
      </c>
      <c r="V107" s="334">
        <f>+'20 Year Trend'!D107</f>
        <v>34.6</v>
      </c>
      <c r="W107" s="335">
        <f>+'20 Year Trend'!E107</f>
        <v>7.0999999999999994E-2</v>
      </c>
      <c r="X107" s="336">
        <f>+'20 Year Trend'!F107</f>
        <v>30</v>
      </c>
      <c r="Y107" s="336">
        <f>+'20 Year Trend'!G107</f>
        <v>1</v>
      </c>
      <c r="Z107" s="337">
        <f>+'20 Year Trend'!H107</f>
        <v>84756427.316175103</v>
      </c>
    </row>
    <row r="108" spans="1:26">
      <c r="A108" s="332">
        <f>+'Purchased Power Model '!A108</f>
        <v>40817</v>
      </c>
      <c r="B108" s="338">
        <f>+'Purchased Power Model '!B108</f>
        <v>85767949.723076925</v>
      </c>
      <c r="C108" s="334">
        <f>+'Purchased Power Model '!C108</f>
        <v>225.29999999999998</v>
      </c>
      <c r="D108" s="334">
        <f>+'Purchased Power Model '!D108</f>
        <v>0</v>
      </c>
      <c r="E108" s="335">
        <f>+'Purchased Power Model '!E108</f>
        <v>7.400000000000001E-2</v>
      </c>
      <c r="F108" s="336">
        <f>+'Purchased Power Model '!F108</f>
        <v>31</v>
      </c>
      <c r="G108" s="336">
        <f>+'Purchased Power Model '!G108</f>
        <v>1</v>
      </c>
      <c r="H108" s="337">
        <f>+'Purchased Power Model '!H108</f>
        <v>89428044.166812688</v>
      </c>
      <c r="J108" s="332">
        <f>+'10 Year Average'!A108</f>
        <v>40817</v>
      </c>
      <c r="K108" s="338">
        <f>+'10 Year Average'!B108</f>
        <v>85767949.723076925</v>
      </c>
      <c r="L108" s="334">
        <f>+'10 Year Average'!C108</f>
        <v>225.29999999999998</v>
      </c>
      <c r="M108" s="334">
        <f>+'10 Year Average'!D108</f>
        <v>0</v>
      </c>
      <c r="N108" s="335">
        <f>+'10 Year Average'!E108</f>
        <v>7.400000000000001E-2</v>
      </c>
      <c r="O108" s="336">
        <f>+'10 Year Average'!F108</f>
        <v>31</v>
      </c>
      <c r="P108" s="336">
        <f>+'10 Year Average'!G108</f>
        <v>1</v>
      </c>
      <c r="Q108" s="337">
        <f>+'10 Year Average'!H108</f>
        <v>89428044.166812688</v>
      </c>
      <c r="S108" s="332">
        <f>+'20 Year Trend'!A108</f>
        <v>40817</v>
      </c>
      <c r="T108" s="338">
        <f>+'20 Year Trend'!B108</f>
        <v>85767949.723076925</v>
      </c>
      <c r="U108" s="334">
        <f>+'20 Year Trend'!C108</f>
        <v>225.29999999999998</v>
      </c>
      <c r="V108" s="334">
        <f>+'20 Year Trend'!D108</f>
        <v>0</v>
      </c>
      <c r="W108" s="335">
        <f>+'20 Year Trend'!E108</f>
        <v>7.400000000000001E-2</v>
      </c>
      <c r="X108" s="336">
        <f>+'20 Year Trend'!F108</f>
        <v>31</v>
      </c>
      <c r="Y108" s="336">
        <f>+'20 Year Trend'!G108</f>
        <v>1</v>
      </c>
      <c r="Z108" s="337">
        <f>+'20 Year Trend'!H108</f>
        <v>89428044.166812688</v>
      </c>
    </row>
    <row r="109" spans="1:26">
      <c r="A109" s="332">
        <f>+'Purchased Power Model '!A109</f>
        <v>40848</v>
      </c>
      <c r="B109" s="338">
        <f>+'Purchased Power Model '!B109</f>
        <v>89407468.154615387</v>
      </c>
      <c r="C109" s="334">
        <f>+'Purchased Power Model '!C109</f>
        <v>349.69999999999993</v>
      </c>
      <c r="D109" s="334">
        <f>+'Purchased Power Model '!D109</f>
        <v>0</v>
      </c>
      <c r="E109" s="335">
        <f>+'Purchased Power Model '!E109</f>
        <v>7.400000000000001E-2</v>
      </c>
      <c r="F109" s="336">
        <f>+'Purchased Power Model '!F109</f>
        <v>30</v>
      </c>
      <c r="G109" s="336">
        <f>+'Purchased Power Model '!G109</f>
        <v>1</v>
      </c>
      <c r="H109" s="337">
        <f>+'Purchased Power Model '!H109</f>
        <v>91588571.122184515</v>
      </c>
      <c r="J109" s="332">
        <f>+'10 Year Average'!A109</f>
        <v>40848</v>
      </c>
      <c r="K109" s="338">
        <f>+'10 Year Average'!B109</f>
        <v>89407468.154615387</v>
      </c>
      <c r="L109" s="334">
        <f>+'10 Year Average'!C109</f>
        <v>349.69999999999993</v>
      </c>
      <c r="M109" s="334">
        <f>+'10 Year Average'!D109</f>
        <v>0</v>
      </c>
      <c r="N109" s="335">
        <f>+'10 Year Average'!E109</f>
        <v>7.400000000000001E-2</v>
      </c>
      <c r="O109" s="336">
        <f>+'10 Year Average'!F109</f>
        <v>30</v>
      </c>
      <c r="P109" s="336">
        <f>+'10 Year Average'!G109</f>
        <v>1</v>
      </c>
      <c r="Q109" s="337">
        <f>+'10 Year Average'!H109</f>
        <v>91588571.122184515</v>
      </c>
      <c r="S109" s="332">
        <f>+'20 Year Trend'!A109</f>
        <v>40848</v>
      </c>
      <c r="T109" s="338">
        <f>+'20 Year Trend'!B109</f>
        <v>89407468.154615387</v>
      </c>
      <c r="U109" s="334">
        <f>+'20 Year Trend'!C109</f>
        <v>349.69999999999993</v>
      </c>
      <c r="V109" s="334">
        <f>+'20 Year Trend'!D109</f>
        <v>0</v>
      </c>
      <c r="W109" s="335">
        <f>+'20 Year Trend'!E109</f>
        <v>7.400000000000001E-2</v>
      </c>
      <c r="X109" s="336">
        <f>+'20 Year Trend'!F109</f>
        <v>30</v>
      </c>
      <c r="Y109" s="336">
        <f>+'20 Year Trend'!G109</f>
        <v>1</v>
      </c>
      <c r="Z109" s="337">
        <f>+'20 Year Trend'!H109</f>
        <v>91588571.122184515</v>
      </c>
    </row>
    <row r="110" spans="1:26">
      <c r="A110" s="332">
        <f>+'Purchased Power Model '!A110</f>
        <v>40878</v>
      </c>
      <c r="B110" s="338">
        <f>+'Purchased Power Model '!B110</f>
        <v>103511621.38461539</v>
      </c>
      <c r="C110" s="334">
        <f>+'Purchased Power Model '!C110</f>
        <v>531.20000000000005</v>
      </c>
      <c r="D110" s="334">
        <f>+'Purchased Power Model '!D110</f>
        <v>0</v>
      </c>
      <c r="E110" s="335">
        <f>+'Purchased Power Model '!E110</f>
        <v>7.400000000000001E-2</v>
      </c>
      <c r="F110" s="336">
        <f>+'Purchased Power Model '!F110</f>
        <v>31</v>
      </c>
      <c r="G110" s="336">
        <f>+'Purchased Power Model '!G110</f>
        <v>0</v>
      </c>
      <c r="H110" s="337">
        <f>+'Purchased Power Model '!H110</f>
        <v>108939745.92892753</v>
      </c>
      <c r="J110" s="332">
        <f>+'10 Year Average'!A110</f>
        <v>40878</v>
      </c>
      <c r="K110" s="338">
        <f>+'10 Year Average'!B110</f>
        <v>103511621.38461539</v>
      </c>
      <c r="L110" s="334">
        <f>+'10 Year Average'!C110</f>
        <v>531.20000000000005</v>
      </c>
      <c r="M110" s="334">
        <f>+'10 Year Average'!D110</f>
        <v>0</v>
      </c>
      <c r="N110" s="335">
        <f>+'10 Year Average'!E110</f>
        <v>7.400000000000001E-2</v>
      </c>
      <c r="O110" s="336">
        <f>+'10 Year Average'!F110</f>
        <v>31</v>
      </c>
      <c r="P110" s="336">
        <f>+'10 Year Average'!G110</f>
        <v>0</v>
      </c>
      <c r="Q110" s="337">
        <f>+'10 Year Average'!H110</f>
        <v>108939745.92892753</v>
      </c>
      <c r="S110" s="332">
        <f>+'20 Year Trend'!A110</f>
        <v>40878</v>
      </c>
      <c r="T110" s="338">
        <f>+'20 Year Trend'!B110</f>
        <v>103511621.38461539</v>
      </c>
      <c r="U110" s="334">
        <f>+'20 Year Trend'!C110</f>
        <v>531.20000000000005</v>
      </c>
      <c r="V110" s="334">
        <f>+'20 Year Trend'!D110</f>
        <v>0</v>
      </c>
      <c r="W110" s="335">
        <f>+'20 Year Trend'!E110</f>
        <v>7.400000000000001E-2</v>
      </c>
      <c r="X110" s="336">
        <f>+'20 Year Trend'!F110</f>
        <v>31</v>
      </c>
      <c r="Y110" s="336">
        <f>+'20 Year Trend'!G110</f>
        <v>0</v>
      </c>
      <c r="Z110" s="337">
        <f>+'20 Year Trend'!H110</f>
        <v>108939745.92892753</v>
      </c>
    </row>
    <row r="111" spans="1:26">
      <c r="A111" s="332">
        <f>+'Purchased Power Model '!A111</f>
        <v>40909</v>
      </c>
      <c r="B111" s="338">
        <f>+'Purchased Power Model '!B111</f>
        <v>107982172.33461541</v>
      </c>
      <c r="C111" s="334">
        <f>+'Purchased Power Model '!C111</f>
        <v>611</v>
      </c>
      <c r="D111" s="334">
        <f>+'Purchased Power Model '!D111</f>
        <v>0</v>
      </c>
      <c r="E111" s="335">
        <f>+'Purchased Power Model '!E111</f>
        <v>0.08</v>
      </c>
      <c r="F111" s="336">
        <f>+'Purchased Power Model '!F111</f>
        <v>31</v>
      </c>
      <c r="G111" s="336">
        <f>+'Purchased Power Model '!G111</f>
        <v>0</v>
      </c>
      <c r="H111" s="337">
        <f>+'Purchased Power Model '!H111</f>
        <v>111370497.99605244</v>
      </c>
      <c r="J111" s="332">
        <f>+'10 Year Average'!A111</f>
        <v>40909</v>
      </c>
      <c r="K111" s="338">
        <f>+'10 Year Average'!B111</f>
        <v>107982172.33461541</v>
      </c>
      <c r="L111" s="334">
        <f>+'10 Year Average'!C111</f>
        <v>611</v>
      </c>
      <c r="M111" s="334">
        <f>+'10 Year Average'!D111</f>
        <v>0</v>
      </c>
      <c r="N111" s="335">
        <f>+'10 Year Average'!E111</f>
        <v>0.08</v>
      </c>
      <c r="O111" s="336">
        <f>+'10 Year Average'!F111</f>
        <v>31</v>
      </c>
      <c r="P111" s="336">
        <f>+'10 Year Average'!G111</f>
        <v>0</v>
      </c>
      <c r="Q111" s="337">
        <f>+'10 Year Average'!H111</f>
        <v>111370497.99605244</v>
      </c>
      <c r="S111" s="332">
        <f>+'20 Year Trend'!A111</f>
        <v>40909</v>
      </c>
      <c r="T111" s="338">
        <f>+'20 Year Trend'!B111</f>
        <v>107982172.33461541</v>
      </c>
      <c r="U111" s="334">
        <f>+'20 Year Trend'!C111</f>
        <v>611</v>
      </c>
      <c r="V111" s="334">
        <f>+'20 Year Trend'!D111</f>
        <v>0</v>
      </c>
      <c r="W111" s="335">
        <f>+'20 Year Trend'!E111</f>
        <v>0.08</v>
      </c>
      <c r="X111" s="336">
        <f>+'20 Year Trend'!F111</f>
        <v>31</v>
      </c>
      <c r="Y111" s="336">
        <f>+'20 Year Trend'!G111</f>
        <v>0</v>
      </c>
      <c r="Z111" s="337">
        <f>+'20 Year Trend'!H111</f>
        <v>111370497.99605244</v>
      </c>
    </row>
    <row r="112" spans="1:26">
      <c r="A112" s="332">
        <f>+'Purchased Power Model '!A112</f>
        <v>40940</v>
      </c>
      <c r="B112" s="338">
        <f>+'Purchased Power Model '!B112</f>
        <v>97310518.529230773</v>
      </c>
      <c r="C112" s="334">
        <f>+'Purchased Power Model '!C112</f>
        <v>536.20000000000005</v>
      </c>
      <c r="D112" s="334">
        <f>+'Purchased Power Model '!D112</f>
        <v>0</v>
      </c>
      <c r="E112" s="335">
        <f>+'Purchased Power Model '!E112</f>
        <v>0.08</v>
      </c>
      <c r="F112" s="336">
        <f>+'Purchased Power Model '!F112</f>
        <v>29</v>
      </c>
      <c r="G112" s="336">
        <f>+'Purchased Power Model '!G112</f>
        <v>0</v>
      </c>
      <c r="H112" s="337">
        <f>+'Purchased Power Model '!H112</f>
        <v>102697976.30557558</v>
      </c>
      <c r="J112" s="332">
        <f>+'10 Year Average'!A112</f>
        <v>40940</v>
      </c>
      <c r="K112" s="338">
        <f>+'10 Year Average'!B112</f>
        <v>97310518.529230773</v>
      </c>
      <c r="L112" s="334">
        <f>+'10 Year Average'!C112</f>
        <v>536.20000000000005</v>
      </c>
      <c r="M112" s="334">
        <f>+'10 Year Average'!D112</f>
        <v>0</v>
      </c>
      <c r="N112" s="335">
        <f>+'10 Year Average'!E112</f>
        <v>0.08</v>
      </c>
      <c r="O112" s="336">
        <f>+'10 Year Average'!F112</f>
        <v>29</v>
      </c>
      <c r="P112" s="336">
        <f>+'10 Year Average'!G112</f>
        <v>0</v>
      </c>
      <c r="Q112" s="337">
        <f>+'10 Year Average'!H112</f>
        <v>102697976.30557558</v>
      </c>
      <c r="S112" s="332">
        <f>+'20 Year Trend'!A112</f>
        <v>40940</v>
      </c>
      <c r="T112" s="338">
        <f>+'20 Year Trend'!B112</f>
        <v>97310518.529230773</v>
      </c>
      <c r="U112" s="334">
        <f>+'20 Year Trend'!C112</f>
        <v>536.20000000000005</v>
      </c>
      <c r="V112" s="334">
        <f>+'20 Year Trend'!D112</f>
        <v>0</v>
      </c>
      <c r="W112" s="335">
        <f>+'20 Year Trend'!E112</f>
        <v>0.08</v>
      </c>
      <c r="X112" s="336">
        <f>+'20 Year Trend'!F112</f>
        <v>29</v>
      </c>
      <c r="Y112" s="336">
        <f>+'20 Year Trend'!G112</f>
        <v>0</v>
      </c>
      <c r="Z112" s="337">
        <f>+'20 Year Trend'!H112</f>
        <v>102697976.30557558</v>
      </c>
    </row>
    <row r="113" spans="1:26">
      <c r="A113" s="332">
        <f>+'Purchased Power Model '!A113</f>
        <v>40969</v>
      </c>
      <c r="B113" s="338">
        <f>+'Purchased Power Model '!B113</f>
        <v>92940593.720769227</v>
      </c>
      <c r="C113" s="334">
        <f>+'Purchased Power Model '!C113</f>
        <v>399.39999999999992</v>
      </c>
      <c r="D113" s="334">
        <f>+'Purchased Power Model '!D113</f>
        <v>0</v>
      </c>
      <c r="E113" s="335">
        <f>+'Purchased Power Model '!E113</f>
        <v>0.08</v>
      </c>
      <c r="F113" s="336">
        <f>+'Purchased Power Model '!F113</f>
        <v>31</v>
      </c>
      <c r="G113" s="336">
        <f>+'Purchased Power Model '!G113</f>
        <v>1</v>
      </c>
      <c r="H113" s="337">
        <f>+'Purchased Power Model '!H113</f>
        <v>95645243.01760602</v>
      </c>
      <c r="J113" s="332">
        <f>+'10 Year Average'!A113</f>
        <v>40969</v>
      </c>
      <c r="K113" s="338">
        <f>+'10 Year Average'!B113</f>
        <v>92940593.720769227</v>
      </c>
      <c r="L113" s="334">
        <f>+'10 Year Average'!C113</f>
        <v>399.39999999999992</v>
      </c>
      <c r="M113" s="334">
        <f>+'10 Year Average'!D113</f>
        <v>0</v>
      </c>
      <c r="N113" s="335">
        <f>+'10 Year Average'!E113</f>
        <v>0.08</v>
      </c>
      <c r="O113" s="336">
        <f>+'10 Year Average'!F113</f>
        <v>31</v>
      </c>
      <c r="P113" s="336">
        <f>+'10 Year Average'!G113</f>
        <v>1</v>
      </c>
      <c r="Q113" s="337">
        <f>+'10 Year Average'!H113</f>
        <v>95645243.01760602</v>
      </c>
      <c r="S113" s="332">
        <f>+'20 Year Trend'!A113</f>
        <v>40969</v>
      </c>
      <c r="T113" s="338">
        <f>+'20 Year Trend'!B113</f>
        <v>92940593.720769227</v>
      </c>
      <c r="U113" s="334">
        <f>+'20 Year Trend'!C113</f>
        <v>399.39999999999992</v>
      </c>
      <c r="V113" s="334">
        <f>+'20 Year Trend'!D113</f>
        <v>0</v>
      </c>
      <c r="W113" s="335">
        <f>+'20 Year Trend'!E113</f>
        <v>0.08</v>
      </c>
      <c r="X113" s="336">
        <f>+'20 Year Trend'!F113</f>
        <v>31</v>
      </c>
      <c r="Y113" s="336">
        <f>+'20 Year Trend'!G113</f>
        <v>1</v>
      </c>
      <c r="Z113" s="337">
        <f>+'20 Year Trend'!H113</f>
        <v>95645243.01760602</v>
      </c>
    </row>
    <row r="114" spans="1:26">
      <c r="A114" s="332">
        <f>+'Purchased Power Model '!A114</f>
        <v>41000</v>
      </c>
      <c r="B114" s="338">
        <f>+'Purchased Power Model '!B114</f>
        <v>84061512.170000002</v>
      </c>
      <c r="C114" s="334">
        <f>+'Purchased Power Model '!C114</f>
        <v>336.89999999999992</v>
      </c>
      <c r="D114" s="334">
        <f>+'Purchased Power Model '!D114</f>
        <v>0</v>
      </c>
      <c r="E114" s="335">
        <f>+'Purchased Power Model '!E114</f>
        <v>8.4000000000000005E-2</v>
      </c>
      <c r="F114" s="336">
        <f>+'Purchased Power Model '!F114</f>
        <v>30</v>
      </c>
      <c r="G114" s="336">
        <f>+'Purchased Power Model '!G114</f>
        <v>1</v>
      </c>
      <c r="H114" s="337">
        <f>+'Purchased Power Model '!H114</f>
        <v>89785487.970798314</v>
      </c>
      <c r="J114" s="332">
        <f>+'10 Year Average'!A114</f>
        <v>41000</v>
      </c>
      <c r="K114" s="338">
        <f>+'10 Year Average'!B114</f>
        <v>84061512.170000002</v>
      </c>
      <c r="L114" s="334">
        <f>+'10 Year Average'!C114</f>
        <v>336.89999999999992</v>
      </c>
      <c r="M114" s="334">
        <f>+'10 Year Average'!D114</f>
        <v>0</v>
      </c>
      <c r="N114" s="335">
        <f>+'10 Year Average'!E114</f>
        <v>8.4000000000000005E-2</v>
      </c>
      <c r="O114" s="336">
        <f>+'10 Year Average'!F114</f>
        <v>30</v>
      </c>
      <c r="P114" s="336">
        <f>+'10 Year Average'!G114</f>
        <v>1</v>
      </c>
      <c r="Q114" s="337">
        <f>+'10 Year Average'!H114</f>
        <v>89785487.970798314</v>
      </c>
      <c r="S114" s="332">
        <f>+'20 Year Trend'!A114</f>
        <v>41000</v>
      </c>
      <c r="T114" s="338">
        <f>+'20 Year Trend'!B114</f>
        <v>84061512.170000002</v>
      </c>
      <c r="U114" s="334">
        <f>+'20 Year Trend'!C114</f>
        <v>336.89999999999992</v>
      </c>
      <c r="V114" s="334">
        <f>+'20 Year Trend'!D114</f>
        <v>0</v>
      </c>
      <c r="W114" s="335">
        <f>+'20 Year Trend'!E114</f>
        <v>8.4000000000000005E-2</v>
      </c>
      <c r="X114" s="336">
        <f>+'20 Year Trend'!F114</f>
        <v>30</v>
      </c>
      <c r="Y114" s="336">
        <f>+'20 Year Trend'!G114</f>
        <v>1</v>
      </c>
      <c r="Z114" s="337">
        <f>+'20 Year Trend'!H114</f>
        <v>89785487.970798314</v>
      </c>
    </row>
    <row r="115" spans="1:26">
      <c r="A115" s="332">
        <f>+'Purchased Power Model '!A115</f>
        <v>41030</v>
      </c>
      <c r="B115" s="338">
        <f>+'Purchased Power Model '!B115</f>
        <v>84298340.921818167</v>
      </c>
      <c r="C115" s="334">
        <f>+'Purchased Power Model '!C115</f>
        <v>109.30000000000001</v>
      </c>
      <c r="D115" s="334">
        <f>+'Purchased Power Model '!D115</f>
        <v>21.8</v>
      </c>
      <c r="E115" s="335">
        <f>+'Purchased Power Model '!E115</f>
        <v>8.4000000000000005E-2</v>
      </c>
      <c r="F115" s="336">
        <f>+'Purchased Power Model '!F115</f>
        <v>31</v>
      </c>
      <c r="G115" s="336">
        <f>+'Purchased Power Model '!G115</f>
        <v>1</v>
      </c>
      <c r="H115" s="337">
        <f>+'Purchased Power Model '!H115</f>
        <v>86542728.997275561</v>
      </c>
      <c r="J115" s="332">
        <f>+'10 Year Average'!A115</f>
        <v>41030</v>
      </c>
      <c r="K115" s="338">
        <f>+'10 Year Average'!B115</f>
        <v>84298340.921818167</v>
      </c>
      <c r="L115" s="334">
        <f>+'10 Year Average'!C115</f>
        <v>109.30000000000001</v>
      </c>
      <c r="M115" s="334">
        <f>+'10 Year Average'!D115</f>
        <v>21.8</v>
      </c>
      <c r="N115" s="335">
        <f>+'10 Year Average'!E115</f>
        <v>8.4000000000000005E-2</v>
      </c>
      <c r="O115" s="336">
        <f>+'10 Year Average'!F115</f>
        <v>31</v>
      </c>
      <c r="P115" s="336">
        <f>+'10 Year Average'!G115</f>
        <v>1</v>
      </c>
      <c r="Q115" s="337">
        <f>+'10 Year Average'!H115</f>
        <v>86542728.997275561</v>
      </c>
      <c r="S115" s="332">
        <f>+'20 Year Trend'!A115</f>
        <v>41030</v>
      </c>
      <c r="T115" s="338">
        <f>+'20 Year Trend'!B115</f>
        <v>84298340.921818167</v>
      </c>
      <c r="U115" s="334">
        <f>+'20 Year Trend'!C115</f>
        <v>109.30000000000001</v>
      </c>
      <c r="V115" s="334">
        <f>+'20 Year Trend'!D115</f>
        <v>21.8</v>
      </c>
      <c r="W115" s="335">
        <f>+'20 Year Trend'!E115</f>
        <v>8.4000000000000005E-2</v>
      </c>
      <c r="X115" s="336">
        <f>+'20 Year Trend'!F115</f>
        <v>31</v>
      </c>
      <c r="Y115" s="336">
        <f>+'20 Year Trend'!G115</f>
        <v>1</v>
      </c>
      <c r="Z115" s="337">
        <f>+'20 Year Trend'!H115</f>
        <v>86542728.997275561</v>
      </c>
    </row>
    <row r="116" spans="1:26">
      <c r="A116" s="332">
        <f>+'Purchased Power Model '!A116</f>
        <v>41061</v>
      </c>
      <c r="B116" s="338">
        <f>+'Purchased Power Model '!B116</f>
        <v>93187121.853636354</v>
      </c>
      <c r="C116" s="334">
        <f>+'Purchased Power Model '!C116</f>
        <v>28.2</v>
      </c>
      <c r="D116" s="334">
        <f>+'Purchased Power Model '!D116</f>
        <v>64.3</v>
      </c>
      <c r="E116" s="335">
        <f>+'Purchased Power Model '!E116</f>
        <v>8.4000000000000005E-2</v>
      </c>
      <c r="F116" s="336">
        <f>+'Purchased Power Model '!F116</f>
        <v>30</v>
      </c>
      <c r="G116" s="336">
        <f>+'Purchased Power Model '!G116</f>
        <v>0</v>
      </c>
      <c r="H116" s="337">
        <f>+'Purchased Power Model '!H116</f>
        <v>93649284.295829073</v>
      </c>
      <c r="J116" s="332">
        <f>+'10 Year Average'!A116</f>
        <v>41061</v>
      </c>
      <c r="K116" s="338">
        <f>+'10 Year Average'!B116</f>
        <v>93187121.853636354</v>
      </c>
      <c r="L116" s="334">
        <f>+'10 Year Average'!C116</f>
        <v>28.2</v>
      </c>
      <c r="M116" s="334">
        <f>+'10 Year Average'!D116</f>
        <v>64.3</v>
      </c>
      <c r="N116" s="335">
        <f>+'10 Year Average'!E116</f>
        <v>8.4000000000000005E-2</v>
      </c>
      <c r="O116" s="336">
        <f>+'10 Year Average'!F116</f>
        <v>30</v>
      </c>
      <c r="P116" s="336">
        <f>+'10 Year Average'!G116</f>
        <v>0</v>
      </c>
      <c r="Q116" s="337">
        <f>+'10 Year Average'!H116</f>
        <v>93649284.295829073</v>
      </c>
      <c r="S116" s="332">
        <f>+'20 Year Trend'!A116</f>
        <v>41061</v>
      </c>
      <c r="T116" s="338">
        <f>+'20 Year Trend'!B116</f>
        <v>93187121.853636354</v>
      </c>
      <c r="U116" s="334">
        <f>+'20 Year Trend'!C116</f>
        <v>28.2</v>
      </c>
      <c r="V116" s="334">
        <f>+'20 Year Trend'!D116</f>
        <v>64.3</v>
      </c>
      <c r="W116" s="335">
        <f>+'20 Year Trend'!E116</f>
        <v>8.4000000000000005E-2</v>
      </c>
      <c r="X116" s="336">
        <f>+'20 Year Trend'!F116</f>
        <v>30</v>
      </c>
      <c r="Y116" s="336">
        <f>+'20 Year Trend'!G116</f>
        <v>0</v>
      </c>
      <c r="Z116" s="337">
        <f>+'20 Year Trend'!H116</f>
        <v>93649284.295829073</v>
      </c>
    </row>
    <row r="117" spans="1:26">
      <c r="A117" s="332">
        <f>+'Purchased Power Model '!A117</f>
        <v>41091</v>
      </c>
      <c r="B117" s="338">
        <f>+'Purchased Power Model '!B117</f>
        <v>110767074.55090907</v>
      </c>
      <c r="C117" s="334">
        <f>+'Purchased Power Model '!C117</f>
        <v>0</v>
      </c>
      <c r="D117" s="334">
        <f>+'Purchased Power Model '!D117</f>
        <v>155.30000000000001</v>
      </c>
      <c r="E117" s="335">
        <f>+'Purchased Power Model '!E117</f>
        <v>9.0999999999999998E-2</v>
      </c>
      <c r="F117" s="336">
        <f>+'Purchased Power Model '!F117</f>
        <v>31</v>
      </c>
      <c r="G117" s="336">
        <f>+'Purchased Power Model '!G117</f>
        <v>0</v>
      </c>
      <c r="H117" s="337">
        <f>+'Purchased Power Model '!H117</f>
        <v>107229092.26670532</v>
      </c>
      <c r="J117" s="332">
        <f>+'10 Year Average'!A117</f>
        <v>41091</v>
      </c>
      <c r="K117" s="338">
        <f>+'10 Year Average'!B117</f>
        <v>110767074.55090907</v>
      </c>
      <c r="L117" s="334">
        <f>+'10 Year Average'!C117</f>
        <v>0</v>
      </c>
      <c r="M117" s="334">
        <f>+'10 Year Average'!D117</f>
        <v>155.30000000000001</v>
      </c>
      <c r="N117" s="335">
        <f>+'10 Year Average'!E117</f>
        <v>9.0999999999999998E-2</v>
      </c>
      <c r="O117" s="336">
        <f>+'10 Year Average'!F117</f>
        <v>31</v>
      </c>
      <c r="P117" s="336">
        <f>+'10 Year Average'!G117</f>
        <v>0</v>
      </c>
      <c r="Q117" s="337">
        <f>+'10 Year Average'!H117</f>
        <v>107229092.26670532</v>
      </c>
      <c r="S117" s="332">
        <f>+'20 Year Trend'!A117</f>
        <v>41091</v>
      </c>
      <c r="T117" s="338">
        <f>+'20 Year Trend'!B117</f>
        <v>110767074.55090907</v>
      </c>
      <c r="U117" s="334">
        <f>+'20 Year Trend'!C117</f>
        <v>0</v>
      </c>
      <c r="V117" s="334">
        <f>+'20 Year Trend'!D117</f>
        <v>155.30000000000001</v>
      </c>
      <c r="W117" s="335">
        <f>+'20 Year Trend'!E117</f>
        <v>9.0999999999999998E-2</v>
      </c>
      <c r="X117" s="336">
        <f>+'20 Year Trend'!F117</f>
        <v>31</v>
      </c>
      <c r="Y117" s="336">
        <f>+'20 Year Trend'!G117</f>
        <v>0</v>
      </c>
      <c r="Z117" s="337">
        <f>+'20 Year Trend'!H117</f>
        <v>107229092.26670532</v>
      </c>
    </row>
    <row r="118" spans="1:26">
      <c r="A118" s="332">
        <f>+'Purchased Power Model '!A118</f>
        <v>41122</v>
      </c>
      <c r="B118" s="338">
        <f>+'Purchased Power Model '!B118</f>
        <v>101373951.59181817</v>
      </c>
      <c r="C118" s="334">
        <f>+'Purchased Power Model '!C118</f>
        <v>4.4000000000000004</v>
      </c>
      <c r="D118" s="334">
        <f>+'Purchased Power Model '!D118</f>
        <v>102.79999999999998</v>
      </c>
      <c r="E118" s="335">
        <f>+'Purchased Power Model '!E118</f>
        <v>9.0999999999999998E-2</v>
      </c>
      <c r="F118" s="336">
        <f>+'Purchased Power Model '!F118</f>
        <v>31</v>
      </c>
      <c r="G118" s="336">
        <f>+'Purchased Power Model '!G118</f>
        <v>0</v>
      </c>
      <c r="H118" s="337">
        <f>+'Purchased Power Model '!H118</f>
        <v>100032699.46675721</v>
      </c>
      <c r="J118" s="332">
        <f>+'10 Year Average'!A118</f>
        <v>41122</v>
      </c>
      <c r="K118" s="338">
        <f>+'10 Year Average'!B118</f>
        <v>101373951.59181817</v>
      </c>
      <c r="L118" s="334">
        <f>+'10 Year Average'!C118</f>
        <v>4.4000000000000004</v>
      </c>
      <c r="M118" s="334">
        <f>+'10 Year Average'!D118</f>
        <v>102.79999999999998</v>
      </c>
      <c r="N118" s="335">
        <f>+'10 Year Average'!E118</f>
        <v>9.0999999999999998E-2</v>
      </c>
      <c r="O118" s="336">
        <f>+'10 Year Average'!F118</f>
        <v>31</v>
      </c>
      <c r="P118" s="336">
        <f>+'10 Year Average'!G118</f>
        <v>0</v>
      </c>
      <c r="Q118" s="337">
        <f>+'10 Year Average'!H118</f>
        <v>100032699.46675721</v>
      </c>
      <c r="S118" s="332">
        <f>+'20 Year Trend'!A118</f>
        <v>41122</v>
      </c>
      <c r="T118" s="338">
        <f>+'20 Year Trend'!B118</f>
        <v>101373951.59181817</v>
      </c>
      <c r="U118" s="334">
        <f>+'20 Year Trend'!C118</f>
        <v>4.4000000000000004</v>
      </c>
      <c r="V118" s="334">
        <f>+'20 Year Trend'!D118</f>
        <v>102.79999999999998</v>
      </c>
      <c r="W118" s="335">
        <f>+'20 Year Trend'!E118</f>
        <v>9.0999999999999998E-2</v>
      </c>
      <c r="X118" s="336">
        <f>+'20 Year Trend'!F118</f>
        <v>31</v>
      </c>
      <c r="Y118" s="336">
        <f>+'20 Year Trend'!G118</f>
        <v>0</v>
      </c>
      <c r="Z118" s="337">
        <f>+'20 Year Trend'!H118</f>
        <v>100032699.46675721</v>
      </c>
    </row>
    <row r="119" spans="1:26">
      <c r="A119" s="332">
        <f>+'Purchased Power Model '!A119</f>
        <v>41153</v>
      </c>
      <c r="B119" s="338">
        <f>+'Purchased Power Model '!B119</f>
        <v>85023139.218181819</v>
      </c>
      <c r="C119" s="334">
        <f>+'Purchased Power Model '!C119</f>
        <v>84</v>
      </c>
      <c r="D119" s="334">
        <f>+'Purchased Power Model '!D119</f>
        <v>24.400000000000002</v>
      </c>
      <c r="E119" s="335">
        <f>+'Purchased Power Model '!E119</f>
        <v>9.0999999999999998E-2</v>
      </c>
      <c r="F119" s="336">
        <f>+'Purchased Power Model '!F119</f>
        <v>30</v>
      </c>
      <c r="G119" s="336">
        <f>+'Purchased Power Model '!G119</f>
        <v>1</v>
      </c>
      <c r="H119" s="337">
        <f>+'Purchased Power Model '!H119</f>
        <v>82155078.703176185</v>
      </c>
      <c r="J119" s="332">
        <f>+'10 Year Average'!A119</f>
        <v>41153</v>
      </c>
      <c r="K119" s="338">
        <f>+'10 Year Average'!B119</f>
        <v>85023139.218181819</v>
      </c>
      <c r="L119" s="334">
        <f>+'10 Year Average'!C119</f>
        <v>84</v>
      </c>
      <c r="M119" s="334">
        <f>+'10 Year Average'!D119</f>
        <v>24.400000000000002</v>
      </c>
      <c r="N119" s="335">
        <f>+'10 Year Average'!E119</f>
        <v>9.0999999999999998E-2</v>
      </c>
      <c r="O119" s="336">
        <f>+'10 Year Average'!F119</f>
        <v>30</v>
      </c>
      <c r="P119" s="336">
        <f>+'10 Year Average'!G119</f>
        <v>1</v>
      </c>
      <c r="Q119" s="337">
        <f>+'10 Year Average'!H119</f>
        <v>82155078.703176185</v>
      </c>
      <c r="S119" s="332">
        <f>+'20 Year Trend'!A119</f>
        <v>41153</v>
      </c>
      <c r="T119" s="338">
        <f>+'20 Year Trend'!B119</f>
        <v>85023139.218181819</v>
      </c>
      <c r="U119" s="334">
        <f>+'20 Year Trend'!C119</f>
        <v>84</v>
      </c>
      <c r="V119" s="334">
        <f>+'20 Year Trend'!D119</f>
        <v>24.400000000000002</v>
      </c>
      <c r="W119" s="335">
        <f>+'20 Year Trend'!E119</f>
        <v>9.0999999999999998E-2</v>
      </c>
      <c r="X119" s="336">
        <f>+'20 Year Trend'!F119</f>
        <v>30</v>
      </c>
      <c r="Y119" s="336">
        <f>+'20 Year Trend'!G119</f>
        <v>1</v>
      </c>
      <c r="Z119" s="337">
        <f>+'20 Year Trend'!H119</f>
        <v>82155078.703176185</v>
      </c>
    </row>
    <row r="120" spans="1:26">
      <c r="A120" s="332">
        <f>+'Purchased Power Model '!A120</f>
        <v>41183</v>
      </c>
      <c r="B120" s="338">
        <f>+'Purchased Power Model '!B120</f>
        <v>85295690.281818166</v>
      </c>
      <c r="C120" s="334">
        <f>+'Purchased Power Model '!C120</f>
        <v>228.99999999999994</v>
      </c>
      <c r="D120" s="334">
        <f>+'Purchased Power Model '!D120</f>
        <v>0</v>
      </c>
      <c r="E120" s="335">
        <f>+'Purchased Power Model '!E120</f>
        <v>9.6000000000000002E-2</v>
      </c>
      <c r="F120" s="336">
        <f>+'Purchased Power Model '!F120</f>
        <v>31</v>
      </c>
      <c r="G120" s="336">
        <f>+'Purchased Power Model '!G120</f>
        <v>1</v>
      </c>
      <c r="H120" s="337">
        <f>+'Purchased Power Model '!H120</f>
        <v>86740542.193759575</v>
      </c>
      <c r="J120" s="332">
        <f>+'10 Year Average'!A120</f>
        <v>41183</v>
      </c>
      <c r="K120" s="338">
        <f>+'10 Year Average'!B120</f>
        <v>85295690.281818166</v>
      </c>
      <c r="L120" s="334">
        <f>+'10 Year Average'!C120</f>
        <v>228.99999999999994</v>
      </c>
      <c r="M120" s="334">
        <f>+'10 Year Average'!D120</f>
        <v>0</v>
      </c>
      <c r="N120" s="335">
        <f>+'10 Year Average'!E120</f>
        <v>9.6000000000000002E-2</v>
      </c>
      <c r="O120" s="336">
        <f>+'10 Year Average'!F120</f>
        <v>31</v>
      </c>
      <c r="P120" s="336">
        <f>+'10 Year Average'!G120</f>
        <v>1</v>
      </c>
      <c r="Q120" s="337">
        <f>+'10 Year Average'!H120</f>
        <v>86740542.193759575</v>
      </c>
      <c r="S120" s="332">
        <f>+'20 Year Trend'!A120</f>
        <v>41183</v>
      </c>
      <c r="T120" s="338">
        <f>+'20 Year Trend'!B120</f>
        <v>85295690.281818166</v>
      </c>
      <c r="U120" s="334">
        <f>+'20 Year Trend'!C120</f>
        <v>228.99999999999994</v>
      </c>
      <c r="V120" s="334">
        <f>+'20 Year Trend'!D120</f>
        <v>0</v>
      </c>
      <c r="W120" s="335">
        <f>+'20 Year Trend'!E120</f>
        <v>9.6000000000000002E-2</v>
      </c>
      <c r="X120" s="336">
        <f>+'20 Year Trend'!F120</f>
        <v>31</v>
      </c>
      <c r="Y120" s="336">
        <f>+'20 Year Trend'!G120</f>
        <v>1</v>
      </c>
      <c r="Z120" s="337">
        <f>+'20 Year Trend'!H120</f>
        <v>86740542.193759575</v>
      </c>
    </row>
    <row r="121" spans="1:26">
      <c r="A121" s="332">
        <f>+'Purchased Power Model '!A121</f>
        <v>41214</v>
      </c>
      <c r="B121" s="338">
        <f>+'Purchased Power Model '!B121</f>
        <v>91679199.734545454</v>
      </c>
      <c r="C121" s="334">
        <f>+'Purchased Power Model '!C121</f>
        <v>427.89999999999992</v>
      </c>
      <c r="D121" s="334">
        <f>+'Purchased Power Model '!D121</f>
        <v>0</v>
      </c>
      <c r="E121" s="335">
        <f>+'Purchased Power Model '!E121</f>
        <v>9.6000000000000002E-2</v>
      </c>
      <c r="F121" s="336">
        <f>+'Purchased Power Model '!F121</f>
        <v>30</v>
      </c>
      <c r="G121" s="336">
        <f>+'Purchased Power Model '!G121</f>
        <v>1</v>
      </c>
      <c r="H121" s="337">
        <f>+'Purchased Power Model '!H121</f>
        <v>91892482.56783022</v>
      </c>
      <c r="J121" s="332">
        <f>+'10 Year Average'!A121</f>
        <v>41214</v>
      </c>
      <c r="K121" s="338">
        <f>+'10 Year Average'!B121</f>
        <v>91679199.734545454</v>
      </c>
      <c r="L121" s="334">
        <f>+'10 Year Average'!C121</f>
        <v>427.89999999999992</v>
      </c>
      <c r="M121" s="334">
        <f>+'10 Year Average'!D121</f>
        <v>0</v>
      </c>
      <c r="N121" s="335">
        <f>+'10 Year Average'!E121</f>
        <v>9.6000000000000002E-2</v>
      </c>
      <c r="O121" s="336">
        <f>+'10 Year Average'!F121</f>
        <v>30</v>
      </c>
      <c r="P121" s="336">
        <f>+'10 Year Average'!G121</f>
        <v>1</v>
      </c>
      <c r="Q121" s="337">
        <f>+'10 Year Average'!H121</f>
        <v>91892482.56783022</v>
      </c>
      <c r="S121" s="332">
        <f>+'20 Year Trend'!A121</f>
        <v>41214</v>
      </c>
      <c r="T121" s="338">
        <f>+'20 Year Trend'!B121</f>
        <v>91679199.734545454</v>
      </c>
      <c r="U121" s="334">
        <f>+'20 Year Trend'!C121</f>
        <v>427.89999999999992</v>
      </c>
      <c r="V121" s="334">
        <f>+'20 Year Trend'!D121</f>
        <v>0</v>
      </c>
      <c r="W121" s="335">
        <f>+'20 Year Trend'!E121</f>
        <v>9.6000000000000002E-2</v>
      </c>
      <c r="X121" s="336">
        <f>+'20 Year Trend'!F121</f>
        <v>30</v>
      </c>
      <c r="Y121" s="336">
        <f>+'20 Year Trend'!G121</f>
        <v>1</v>
      </c>
      <c r="Z121" s="337">
        <f>+'20 Year Trend'!H121</f>
        <v>91892482.56783022</v>
      </c>
    </row>
    <row r="122" spans="1:26">
      <c r="A122" s="332">
        <f>+'Purchased Power Model '!A122</f>
        <v>41244</v>
      </c>
      <c r="B122" s="338">
        <f>+'Purchased Power Model '!B122</f>
        <v>102292637.76363637</v>
      </c>
      <c r="C122" s="334">
        <f>+'Purchased Power Model '!C122</f>
        <v>451.09999999999997</v>
      </c>
      <c r="D122" s="334">
        <f>+'Purchased Power Model '!D122</f>
        <v>0</v>
      </c>
      <c r="E122" s="335">
        <f>+'Purchased Power Model '!E122</f>
        <v>9.6000000000000002E-2</v>
      </c>
      <c r="F122" s="336">
        <f>+'Purchased Power Model '!F122</f>
        <v>31</v>
      </c>
      <c r="G122" s="336">
        <f>+'Purchased Power Model '!G122</f>
        <v>0</v>
      </c>
      <c r="H122" s="337">
        <f>+'Purchased Power Model '!H122</f>
        <v>102887405.7748414</v>
      </c>
      <c r="J122" s="332">
        <f>+'10 Year Average'!A122</f>
        <v>41244</v>
      </c>
      <c r="K122" s="338">
        <f>+'10 Year Average'!B122</f>
        <v>102292637.76363637</v>
      </c>
      <c r="L122" s="334">
        <f>+'10 Year Average'!C122</f>
        <v>451.09999999999997</v>
      </c>
      <c r="M122" s="334">
        <f>+'10 Year Average'!D122</f>
        <v>0</v>
      </c>
      <c r="N122" s="335">
        <f>+'10 Year Average'!E122</f>
        <v>9.6000000000000002E-2</v>
      </c>
      <c r="O122" s="336">
        <f>+'10 Year Average'!F122</f>
        <v>31</v>
      </c>
      <c r="P122" s="336">
        <f>+'10 Year Average'!G122</f>
        <v>0</v>
      </c>
      <c r="Q122" s="337">
        <f>+'10 Year Average'!H122</f>
        <v>102887405.7748414</v>
      </c>
      <c r="S122" s="332">
        <f>+'20 Year Trend'!A122</f>
        <v>41244</v>
      </c>
      <c r="T122" s="338">
        <f>+'20 Year Trend'!B122</f>
        <v>102292637.76363637</v>
      </c>
      <c r="U122" s="334">
        <f>+'20 Year Trend'!C122</f>
        <v>451.09999999999997</v>
      </c>
      <c r="V122" s="334">
        <f>+'20 Year Trend'!D122</f>
        <v>0</v>
      </c>
      <c r="W122" s="335">
        <f>+'20 Year Trend'!E122</f>
        <v>9.6000000000000002E-2</v>
      </c>
      <c r="X122" s="336">
        <f>+'20 Year Trend'!F122</f>
        <v>31</v>
      </c>
      <c r="Y122" s="336">
        <f>+'20 Year Trend'!G122</f>
        <v>0</v>
      </c>
      <c r="Z122" s="337">
        <f>+'20 Year Trend'!H122</f>
        <v>102887405.7748414</v>
      </c>
    </row>
    <row r="123" spans="1:26">
      <c r="A123" s="332">
        <f>+'Purchased Power Model '!A123</f>
        <v>41275</v>
      </c>
      <c r="B123" s="338">
        <f>+'Purchased Power Model '!B123</f>
        <v>107376383.33333334</v>
      </c>
      <c r="C123" s="334">
        <f>+'Purchased Power Model '!C123</f>
        <v>615.40000000000009</v>
      </c>
      <c r="D123" s="334">
        <f>+'Purchased Power Model '!D123</f>
        <v>0</v>
      </c>
      <c r="E123" s="335">
        <f>+'Purchased Power Model '!E123</f>
        <v>8.6000110000000005E-2</v>
      </c>
      <c r="F123" s="336">
        <f>+'Purchased Power Model '!F123</f>
        <v>31</v>
      </c>
      <c r="G123" s="336">
        <f>+'Purchased Power Model '!G123</f>
        <v>0</v>
      </c>
      <c r="H123" s="337">
        <f>+'Purchased Power Model '!H123</f>
        <v>110773684.58390863</v>
      </c>
      <c r="J123" s="332">
        <f>+'10 Year Average'!A123</f>
        <v>41275</v>
      </c>
      <c r="K123" s="338">
        <f>+'10 Year Average'!B123</f>
        <v>107376383.33333334</v>
      </c>
      <c r="L123" s="334">
        <f>+'10 Year Average'!C123</f>
        <v>615.40000000000009</v>
      </c>
      <c r="M123" s="334">
        <f>+'10 Year Average'!D123</f>
        <v>0</v>
      </c>
      <c r="N123" s="335">
        <f>+'10 Year Average'!E123</f>
        <v>8.6000110000000005E-2</v>
      </c>
      <c r="O123" s="336">
        <f>+'10 Year Average'!F123</f>
        <v>31</v>
      </c>
      <c r="P123" s="336">
        <f>+'10 Year Average'!G123</f>
        <v>0</v>
      </c>
      <c r="Q123" s="337">
        <f>+'10 Year Average'!H123</f>
        <v>110773684.58390863</v>
      </c>
      <c r="S123" s="332">
        <f>+'20 Year Trend'!A123</f>
        <v>41275</v>
      </c>
      <c r="T123" s="338">
        <f>+'20 Year Trend'!B123</f>
        <v>107376383.33333334</v>
      </c>
      <c r="U123" s="334">
        <f>+'20 Year Trend'!C123</f>
        <v>615.40000000000009</v>
      </c>
      <c r="V123" s="334">
        <f>+'20 Year Trend'!D123</f>
        <v>0</v>
      </c>
      <c r="W123" s="335">
        <f>+'20 Year Trend'!E123</f>
        <v>8.6000110000000005E-2</v>
      </c>
      <c r="X123" s="336">
        <f>+'20 Year Trend'!F123</f>
        <v>31</v>
      </c>
      <c r="Y123" s="336">
        <f>+'20 Year Trend'!G123</f>
        <v>0</v>
      </c>
      <c r="Z123" s="337">
        <f>+'20 Year Trend'!H123</f>
        <v>110773684.58390863</v>
      </c>
    </row>
    <row r="124" spans="1:26">
      <c r="A124" s="332">
        <f>+'Purchased Power Model '!A124</f>
        <v>41306</v>
      </c>
      <c r="B124" s="338">
        <f>+'Purchased Power Model '!B124</f>
        <v>98702891.666666672</v>
      </c>
      <c r="C124" s="334">
        <f>+'Purchased Power Model '!C124</f>
        <v>611.5</v>
      </c>
      <c r="D124" s="334">
        <f>+'Purchased Power Model '!D124</f>
        <v>0</v>
      </c>
      <c r="E124" s="335">
        <f>+'Purchased Power Model '!E124</f>
        <v>8.6000110000000005E-2</v>
      </c>
      <c r="F124" s="336">
        <f>+'Purchased Power Model '!F124</f>
        <v>28</v>
      </c>
      <c r="G124" s="336">
        <f>+'Purchased Power Model '!G124</f>
        <v>0</v>
      </c>
      <c r="H124" s="337">
        <f>+'Purchased Power Model '!H124</f>
        <v>102113493.63537557</v>
      </c>
      <c r="J124" s="332">
        <f>+'10 Year Average'!A124</f>
        <v>41306</v>
      </c>
      <c r="K124" s="338">
        <f>+'10 Year Average'!B124</f>
        <v>98702891.666666672</v>
      </c>
      <c r="L124" s="334">
        <f>+'10 Year Average'!C124</f>
        <v>611.5</v>
      </c>
      <c r="M124" s="334">
        <f>+'10 Year Average'!D124</f>
        <v>0</v>
      </c>
      <c r="N124" s="335">
        <f>+'10 Year Average'!E124</f>
        <v>8.6000110000000005E-2</v>
      </c>
      <c r="O124" s="336">
        <f>+'10 Year Average'!F124</f>
        <v>28</v>
      </c>
      <c r="P124" s="336">
        <f>+'10 Year Average'!G124</f>
        <v>0</v>
      </c>
      <c r="Q124" s="337">
        <f>+'10 Year Average'!H124</f>
        <v>102113493.63537557</v>
      </c>
      <c r="S124" s="332">
        <f>+'20 Year Trend'!A124</f>
        <v>41306</v>
      </c>
      <c r="T124" s="338">
        <f>+'20 Year Trend'!B124</f>
        <v>98702891.666666672</v>
      </c>
      <c r="U124" s="334">
        <f>+'20 Year Trend'!C124</f>
        <v>611.5</v>
      </c>
      <c r="V124" s="334">
        <f>+'20 Year Trend'!D124</f>
        <v>0</v>
      </c>
      <c r="W124" s="335">
        <f>+'20 Year Trend'!E124</f>
        <v>8.6000110000000005E-2</v>
      </c>
      <c r="X124" s="336">
        <f>+'20 Year Trend'!F124</f>
        <v>28</v>
      </c>
      <c r="Y124" s="336">
        <f>+'20 Year Trend'!G124</f>
        <v>0</v>
      </c>
      <c r="Z124" s="337">
        <f>+'20 Year Trend'!H124</f>
        <v>102113493.63537557</v>
      </c>
    </row>
    <row r="125" spans="1:26">
      <c r="A125" s="332">
        <f>+'Purchased Power Model '!A125</f>
        <v>41334</v>
      </c>
      <c r="B125" s="338">
        <f>+'Purchased Power Model '!B125</f>
        <v>98851083.333333343</v>
      </c>
      <c r="C125" s="334">
        <f>+'Purchased Power Model '!C125</f>
        <v>545</v>
      </c>
      <c r="D125" s="334">
        <f>+'Purchased Power Model '!D125</f>
        <v>0</v>
      </c>
      <c r="E125" s="335">
        <f>+'Purchased Power Model '!E125</f>
        <v>8.6000110000000005E-2</v>
      </c>
      <c r="F125" s="336">
        <f>+'Purchased Power Model '!F125</f>
        <v>31</v>
      </c>
      <c r="G125" s="336">
        <f>+'Purchased Power Model '!G125</f>
        <v>1</v>
      </c>
      <c r="H125" s="337">
        <f>+'Purchased Power Model '!H125</f>
        <v>100718061.48090206</v>
      </c>
      <c r="J125" s="332">
        <f>+'10 Year Average'!A125</f>
        <v>41334</v>
      </c>
      <c r="K125" s="338">
        <f>+'10 Year Average'!B125</f>
        <v>98851083.333333343</v>
      </c>
      <c r="L125" s="334">
        <f>+'10 Year Average'!C125</f>
        <v>545</v>
      </c>
      <c r="M125" s="334">
        <f>+'10 Year Average'!D125</f>
        <v>0</v>
      </c>
      <c r="N125" s="335">
        <f>+'10 Year Average'!E125</f>
        <v>8.6000110000000005E-2</v>
      </c>
      <c r="O125" s="336">
        <f>+'10 Year Average'!F125</f>
        <v>31</v>
      </c>
      <c r="P125" s="336">
        <f>+'10 Year Average'!G125</f>
        <v>1</v>
      </c>
      <c r="Q125" s="337">
        <f>+'10 Year Average'!H125</f>
        <v>100718061.48090206</v>
      </c>
      <c r="S125" s="332">
        <f>+'20 Year Trend'!A125</f>
        <v>41334</v>
      </c>
      <c r="T125" s="338">
        <f>+'20 Year Trend'!B125</f>
        <v>98851083.333333343</v>
      </c>
      <c r="U125" s="334">
        <f>+'20 Year Trend'!C125</f>
        <v>545</v>
      </c>
      <c r="V125" s="334">
        <f>+'20 Year Trend'!D125</f>
        <v>0</v>
      </c>
      <c r="W125" s="335">
        <f>+'20 Year Trend'!E125</f>
        <v>8.6000110000000005E-2</v>
      </c>
      <c r="X125" s="336">
        <f>+'20 Year Trend'!F125</f>
        <v>31</v>
      </c>
      <c r="Y125" s="336">
        <f>+'20 Year Trend'!G125</f>
        <v>1</v>
      </c>
      <c r="Z125" s="337">
        <f>+'20 Year Trend'!H125</f>
        <v>100718061.48090206</v>
      </c>
    </row>
    <row r="126" spans="1:26">
      <c r="A126" s="332">
        <f>+'Purchased Power Model '!A126</f>
        <v>41365</v>
      </c>
      <c r="B126" s="338">
        <f>+'Purchased Power Model '!B126</f>
        <v>87330008.333333343</v>
      </c>
      <c r="C126" s="334">
        <f>+'Purchased Power Model '!C126</f>
        <v>366.49999999999994</v>
      </c>
      <c r="D126" s="334">
        <f>+'Purchased Power Model '!D126</f>
        <v>0</v>
      </c>
      <c r="E126" s="335">
        <f>+'Purchased Power Model '!E126</f>
        <v>7.8295169999999997E-2</v>
      </c>
      <c r="F126" s="336">
        <f>+'Purchased Power Model '!F126</f>
        <v>30</v>
      </c>
      <c r="G126" s="336">
        <f>+'Purchased Power Model '!G126</f>
        <v>1</v>
      </c>
      <c r="H126" s="337">
        <f>+'Purchased Power Model '!H126</f>
        <v>91709444.991503432</v>
      </c>
      <c r="J126" s="332">
        <f>+'10 Year Average'!A126</f>
        <v>41365</v>
      </c>
      <c r="K126" s="338">
        <f>+'10 Year Average'!B126</f>
        <v>87330008.333333343</v>
      </c>
      <c r="L126" s="334">
        <f>+'10 Year Average'!C126</f>
        <v>366.49999999999994</v>
      </c>
      <c r="M126" s="334">
        <f>+'10 Year Average'!D126</f>
        <v>0</v>
      </c>
      <c r="N126" s="335">
        <f>+'10 Year Average'!E126</f>
        <v>7.8295169999999997E-2</v>
      </c>
      <c r="O126" s="336">
        <f>+'10 Year Average'!F126</f>
        <v>30</v>
      </c>
      <c r="P126" s="336">
        <f>+'10 Year Average'!G126</f>
        <v>1</v>
      </c>
      <c r="Q126" s="337">
        <f>+'10 Year Average'!H126</f>
        <v>91709444.991503432</v>
      </c>
      <c r="S126" s="332">
        <f>+'20 Year Trend'!A126</f>
        <v>41365</v>
      </c>
      <c r="T126" s="338">
        <f>+'20 Year Trend'!B126</f>
        <v>87330008.333333343</v>
      </c>
      <c r="U126" s="334">
        <f>+'20 Year Trend'!C126</f>
        <v>366.49999999999994</v>
      </c>
      <c r="V126" s="334">
        <f>+'20 Year Trend'!D126</f>
        <v>0</v>
      </c>
      <c r="W126" s="335">
        <f>+'20 Year Trend'!E126</f>
        <v>7.8295169999999997E-2</v>
      </c>
      <c r="X126" s="336">
        <f>+'20 Year Trend'!F126</f>
        <v>30</v>
      </c>
      <c r="Y126" s="336">
        <f>+'20 Year Trend'!G126</f>
        <v>1</v>
      </c>
      <c r="Z126" s="337">
        <f>+'20 Year Trend'!H126</f>
        <v>91709444.991503432</v>
      </c>
    </row>
    <row r="127" spans="1:26">
      <c r="A127" s="332">
        <f>+'Purchased Power Model '!A127</f>
        <v>41395</v>
      </c>
      <c r="B127" s="338">
        <f>+'Purchased Power Model '!B127</f>
        <v>81913958.333333343</v>
      </c>
      <c r="C127" s="334">
        <f>+'Purchased Power Model '!C127</f>
        <v>133.4</v>
      </c>
      <c r="D127" s="334">
        <f>+'Purchased Power Model '!D127</f>
        <v>3</v>
      </c>
      <c r="E127" s="335">
        <f>+'Purchased Power Model '!E127</f>
        <v>7.8295169999999997E-2</v>
      </c>
      <c r="F127" s="336">
        <f>+'Purchased Power Model '!F127</f>
        <v>31</v>
      </c>
      <c r="G127" s="336">
        <f>+'Purchased Power Model '!G127</f>
        <v>1</v>
      </c>
      <c r="H127" s="337">
        <f>+'Purchased Power Model '!H127</f>
        <v>85605583.276337638</v>
      </c>
      <c r="J127" s="332">
        <f>+'10 Year Average'!A127</f>
        <v>41395</v>
      </c>
      <c r="K127" s="338">
        <f>+'10 Year Average'!B127</f>
        <v>81913958.333333343</v>
      </c>
      <c r="L127" s="334">
        <f>+'10 Year Average'!C127</f>
        <v>133.4</v>
      </c>
      <c r="M127" s="334">
        <f>+'10 Year Average'!D127</f>
        <v>3</v>
      </c>
      <c r="N127" s="335">
        <f>+'10 Year Average'!E127</f>
        <v>7.8295169999999997E-2</v>
      </c>
      <c r="O127" s="336">
        <f>+'10 Year Average'!F127</f>
        <v>31</v>
      </c>
      <c r="P127" s="336">
        <f>+'10 Year Average'!G127</f>
        <v>1</v>
      </c>
      <c r="Q127" s="337">
        <f>+'10 Year Average'!H127</f>
        <v>85605583.276337638</v>
      </c>
      <c r="S127" s="332">
        <f>+'20 Year Trend'!A127</f>
        <v>41395</v>
      </c>
      <c r="T127" s="338">
        <f>+'20 Year Trend'!B127</f>
        <v>81913958.333333343</v>
      </c>
      <c r="U127" s="334">
        <f>+'20 Year Trend'!C127</f>
        <v>133.4</v>
      </c>
      <c r="V127" s="334">
        <f>+'20 Year Trend'!D127</f>
        <v>3</v>
      </c>
      <c r="W127" s="335">
        <f>+'20 Year Trend'!E127</f>
        <v>7.8295169999999997E-2</v>
      </c>
      <c r="X127" s="336">
        <f>+'20 Year Trend'!F127</f>
        <v>31</v>
      </c>
      <c r="Y127" s="336">
        <f>+'20 Year Trend'!G127</f>
        <v>1</v>
      </c>
      <c r="Z127" s="337">
        <f>+'20 Year Trend'!H127</f>
        <v>85605583.276337638</v>
      </c>
    </row>
    <row r="128" spans="1:26">
      <c r="A128" s="332">
        <f>+'Purchased Power Model '!A128</f>
        <v>41426</v>
      </c>
      <c r="B128" s="338">
        <f>+'Purchased Power Model '!B128</f>
        <v>86391933.333333343</v>
      </c>
      <c r="C128" s="334">
        <f>+'Purchased Power Model '!C128</f>
        <v>42.900000000000006</v>
      </c>
      <c r="D128" s="334">
        <f>+'Purchased Power Model '!D128</f>
        <v>32.200000000000003</v>
      </c>
      <c r="E128" s="335">
        <f>+'Purchased Power Model '!E128</f>
        <v>7.8295169999999997E-2</v>
      </c>
      <c r="F128" s="336">
        <f>+'Purchased Power Model '!F128</f>
        <v>30</v>
      </c>
      <c r="G128" s="336">
        <f>+'Purchased Power Model '!G128</f>
        <v>0</v>
      </c>
      <c r="H128" s="337">
        <f>+'Purchased Power Model '!H128</f>
        <v>90466854.882665217</v>
      </c>
      <c r="J128" s="332">
        <f>+'10 Year Average'!A128</f>
        <v>41426</v>
      </c>
      <c r="K128" s="338">
        <f>+'10 Year Average'!B128</f>
        <v>86391933.333333343</v>
      </c>
      <c r="L128" s="334">
        <f>+'10 Year Average'!C128</f>
        <v>42.900000000000006</v>
      </c>
      <c r="M128" s="334">
        <f>+'10 Year Average'!D128</f>
        <v>32.200000000000003</v>
      </c>
      <c r="N128" s="335">
        <f>+'10 Year Average'!E128</f>
        <v>7.8295169999999997E-2</v>
      </c>
      <c r="O128" s="336">
        <f>+'10 Year Average'!F128</f>
        <v>30</v>
      </c>
      <c r="P128" s="336">
        <f>+'10 Year Average'!G128</f>
        <v>0</v>
      </c>
      <c r="Q128" s="337">
        <f>+'10 Year Average'!H128</f>
        <v>90466854.882665217</v>
      </c>
      <c r="S128" s="332">
        <f>+'20 Year Trend'!A128</f>
        <v>41426</v>
      </c>
      <c r="T128" s="338">
        <f>+'20 Year Trend'!B128</f>
        <v>86391933.333333343</v>
      </c>
      <c r="U128" s="334">
        <f>+'20 Year Trend'!C128</f>
        <v>42.900000000000006</v>
      </c>
      <c r="V128" s="334">
        <f>+'20 Year Trend'!D128</f>
        <v>32.200000000000003</v>
      </c>
      <c r="W128" s="335">
        <f>+'20 Year Trend'!E128</f>
        <v>7.8295169999999997E-2</v>
      </c>
      <c r="X128" s="336">
        <f>+'20 Year Trend'!F128</f>
        <v>30</v>
      </c>
      <c r="Y128" s="336">
        <f>+'20 Year Trend'!G128</f>
        <v>0</v>
      </c>
      <c r="Z128" s="337">
        <f>+'20 Year Trend'!H128</f>
        <v>90466854.882665217</v>
      </c>
    </row>
    <row r="129" spans="1:26">
      <c r="A129" s="332">
        <f>+'Purchased Power Model '!A129</f>
        <v>41456</v>
      </c>
      <c r="B129" s="338">
        <f>+'Purchased Power Model '!B129</f>
        <v>104037066.66666667</v>
      </c>
      <c r="C129" s="334">
        <f>+'Purchased Power Model '!C129</f>
        <v>4.4000000000000004</v>
      </c>
      <c r="D129" s="334">
        <f>+'Purchased Power Model '!D129</f>
        <v>109.99999999999999</v>
      </c>
      <c r="E129" s="335">
        <f>+'Purchased Power Model '!E129</f>
        <v>6.7434110000000005E-2</v>
      </c>
      <c r="F129" s="336">
        <f>+'Purchased Power Model '!F129</f>
        <v>31</v>
      </c>
      <c r="G129" s="336">
        <f>+'Purchased Power Model '!G129</f>
        <v>0</v>
      </c>
      <c r="H129" s="337">
        <f>+'Purchased Power Model '!H129</f>
        <v>104081794.0930358</v>
      </c>
      <c r="J129" s="332">
        <f>+'10 Year Average'!A129</f>
        <v>41456</v>
      </c>
      <c r="K129" s="338">
        <f>+'10 Year Average'!B129</f>
        <v>104037066.66666667</v>
      </c>
      <c r="L129" s="334">
        <f>+'10 Year Average'!C129</f>
        <v>4.4000000000000004</v>
      </c>
      <c r="M129" s="334">
        <f>+'10 Year Average'!D129</f>
        <v>109.99999999999999</v>
      </c>
      <c r="N129" s="335">
        <f>+'10 Year Average'!E129</f>
        <v>6.7434110000000005E-2</v>
      </c>
      <c r="O129" s="336">
        <f>+'10 Year Average'!F129</f>
        <v>31</v>
      </c>
      <c r="P129" s="336">
        <f>+'10 Year Average'!G129</f>
        <v>0</v>
      </c>
      <c r="Q129" s="337">
        <f>+'10 Year Average'!H129</f>
        <v>104081794.0930358</v>
      </c>
      <c r="S129" s="332">
        <f>+'20 Year Trend'!A129</f>
        <v>41456</v>
      </c>
      <c r="T129" s="338">
        <f>+'20 Year Trend'!B129</f>
        <v>104037066.66666667</v>
      </c>
      <c r="U129" s="334">
        <f>+'20 Year Trend'!C129</f>
        <v>4.4000000000000004</v>
      </c>
      <c r="V129" s="334">
        <f>+'20 Year Trend'!D129</f>
        <v>109.99999999999999</v>
      </c>
      <c r="W129" s="335">
        <f>+'20 Year Trend'!E129</f>
        <v>6.7434110000000005E-2</v>
      </c>
      <c r="X129" s="336">
        <f>+'20 Year Trend'!F129</f>
        <v>31</v>
      </c>
      <c r="Y129" s="336">
        <f>+'20 Year Trend'!G129</f>
        <v>0</v>
      </c>
      <c r="Z129" s="337">
        <f>+'20 Year Trend'!H129</f>
        <v>104081794.0930358</v>
      </c>
    </row>
    <row r="130" spans="1:26">
      <c r="A130" s="332">
        <f>+'Purchased Power Model '!A130</f>
        <v>41487</v>
      </c>
      <c r="B130" s="338">
        <f>+'Purchased Power Model '!B130</f>
        <v>95663441.666666672</v>
      </c>
      <c r="C130" s="334">
        <f>+'Purchased Power Model '!C130</f>
        <v>11</v>
      </c>
      <c r="D130" s="334">
        <f>+'Purchased Power Model '!D130</f>
        <v>57.899999999999991</v>
      </c>
      <c r="E130" s="335">
        <f>+'Purchased Power Model '!E130</f>
        <v>6.7434110000000005E-2</v>
      </c>
      <c r="F130" s="336">
        <f>+'Purchased Power Model '!F130</f>
        <v>31</v>
      </c>
      <c r="G130" s="336">
        <f>+'Purchased Power Model '!G130</f>
        <v>0</v>
      </c>
      <c r="H130" s="337">
        <f>+'Purchased Power Model '!H130</f>
        <v>97029914.081305042</v>
      </c>
      <c r="J130" s="332">
        <f>+'10 Year Average'!A130</f>
        <v>41487</v>
      </c>
      <c r="K130" s="338">
        <f>+'10 Year Average'!B130</f>
        <v>95663441.666666672</v>
      </c>
      <c r="L130" s="334">
        <f>+'10 Year Average'!C130</f>
        <v>11</v>
      </c>
      <c r="M130" s="334">
        <f>+'10 Year Average'!D130</f>
        <v>57.899999999999991</v>
      </c>
      <c r="N130" s="335">
        <f>+'10 Year Average'!E130</f>
        <v>6.7434110000000005E-2</v>
      </c>
      <c r="O130" s="336">
        <f>+'10 Year Average'!F130</f>
        <v>31</v>
      </c>
      <c r="P130" s="336">
        <f>+'10 Year Average'!G130</f>
        <v>0</v>
      </c>
      <c r="Q130" s="337">
        <f>+'10 Year Average'!H130</f>
        <v>97029914.081305042</v>
      </c>
      <c r="S130" s="332">
        <f>+'20 Year Trend'!A130</f>
        <v>41487</v>
      </c>
      <c r="T130" s="338">
        <f>+'20 Year Trend'!B130</f>
        <v>95663441.666666672</v>
      </c>
      <c r="U130" s="334">
        <f>+'20 Year Trend'!C130</f>
        <v>11</v>
      </c>
      <c r="V130" s="334">
        <f>+'20 Year Trend'!D130</f>
        <v>57.899999999999991</v>
      </c>
      <c r="W130" s="335">
        <f>+'20 Year Trend'!E130</f>
        <v>6.7434110000000005E-2</v>
      </c>
      <c r="X130" s="336">
        <f>+'20 Year Trend'!F130</f>
        <v>31</v>
      </c>
      <c r="Y130" s="336">
        <f>+'20 Year Trend'!G130</f>
        <v>0</v>
      </c>
      <c r="Z130" s="337">
        <f>+'20 Year Trend'!H130</f>
        <v>97029914.081305042</v>
      </c>
    </row>
    <row r="131" spans="1:26">
      <c r="A131" s="332">
        <f>+'Purchased Power Model '!A131</f>
        <v>41518</v>
      </c>
      <c r="B131" s="338">
        <f>+'Purchased Power Model '!B131</f>
        <v>83012108.333333343</v>
      </c>
      <c r="C131" s="334">
        <f>+'Purchased Power Model '!C131</f>
        <v>96.600000000000009</v>
      </c>
      <c r="D131" s="334">
        <f>+'Purchased Power Model '!D131</f>
        <v>15.700000000000001</v>
      </c>
      <c r="E131" s="335">
        <f>+'Purchased Power Model '!E131</f>
        <v>6.7434110000000005E-2</v>
      </c>
      <c r="F131" s="336">
        <f>+'Purchased Power Model '!F131</f>
        <v>30</v>
      </c>
      <c r="G131" s="336">
        <f>+'Purchased Power Model '!G131</f>
        <v>1</v>
      </c>
      <c r="H131" s="337">
        <f>+'Purchased Power Model '!H131</f>
        <v>84477117.682927072</v>
      </c>
      <c r="J131" s="332">
        <f>+'10 Year Average'!A131</f>
        <v>41518</v>
      </c>
      <c r="K131" s="338">
        <f>+'10 Year Average'!B131</f>
        <v>83012108.333333343</v>
      </c>
      <c r="L131" s="334">
        <f>+'10 Year Average'!C131</f>
        <v>96.600000000000009</v>
      </c>
      <c r="M131" s="334">
        <f>+'10 Year Average'!D131</f>
        <v>15.700000000000001</v>
      </c>
      <c r="N131" s="335">
        <f>+'10 Year Average'!E131</f>
        <v>6.7434110000000005E-2</v>
      </c>
      <c r="O131" s="336">
        <f>+'10 Year Average'!F131</f>
        <v>30</v>
      </c>
      <c r="P131" s="336">
        <f>+'10 Year Average'!G131</f>
        <v>1</v>
      </c>
      <c r="Q131" s="337">
        <f>+'10 Year Average'!H131</f>
        <v>84477117.682927072</v>
      </c>
      <c r="S131" s="332">
        <f>+'20 Year Trend'!A131</f>
        <v>41518</v>
      </c>
      <c r="T131" s="338">
        <f>+'20 Year Trend'!B131</f>
        <v>83012108.333333343</v>
      </c>
      <c r="U131" s="334">
        <f>+'20 Year Trend'!C131</f>
        <v>96.600000000000009</v>
      </c>
      <c r="V131" s="334">
        <f>+'20 Year Trend'!D131</f>
        <v>15.700000000000001</v>
      </c>
      <c r="W131" s="335">
        <f>+'20 Year Trend'!E131</f>
        <v>6.7434110000000005E-2</v>
      </c>
      <c r="X131" s="336">
        <f>+'20 Year Trend'!F131</f>
        <v>30</v>
      </c>
      <c r="Y131" s="336">
        <f>+'20 Year Trend'!G131</f>
        <v>1</v>
      </c>
      <c r="Z131" s="337">
        <f>+'20 Year Trend'!H131</f>
        <v>84477117.682927072</v>
      </c>
    </row>
    <row r="132" spans="1:26">
      <c r="A132" s="332">
        <f>+'Purchased Power Model '!A132</f>
        <v>41548</v>
      </c>
      <c r="B132" s="338">
        <f>+'Purchased Power Model '!B132</f>
        <v>84463400.000000015</v>
      </c>
      <c r="C132" s="334">
        <f>+'Purchased Power Model '!C132</f>
        <v>221</v>
      </c>
      <c r="D132" s="334">
        <f>+'Purchased Power Model '!D132</f>
        <v>3</v>
      </c>
      <c r="E132" s="335">
        <f>+'Purchased Power Model '!E132</f>
        <v>7.5499999999999998E-2</v>
      </c>
      <c r="F132" s="336">
        <f>+'Purchased Power Model '!F132</f>
        <v>31</v>
      </c>
      <c r="G132" s="336">
        <f>+'Purchased Power Model '!G132</f>
        <v>1</v>
      </c>
      <c r="H132" s="337">
        <f>+'Purchased Power Model '!H132</f>
        <v>89483335.184996113</v>
      </c>
      <c r="J132" s="332">
        <f>+'10 Year Average'!A132</f>
        <v>41548</v>
      </c>
      <c r="K132" s="338">
        <f>+'10 Year Average'!B132</f>
        <v>84463400.000000015</v>
      </c>
      <c r="L132" s="334">
        <f>+'10 Year Average'!C132</f>
        <v>221</v>
      </c>
      <c r="M132" s="334">
        <f>+'10 Year Average'!D132</f>
        <v>3</v>
      </c>
      <c r="N132" s="335">
        <f>+'10 Year Average'!E132</f>
        <v>7.5499999999999998E-2</v>
      </c>
      <c r="O132" s="336">
        <f>+'10 Year Average'!F132</f>
        <v>31</v>
      </c>
      <c r="P132" s="336">
        <f>+'10 Year Average'!G132</f>
        <v>1</v>
      </c>
      <c r="Q132" s="337">
        <f>+'10 Year Average'!H132</f>
        <v>89483335.184996113</v>
      </c>
      <c r="S132" s="332">
        <f>+'20 Year Trend'!A132</f>
        <v>41548</v>
      </c>
      <c r="T132" s="338">
        <f>+'20 Year Trend'!B132</f>
        <v>84463400.000000015</v>
      </c>
      <c r="U132" s="334">
        <f>+'20 Year Trend'!C132</f>
        <v>221</v>
      </c>
      <c r="V132" s="334">
        <f>+'20 Year Trend'!D132</f>
        <v>3</v>
      </c>
      <c r="W132" s="335">
        <f>+'20 Year Trend'!E132</f>
        <v>7.5499999999999998E-2</v>
      </c>
      <c r="X132" s="336">
        <f>+'20 Year Trend'!F132</f>
        <v>31</v>
      </c>
      <c r="Y132" s="336">
        <f>+'20 Year Trend'!G132</f>
        <v>1</v>
      </c>
      <c r="Z132" s="337">
        <f>+'20 Year Trend'!H132</f>
        <v>89483335.184996113</v>
      </c>
    </row>
    <row r="133" spans="1:26">
      <c r="A133" s="332">
        <f>+'Purchased Power Model '!A133</f>
        <v>41579</v>
      </c>
      <c r="B133" s="338">
        <f>+'Purchased Power Model '!B133</f>
        <v>94249183.333333343</v>
      </c>
      <c r="C133" s="334">
        <f>+'Purchased Power Model '!C133</f>
        <v>458.6</v>
      </c>
      <c r="D133" s="334">
        <f>+'Purchased Power Model '!D133</f>
        <v>0</v>
      </c>
      <c r="E133" s="335">
        <f>+'Purchased Power Model '!E133</f>
        <v>7.5499999999999998E-2</v>
      </c>
      <c r="F133" s="336">
        <f>+'Purchased Power Model '!F133</f>
        <v>30</v>
      </c>
      <c r="G133" s="336">
        <f>+'Purchased Power Model '!G133</f>
        <v>1</v>
      </c>
      <c r="H133" s="337">
        <f>+'Purchased Power Model '!H133</f>
        <v>95767886.301291361</v>
      </c>
      <c r="J133" s="332">
        <f>+'10 Year Average'!A133</f>
        <v>41579</v>
      </c>
      <c r="K133" s="338">
        <f>+'10 Year Average'!B133</f>
        <v>94249183.333333343</v>
      </c>
      <c r="L133" s="334">
        <f>+'10 Year Average'!C133</f>
        <v>458.6</v>
      </c>
      <c r="M133" s="334">
        <f>+'10 Year Average'!D133</f>
        <v>0</v>
      </c>
      <c r="N133" s="335">
        <f>+'10 Year Average'!E133</f>
        <v>7.5499999999999998E-2</v>
      </c>
      <c r="O133" s="336">
        <f>+'10 Year Average'!F133</f>
        <v>30</v>
      </c>
      <c r="P133" s="336">
        <f>+'10 Year Average'!G133</f>
        <v>1</v>
      </c>
      <c r="Q133" s="337">
        <f>+'10 Year Average'!H133</f>
        <v>95767886.301291361</v>
      </c>
      <c r="S133" s="332">
        <f>+'20 Year Trend'!A133</f>
        <v>41579</v>
      </c>
      <c r="T133" s="338">
        <f>+'20 Year Trend'!B133</f>
        <v>94249183.333333343</v>
      </c>
      <c r="U133" s="334">
        <f>+'20 Year Trend'!C133</f>
        <v>458.6</v>
      </c>
      <c r="V133" s="334">
        <f>+'20 Year Trend'!D133</f>
        <v>0</v>
      </c>
      <c r="W133" s="335">
        <f>+'20 Year Trend'!E133</f>
        <v>7.5499999999999998E-2</v>
      </c>
      <c r="X133" s="336">
        <f>+'20 Year Trend'!F133</f>
        <v>30</v>
      </c>
      <c r="Y133" s="336">
        <f>+'20 Year Trend'!G133</f>
        <v>1</v>
      </c>
      <c r="Z133" s="337">
        <f>+'20 Year Trend'!H133</f>
        <v>95767886.301291361</v>
      </c>
    </row>
    <row r="134" spans="1:26">
      <c r="A134" s="332">
        <f>+'Purchased Power Model '!A134</f>
        <v>41609</v>
      </c>
      <c r="B134" s="338">
        <f>+'Purchased Power Model '!B134</f>
        <v>108415583.33333334</v>
      </c>
      <c r="C134" s="334">
        <f>+'Purchased Power Model '!C134</f>
        <v>472.8</v>
      </c>
      <c r="D134" s="334">
        <f ca="1">+'Purchased Power Model '!D134</f>
        <v>0</v>
      </c>
      <c r="E134" s="335">
        <f>+'Purchased Power Model '!E134</f>
        <v>7.5499999999999998E-2</v>
      </c>
      <c r="F134" s="336">
        <f>+'Purchased Power Model '!F134</f>
        <v>31</v>
      </c>
      <c r="G134" s="336">
        <f>+'Purchased Power Model '!G134</f>
        <v>0</v>
      </c>
      <c r="H134" s="337">
        <f ca="1">+'Purchased Power Model '!H134</f>
        <v>106401430.70604365</v>
      </c>
      <c r="J134" s="332">
        <f>+'10 Year Average'!A134</f>
        <v>41609</v>
      </c>
      <c r="K134" s="338">
        <f>+'10 Year Average'!B134</f>
        <v>108415583.33333334</v>
      </c>
      <c r="L134" s="334">
        <f>+'10 Year Average'!C134</f>
        <v>472.8</v>
      </c>
      <c r="M134" s="334">
        <f ca="1">+'10 Year Average'!D134</f>
        <v>0</v>
      </c>
      <c r="N134" s="335">
        <f>+'10 Year Average'!E134</f>
        <v>7.5499999999999998E-2</v>
      </c>
      <c r="O134" s="336">
        <f>+'10 Year Average'!F134</f>
        <v>31</v>
      </c>
      <c r="P134" s="336">
        <f>+'10 Year Average'!G134</f>
        <v>0</v>
      </c>
      <c r="Q134" s="337">
        <f ca="1">+'10 Year Average'!H134</f>
        <v>106401430.70604365</v>
      </c>
      <c r="S134" s="332">
        <f>+'20 Year Trend'!A134</f>
        <v>41609</v>
      </c>
      <c r="T134" s="338">
        <f>+'20 Year Trend'!B134</f>
        <v>108415583.33333334</v>
      </c>
      <c r="U134" s="334">
        <f>+'20 Year Trend'!C134</f>
        <v>472.8</v>
      </c>
      <c r="V134" s="334">
        <f ca="1">+'20 Year Trend'!D134</f>
        <v>0</v>
      </c>
      <c r="W134" s="335">
        <f>+'20 Year Trend'!E134</f>
        <v>7.5499999999999998E-2</v>
      </c>
      <c r="X134" s="336">
        <f>+'20 Year Trend'!F134</f>
        <v>31</v>
      </c>
      <c r="Y134" s="336">
        <f>+'20 Year Trend'!G134</f>
        <v>0</v>
      </c>
      <c r="Z134" s="337">
        <f ca="1">+'20 Year Trend'!H134</f>
        <v>106401430.70604365</v>
      </c>
    </row>
    <row r="135" spans="1:26">
      <c r="A135" s="332">
        <f>+'Purchased Power Model '!A135</f>
        <v>41640</v>
      </c>
      <c r="B135" s="339"/>
      <c r="C135" s="334">
        <f>+'Purchased Power Model '!C135</f>
        <v>552.13385193331999</v>
      </c>
      <c r="D135" s="334">
        <f ca="1">+'Purchased Power Model '!D135</f>
        <v>0</v>
      </c>
      <c r="E135" s="335">
        <f>+'Purchased Power Model '!E135</f>
        <v>7.5499999999999998E-2</v>
      </c>
      <c r="F135" s="336">
        <f>+'Purchased Power Model '!F135</f>
        <v>31</v>
      </c>
      <c r="G135" s="336">
        <f>+'Purchased Power Model '!G135</f>
        <v>0</v>
      </c>
      <c r="H135" s="337">
        <f ca="1">+'Purchased Power Model '!H135</f>
        <v>109586938.74940468</v>
      </c>
      <c r="J135" s="332">
        <f>+'10 Year Average'!A135</f>
        <v>41640</v>
      </c>
      <c r="K135" s="339"/>
      <c r="L135" s="334">
        <f>+'10 Year Average'!C135</f>
        <v>564.54188088253147</v>
      </c>
      <c r="M135" s="334">
        <f ca="1">+'10 Year Average'!D135</f>
        <v>0</v>
      </c>
      <c r="N135" s="335">
        <f>+'10 Year Average'!E135</f>
        <v>7.5499999999999998E-2</v>
      </c>
      <c r="O135" s="336">
        <f>+'10 Year Average'!F135</f>
        <v>31</v>
      </c>
      <c r="P135" s="336">
        <f>+'10 Year Average'!G135</f>
        <v>0</v>
      </c>
      <c r="Q135" s="337">
        <f ca="1">+'10 Year Average'!H135</f>
        <v>110085160.82052246</v>
      </c>
      <c r="S135" s="332">
        <f>+'20 Year Trend'!A135</f>
        <v>41640</v>
      </c>
      <c r="T135" s="339"/>
      <c r="U135" s="334">
        <f>+'20 Year Trend'!C135</f>
        <v>550.09469087935975</v>
      </c>
      <c r="V135" s="334">
        <f ca="1">+'20 Year Trend'!D135</f>
        <v>0</v>
      </c>
      <c r="W135" s="335">
        <f>+'20 Year Trend'!E135</f>
        <v>7.5499999999999998E-2</v>
      </c>
      <c r="X135" s="336">
        <f>+'20 Year Trend'!F135</f>
        <v>31</v>
      </c>
      <c r="Y135" s="336">
        <f>+'20 Year Trend'!G135</f>
        <v>0</v>
      </c>
      <c r="Z135" s="337">
        <f ca="1">+'20 Year Trend'!H135</f>
        <v>109505059.907261</v>
      </c>
    </row>
    <row r="136" spans="1:26">
      <c r="A136" s="332">
        <f>+'Purchased Power Model '!A136</f>
        <v>41671</v>
      </c>
      <c r="B136" s="339"/>
      <c r="C136" s="334">
        <f>+'Purchased Power Model '!C136</f>
        <v>548.63479112321284</v>
      </c>
      <c r="D136" s="334">
        <f ca="1">+'Purchased Power Model '!D136</f>
        <v>0</v>
      </c>
      <c r="E136" s="335">
        <f>+'Purchased Power Model '!E136</f>
        <v>7.5499999999999998E-2</v>
      </c>
      <c r="F136" s="336">
        <f>+'Purchased Power Model '!F136</f>
        <v>28</v>
      </c>
      <c r="G136" s="336">
        <f>+'Purchased Power Model '!G136</f>
        <v>0</v>
      </c>
      <c r="H136" s="337">
        <f ca="1">+'Purchased Power Model '!H136</f>
        <v>100942846.79245187</v>
      </c>
      <c r="J136" s="332">
        <f>+'10 Year Average'!A136</f>
        <v>41671</v>
      </c>
      <c r="K136" s="339"/>
      <c r="L136" s="334">
        <f>+'10 Year Average'!C136</f>
        <v>560.96418615480661</v>
      </c>
      <c r="M136" s="334">
        <f ca="1">+'10 Year Average'!D136</f>
        <v>0</v>
      </c>
      <c r="N136" s="335">
        <f>+'10 Year Average'!E136</f>
        <v>7.5499999999999998E-2</v>
      </c>
      <c r="O136" s="336">
        <f>+'10 Year Average'!F136</f>
        <v>28</v>
      </c>
      <c r="P136" s="336">
        <f>+'10 Year Average'!G136</f>
        <v>0</v>
      </c>
      <c r="Q136" s="337">
        <f ca="1">+'10 Year Average'!H136</f>
        <v>101437911.46012902</v>
      </c>
      <c r="S136" s="332">
        <f>+'20 Year Trend'!A136</f>
        <v>41671</v>
      </c>
      <c r="T136" s="339"/>
      <c r="U136" s="334">
        <f>+'20 Year Trend'!C136</f>
        <v>546.60855292936048</v>
      </c>
      <c r="V136" s="334">
        <f ca="1">+'20 Year Trend'!D136</f>
        <v>0</v>
      </c>
      <c r="W136" s="335">
        <f>+'20 Year Trend'!E136</f>
        <v>7.5499999999999998E-2</v>
      </c>
      <c r="X136" s="336">
        <f>+'20 Year Trend'!F136</f>
        <v>28</v>
      </c>
      <c r="Y136" s="336">
        <f>+'20 Year Trend'!G136</f>
        <v>0</v>
      </c>
      <c r="Z136" s="337">
        <f ca="1">+'20 Year Trend'!H136</f>
        <v>100861486.84449792</v>
      </c>
    </row>
    <row r="137" spans="1:26">
      <c r="A137" s="332">
        <f>+'Purchased Power Model '!A137</f>
        <v>41699</v>
      </c>
      <c r="B137" s="339"/>
      <c r="C137" s="334">
        <f>+'Purchased Power Model '!C137</f>
        <v>488.97131833548809</v>
      </c>
      <c r="D137" s="334">
        <f ca="1">+'Purchased Power Model '!D137</f>
        <v>0</v>
      </c>
      <c r="E137" s="335">
        <f>+'Purchased Power Model '!E137</f>
        <v>7.5499999999999998E-2</v>
      </c>
      <c r="F137" s="336">
        <f>+'Purchased Power Model '!F137</f>
        <v>31</v>
      </c>
      <c r="G137" s="336">
        <f>+'Purchased Power Model '!G137</f>
        <v>1</v>
      </c>
      <c r="H137" s="337">
        <f ca="1">+'Purchased Power Model '!H137</f>
        <v>99821923.084154204</v>
      </c>
      <c r="J137" s="332">
        <f>+'10 Year Average'!A137</f>
        <v>41699</v>
      </c>
      <c r="K137" s="339"/>
      <c r="L137" s="334">
        <f>+'10 Year Average'!C137</f>
        <v>499.95990425898538</v>
      </c>
      <c r="M137" s="334">
        <f ca="1">+'10 Year Average'!D137</f>
        <v>0</v>
      </c>
      <c r="N137" s="335">
        <f>+'10 Year Average'!E137</f>
        <v>7.5499999999999998E-2</v>
      </c>
      <c r="O137" s="336">
        <f>+'10 Year Average'!F137</f>
        <v>31</v>
      </c>
      <c r="P137" s="336">
        <f>+'10 Year Average'!G137</f>
        <v>1</v>
      </c>
      <c r="Q137" s="337">
        <f ca="1">+'10 Year Average'!H137</f>
        <v>100263149.9752156</v>
      </c>
      <c r="S137" s="332">
        <f>+'20 Year Trend'!A137</f>
        <v>41699</v>
      </c>
      <c r="T137" s="339"/>
      <c r="U137" s="334">
        <f>+'20 Year Trend'!C137</f>
        <v>487.16543147424602</v>
      </c>
      <c r="V137" s="334">
        <f ca="1">+'20 Year Trend'!D137</f>
        <v>0</v>
      </c>
      <c r="W137" s="335">
        <f>+'20 Year Trend'!E137</f>
        <v>7.5499999999999998E-2</v>
      </c>
      <c r="X137" s="336">
        <f>+'20 Year Trend'!F137</f>
        <v>31</v>
      </c>
      <c r="Y137" s="336">
        <f>+'20 Year Trend'!G137</f>
        <v>1</v>
      </c>
      <c r="Z137" s="337">
        <f ca="1">+'20 Year Trend'!H137</f>
        <v>99749410.947384104</v>
      </c>
    </row>
    <row r="138" spans="1:26">
      <c r="A138" s="332">
        <f>+'Purchased Power Model '!A138</f>
        <v>41730</v>
      </c>
      <c r="B138" s="339"/>
      <c r="C138" s="334">
        <f>+'Purchased Power Model '!C138</f>
        <v>328.82199664212175</v>
      </c>
      <c r="D138" s="334">
        <f ca="1">+'Purchased Power Model '!D138</f>
        <v>0</v>
      </c>
      <c r="E138" s="335">
        <f>+'Purchased Power Model '!E138</f>
        <v>7.5499999999999998E-2</v>
      </c>
      <c r="F138" s="336">
        <f>+'Purchased Power Model '!F138</f>
        <v>30</v>
      </c>
      <c r="G138" s="336">
        <f>+'Purchased Power Model '!G138</f>
        <v>1</v>
      </c>
      <c r="H138" s="337">
        <f ca="1">+'Purchased Power Model '!H138</f>
        <v>90556884.144288763</v>
      </c>
      <c r="J138" s="332">
        <f>+'10 Year Average'!A138</f>
        <v>41730</v>
      </c>
      <c r="K138" s="339"/>
      <c r="L138" s="334">
        <f>+'10 Year Average'!C138</f>
        <v>336.21156864388644</v>
      </c>
      <c r="M138" s="334">
        <f ca="1">+'10 Year Average'!D138</f>
        <v>0</v>
      </c>
      <c r="N138" s="335">
        <f>+'10 Year Average'!E138</f>
        <v>7.5499999999999998E-2</v>
      </c>
      <c r="O138" s="336">
        <f>+'10 Year Average'!F138</f>
        <v>30</v>
      </c>
      <c r="P138" s="336">
        <f>+'10 Year Average'!G138</f>
        <v>1</v>
      </c>
      <c r="Q138" s="337">
        <f ca="1">+'10 Year Average'!H138</f>
        <v>90853599.108644739</v>
      </c>
      <c r="S138" s="332">
        <f>+'20 Year Trend'!A138</f>
        <v>41730</v>
      </c>
      <c r="T138" s="339"/>
      <c r="U138" s="334">
        <f>+'20 Year Trend'!C138</f>
        <v>327.6075791473599</v>
      </c>
      <c r="V138" s="334">
        <f ca="1">+'20 Year Trend'!D138</f>
        <v>0</v>
      </c>
      <c r="W138" s="335">
        <f>+'20 Year Trend'!E138</f>
        <v>7.5499999999999998E-2</v>
      </c>
      <c r="X138" s="336">
        <f>+'20 Year Trend'!F138</f>
        <v>30</v>
      </c>
      <c r="Y138" s="336">
        <f>+'20 Year Trend'!G138</f>
        <v>1</v>
      </c>
      <c r="Z138" s="337">
        <f ca="1">+'20 Year Trend'!H138</f>
        <v>90508121.395433277</v>
      </c>
    </row>
    <row r="139" spans="1:26">
      <c r="A139" s="332">
        <f>+'Purchased Power Model '!A139</f>
        <v>41760</v>
      </c>
      <c r="B139" s="339"/>
      <c r="C139" s="334">
        <f>+'Purchased Power Model '!C139</f>
        <v>119.68582360725524</v>
      </c>
      <c r="D139" s="334">
        <f ca="1">+'Purchased Power Model '!D139</f>
        <v>3.6853840478727715</v>
      </c>
      <c r="E139" s="335">
        <f>+'Purchased Power Model '!E139</f>
        <v>7.5499999999999998E-2</v>
      </c>
      <c r="F139" s="336">
        <f>+'Purchased Power Model '!F139</f>
        <v>31</v>
      </c>
      <c r="G139" s="336">
        <f>+'Purchased Power Model '!G139</f>
        <v>1</v>
      </c>
      <c r="H139" s="337">
        <f ca="1">+'Purchased Power Model '!H139</f>
        <v>85511501.67535162</v>
      </c>
      <c r="J139" s="332">
        <f>+'10 Year Average'!A139</f>
        <v>41760</v>
      </c>
      <c r="K139" s="339"/>
      <c r="L139" s="334">
        <f>+'10 Year Average'!C139</f>
        <v>122.37550684063973</v>
      </c>
      <c r="M139" s="334">
        <f ca="1">+'10 Year Average'!D139</f>
        <v>3.772678088367897</v>
      </c>
      <c r="N139" s="335">
        <f>+'10 Year Average'!E139</f>
        <v>7.5499999999999998E-2</v>
      </c>
      <c r="O139" s="336">
        <f>+'10 Year Average'!F139</f>
        <v>31</v>
      </c>
      <c r="P139" s="336">
        <f>+'10 Year Average'!G139</f>
        <v>1</v>
      </c>
      <c r="Q139" s="337">
        <f ca="1">+'10 Year Average'!H139</f>
        <v>85631760.584812269</v>
      </c>
      <c r="S139" s="332">
        <f>+'20 Year Trend'!A139</f>
        <v>41760</v>
      </c>
      <c r="T139" s="339"/>
      <c r="U139" s="334">
        <f>+'20 Year Trend'!C139</f>
        <v>119.24379552048516</v>
      </c>
      <c r="V139" s="334">
        <f ca="1">+'20 Year Trend'!D139</f>
        <v>3.6085283090503597</v>
      </c>
      <c r="W139" s="335">
        <f>+'20 Year Trend'!E139</f>
        <v>7.5499999999999998E-2</v>
      </c>
      <c r="X139" s="336">
        <f>+'20 Year Trend'!F139</f>
        <v>31</v>
      </c>
      <c r="Y139" s="336">
        <f>+'20 Year Trend'!G139</f>
        <v>1</v>
      </c>
      <c r="Z139" s="337">
        <f ca="1">+'20 Year Trend'!H139</f>
        <v>85482959.261590213</v>
      </c>
    </row>
    <row r="140" spans="1:26">
      <c r="A140" s="332">
        <f>+'Purchased Power Model '!A140</f>
        <v>41791</v>
      </c>
      <c r="B140" s="339"/>
      <c r="C140" s="334">
        <f>+'Purchased Power Model '!C140</f>
        <v>38.489668911178789</v>
      </c>
      <c r="D140" s="334">
        <f ca="1">+'Purchased Power Model '!D140</f>
        <v>39.55645544716775</v>
      </c>
      <c r="E140" s="335">
        <f>+'Purchased Power Model '!E140</f>
        <v>7.5499999999999998E-2</v>
      </c>
      <c r="F140" s="336">
        <f>+'Purchased Power Model '!F140</f>
        <v>30</v>
      </c>
      <c r="G140" s="336">
        <f>+'Purchased Power Model '!G140</f>
        <v>0</v>
      </c>
      <c r="H140" s="337">
        <f ca="1">+'Purchased Power Model '!H140</f>
        <v>91683233.50422956</v>
      </c>
      <c r="J140" s="332">
        <f>+'10 Year Average'!A140</f>
        <v>41791</v>
      </c>
      <c r="K140" s="339"/>
      <c r="L140" s="334">
        <f>+'10 Year Average'!C140</f>
        <v>39.35464200497335</v>
      </c>
      <c r="M140" s="334">
        <f ca="1">+'10 Year Average'!D140</f>
        <v>40.493411481815428</v>
      </c>
      <c r="N140" s="335">
        <f>+'10 Year Average'!E140</f>
        <v>7.5499999999999998E-2</v>
      </c>
      <c r="O140" s="336">
        <f>+'10 Year Average'!F140</f>
        <v>30</v>
      </c>
      <c r="P140" s="336">
        <f>+'10 Year Average'!G140</f>
        <v>0</v>
      </c>
      <c r="Q140" s="337">
        <f ca="1">+'10 Year Average'!H140</f>
        <v>91849550.4565157</v>
      </c>
      <c r="S140" s="332">
        <f>+'20 Year Trend'!A140</f>
        <v>41791</v>
      </c>
      <c r="T140" s="339"/>
      <c r="U140" s="334">
        <f>+'20 Year Trend'!C140</f>
        <v>38.347517449991116</v>
      </c>
      <c r="V140" s="334">
        <f ca="1">+'20 Year Trend'!D140</f>
        <v>38.731537183807198</v>
      </c>
      <c r="W140" s="335">
        <f>+'20 Year Trend'!E140</f>
        <v>7.5499999999999998E-2</v>
      </c>
      <c r="X140" s="336">
        <f>+'20 Year Trend'!F140</f>
        <v>30</v>
      </c>
      <c r="Y140" s="336">
        <f>+'20 Year Trend'!G140</f>
        <v>0</v>
      </c>
      <c r="Z140" s="337">
        <f ca="1">+'20 Year Trend'!H140</f>
        <v>91561674.667625204</v>
      </c>
    </row>
    <row r="141" spans="1:26">
      <c r="A141" s="332">
        <f>+'Purchased Power Model '!A141</f>
        <v>41821</v>
      </c>
      <c r="B141" s="339"/>
      <c r="C141" s="334">
        <f>+'Purchased Power Model '!C141</f>
        <v>3.9476583498644913</v>
      </c>
      <c r="D141" s="334">
        <f ca="1">+'Purchased Power Model '!D141</f>
        <v>135.1307484220016</v>
      </c>
      <c r="E141" s="335">
        <f>+'Purchased Power Model '!E141</f>
        <v>7.5499999999999998E-2</v>
      </c>
      <c r="F141" s="336">
        <f>+'Purchased Power Model '!F141</f>
        <v>31</v>
      </c>
      <c r="G141" s="336">
        <f>+'Purchased Power Model '!G141</f>
        <v>0</v>
      </c>
      <c r="H141" s="337">
        <f ca="1">+'Purchased Power Model '!H141</f>
        <v>106553185.8065169</v>
      </c>
      <c r="J141" s="332">
        <f>+'10 Year Average'!A141</f>
        <v>41821</v>
      </c>
      <c r="K141" s="339"/>
      <c r="L141" s="334">
        <f>+'10 Year Average'!C141</f>
        <v>4.0363735389716258</v>
      </c>
      <c r="M141" s="334">
        <f ca="1">+'10 Year Average'!D141</f>
        <v>138.33152990682285</v>
      </c>
      <c r="N141" s="335">
        <f>+'10 Year Average'!E141</f>
        <v>7.5499999999999998E-2</v>
      </c>
      <c r="O141" s="336">
        <f>+'10 Year Average'!F141</f>
        <v>31</v>
      </c>
      <c r="P141" s="336">
        <f>+'10 Year Average'!G141</f>
        <v>0</v>
      </c>
      <c r="Q141" s="337">
        <f ca="1">+'10 Year Average'!H141</f>
        <v>107006263.73782702</v>
      </c>
      <c r="S141" s="332">
        <f>+'20 Year Trend'!A141</f>
        <v>41821</v>
      </c>
      <c r="T141" s="339"/>
      <c r="U141" s="334">
        <f>+'20 Year Trend'!C141</f>
        <v>3.9330787128196012</v>
      </c>
      <c r="V141" s="334">
        <f ca="1">+'20 Year Trend'!D141</f>
        <v>132.31270466517984</v>
      </c>
      <c r="W141" s="335">
        <f>+'20 Year Trend'!E141</f>
        <v>7.5499999999999998E-2</v>
      </c>
      <c r="X141" s="336">
        <f>+'20 Year Trend'!F141</f>
        <v>31</v>
      </c>
      <c r="Y141" s="336">
        <f>+'20 Year Trend'!G141</f>
        <v>0</v>
      </c>
      <c r="Z141" s="337">
        <f ca="1">+'20 Year Trend'!H141</f>
        <v>106156836.09994954</v>
      </c>
    </row>
    <row r="142" spans="1:26">
      <c r="A142" s="332">
        <f>+'Purchased Power Model '!A142</f>
        <v>41852</v>
      </c>
      <c r="B142" s="339"/>
      <c r="C142" s="334">
        <f>+'Purchased Power Model '!C142</f>
        <v>9.8691458746612266</v>
      </c>
      <c r="D142" s="334">
        <f ca="1">+'Purchased Power Model '!D142</f>
        <v>71.127912123944469</v>
      </c>
      <c r="E142" s="335">
        <f>+'Purchased Power Model '!E142</f>
        <v>7.5499999999999998E-2</v>
      </c>
      <c r="F142" s="336">
        <f>+'Purchased Power Model '!F142</f>
        <v>31</v>
      </c>
      <c r="G142" s="336">
        <f>+'Purchased Power Model '!G142</f>
        <v>0</v>
      </c>
      <c r="H142" s="337">
        <f ca="1">+'Purchased Power Model '!H142</f>
        <v>97802434.526548043</v>
      </c>
      <c r="J142" s="332">
        <f>+'10 Year Average'!A142</f>
        <v>41852</v>
      </c>
      <c r="K142" s="339"/>
      <c r="L142" s="334">
        <f>+'10 Year Average'!C142</f>
        <v>10.090933847429062</v>
      </c>
      <c r="M142" s="334">
        <f ca="1">+'10 Year Average'!D142</f>
        <v>72.812687105500387</v>
      </c>
      <c r="N142" s="335">
        <f>+'10 Year Average'!E142</f>
        <v>7.5499999999999998E-2</v>
      </c>
      <c r="O142" s="336">
        <f>+'10 Year Average'!F142</f>
        <v>31</v>
      </c>
      <c r="P142" s="336">
        <f>+'10 Year Average'!G142</f>
        <v>0</v>
      </c>
      <c r="Q142" s="337">
        <f ca="1">+'10 Year Average'!H142</f>
        <v>98047948.759023011</v>
      </c>
      <c r="S142" s="332">
        <f>+'20 Year Trend'!A142</f>
        <v>41852</v>
      </c>
      <c r="T142" s="339"/>
      <c r="U142" s="334">
        <f>+'20 Year Trend'!C142</f>
        <v>9.8326967820490019</v>
      </c>
      <c r="V142" s="334">
        <f ca="1">+'20 Year Trend'!D142</f>
        <v>69.644596364671926</v>
      </c>
      <c r="W142" s="335">
        <f>+'20 Year Trend'!E142</f>
        <v>7.5499999999999998E-2</v>
      </c>
      <c r="X142" s="336">
        <f>+'20 Year Trend'!F142</f>
        <v>31</v>
      </c>
      <c r="Y142" s="336">
        <f>+'20 Year Trend'!G142</f>
        <v>0</v>
      </c>
      <c r="Z142" s="337">
        <f ca="1">+'20 Year Trend'!H142</f>
        <v>97592655.049331784</v>
      </c>
    </row>
    <row r="143" spans="1:26">
      <c r="A143" s="332">
        <f>+'Purchased Power Model '!A143</f>
        <v>41883</v>
      </c>
      <c r="B143" s="339"/>
      <c r="C143" s="334">
        <f>+'Purchased Power Model '!C143</f>
        <v>86.669044681115878</v>
      </c>
      <c r="D143" s="334">
        <f ca="1">+'Purchased Power Model '!D143</f>
        <v>19.286843183867507</v>
      </c>
      <c r="E143" s="335">
        <f>+'Purchased Power Model '!E143</f>
        <v>7.5499999999999998E-2</v>
      </c>
      <c r="F143" s="336">
        <f>+'Purchased Power Model '!F143</f>
        <v>30</v>
      </c>
      <c r="G143" s="336">
        <f>+'Purchased Power Model '!G143</f>
        <v>1</v>
      </c>
      <c r="H143" s="337">
        <f ca="1">+'Purchased Power Model '!H143</f>
        <v>83542300.262716204</v>
      </c>
      <c r="J143" s="332">
        <f>+'10 Year Average'!A143</f>
        <v>41883</v>
      </c>
      <c r="K143" s="339"/>
      <c r="L143" s="334">
        <f>+'10 Year Average'!C143</f>
        <v>88.616746332877042</v>
      </c>
      <c r="M143" s="334">
        <f ca="1">+'10 Year Average'!D143</f>
        <v>19.743681995791995</v>
      </c>
      <c r="N143" s="335">
        <f>+'10 Year Average'!E143</f>
        <v>7.5499999999999998E-2</v>
      </c>
      <c r="O143" s="336">
        <f>+'10 Year Average'!F143</f>
        <v>30</v>
      </c>
      <c r="P143" s="336">
        <f>+'10 Year Average'!G143</f>
        <v>1</v>
      </c>
      <c r="Q143" s="337">
        <f ca="1">+'10 Year Average'!H143</f>
        <v>83684664.871724352</v>
      </c>
      <c r="S143" s="332">
        <f>+'20 Year Trend'!A143</f>
        <v>41883</v>
      </c>
      <c r="T143" s="339"/>
      <c r="U143" s="334">
        <f>+'20 Year Trend'!C143</f>
        <v>86.348955376903064</v>
      </c>
      <c r="V143" s="334">
        <f ca="1">+'20 Year Trend'!D143</f>
        <v>18.884631484030216</v>
      </c>
      <c r="W143" s="335">
        <f>+'20 Year Trend'!E143</f>
        <v>7.5499999999999998E-2</v>
      </c>
      <c r="X143" s="336">
        <f>+'20 Year Trend'!F143</f>
        <v>30</v>
      </c>
      <c r="Y143" s="336">
        <f>+'20 Year Trend'!G143</f>
        <v>1</v>
      </c>
      <c r="Z143" s="337">
        <f ca="1">+'20 Year Trend'!H143</f>
        <v>83472961.295390859</v>
      </c>
    </row>
    <row r="144" spans="1:26">
      <c r="A144" s="332">
        <f>+'Purchased Power Model '!A144</f>
        <v>41913</v>
      </c>
      <c r="B144" s="339"/>
      <c r="C144" s="334">
        <f>+'Purchased Power Model '!C144</f>
        <v>198.2801125727392</v>
      </c>
      <c r="D144" s="334">
        <f ca="1">+'Purchased Power Model '!D144</f>
        <v>3.6853840478727715</v>
      </c>
      <c r="E144" s="335">
        <f>+'Purchased Power Model '!E144</f>
        <v>7.5499999999999998E-2</v>
      </c>
      <c r="F144" s="336">
        <f>+'Purchased Power Model '!F144</f>
        <v>31</v>
      </c>
      <c r="G144" s="336">
        <f>+'Purchased Power Model '!G144</f>
        <v>1</v>
      </c>
      <c r="H144" s="337">
        <f ca="1">+'Purchased Power Model '!H144</f>
        <v>88667313.89876692</v>
      </c>
      <c r="J144" s="332">
        <f>+'10 Year Average'!A144</f>
        <v>41913</v>
      </c>
      <c r="K144" s="339"/>
      <c r="L144" s="334">
        <f>+'10 Year Average'!C144</f>
        <v>202.73603457107481</v>
      </c>
      <c r="M144" s="334">
        <f ca="1">+'10 Year Average'!D144</f>
        <v>3.772678088367897</v>
      </c>
      <c r="N144" s="335">
        <f>+'10 Year Average'!E144</f>
        <v>7.5499999999999998E-2</v>
      </c>
      <c r="O144" s="336">
        <f>+'10 Year Average'!F144</f>
        <v>31</v>
      </c>
      <c r="P144" s="336">
        <f>+'10 Year Average'!G144</f>
        <v>1</v>
      </c>
      <c r="Q144" s="337">
        <f ca="1">+'10 Year Average'!H144</f>
        <v>88858492.947047696</v>
      </c>
      <c r="S144" s="332">
        <f>+'20 Year Trend'!A144</f>
        <v>41913</v>
      </c>
      <c r="T144" s="339"/>
      <c r="U144" s="334">
        <f>+'20 Year Trend'!C144</f>
        <v>197.54781716662086</v>
      </c>
      <c r="V144" s="334">
        <f ca="1">+'20 Year Trend'!D144</f>
        <v>3.6085283090503597</v>
      </c>
      <c r="W144" s="335">
        <f>+'20 Year Trend'!E144</f>
        <v>7.5499999999999998E-2</v>
      </c>
      <c r="X144" s="336">
        <f>+'20 Year Trend'!F144</f>
        <v>31</v>
      </c>
      <c r="Y144" s="336">
        <f>+'20 Year Trend'!G144</f>
        <v>1</v>
      </c>
      <c r="Z144" s="337">
        <f ca="1">+'20 Year Trend'!H144</f>
        <v>88627116.323205397</v>
      </c>
    </row>
    <row r="145" spans="1:26">
      <c r="A145" s="332">
        <f>+'Purchased Power Model '!A145</f>
        <v>41944</v>
      </c>
      <c r="B145" s="339"/>
      <c r="C145" s="334">
        <f>+'Purchased Power Model '!C145</f>
        <v>411.45366346542176</v>
      </c>
      <c r="D145" s="334">
        <f ca="1">+'Purchased Power Model '!D145</f>
        <v>0</v>
      </c>
      <c r="E145" s="335">
        <f>+'Purchased Power Model '!E145</f>
        <v>7.5499999999999998E-2</v>
      </c>
      <c r="F145" s="336">
        <f>+'Purchased Power Model '!F145</f>
        <v>30</v>
      </c>
      <c r="G145" s="336">
        <f>+'Purchased Power Model '!G145</f>
        <v>1</v>
      </c>
      <c r="H145" s="337">
        <f ca="1">+'Purchased Power Model '!H145</f>
        <v>93874810.00931786</v>
      </c>
      <c r="J145" s="332">
        <f>+'10 Year Average'!A145</f>
        <v>41944</v>
      </c>
      <c r="K145" s="339"/>
      <c r="L145" s="334">
        <f>+'10 Year Average'!C145</f>
        <v>420.70020567554263</v>
      </c>
      <c r="M145" s="334">
        <f ca="1">+'10 Year Average'!D145</f>
        <v>0</v>
      </c>
      <c r="N145" s="335">
        <f>+'10 Year Average'!E145</f>
        <v>7.5499999999999998E-2</v>
      </c>
      <c r="O145" s="336">
        <f>+'10 Year Average'!F145</f>
        <v>30</v>
      </c>
      <c r="P145" s="336">
        <f>+'10 Year Average'!G145</f>
        <v>1</v>
      </c>
      <c r="Q145" s="337">
        <f ca="1">+'10 Year Average'!H145</f>
        <v>94246088.270310074</v>
      </c>
      <c r="S145" s="332">
        <f>+'20 Year Trend'!A145</f>
        <v>41944</v>
      </c>
      <c r="T145" s="339"/>
      <c r="U145" s="334">
        <f>+'20 Year Trend'!C145</f>
        <v>409.93406765887937</v>
      </c>
      <c r="V145" s="334">
        <f ca="1">+'20 Year Trend'!D145</f>
        <v>0</v>
      </c>
      <c r="W145" s="335">
        <f>+'20 Year Trend'!E145</f>
        <v>7.5499999999999998E-2</v>
      </c>
      <c r="X145" s="336">
        <f>+'20 Year Trend'!F145</f>
        <v>30</v>
      </c>
      <c r="Y145" s="336">
        <f>+'20 Year Trend'!G145</f>
        <v>1</v>
      </c>
      <c r="Z145" s="337">
        <f ca="1">+'20 Year Trend'!H145</f>
        <v>93813793.374597192</v>
      </c>
    </row>
    <row r="146" spans="1:26">
      <c r="A146" s="332">
        <f>+'Purchased Power Model '!A146</f>
        <v>41974</v>
      </c>
      <c r="B146" s="339"/>
      <c r="C146" s="334">
        <f>+'Purchased Power Model '!C146</f>
        <v>424.19383359452985</v>
      </c>
      <c r="D146" s="334">
        <f ca="1">+'Purchased Power Model '!D146</f>
        <v>0</v>
      </c>
      <c r="E146" s="335">
        <f>+'Purchased Power Model '!E146</f>
        <v>7.5499999999999998E-2</v>
      </c>
      <c r="F146" s="336">
        <f>+'Purchased Power Model '!F146</f>
        <v>31</v>
      </c>
      <c r="G146" s="336">
        <f>+'Purchased Power Model '!G146</f>
        <v>0</v>
      </c>
      <c r="H146" s="337">
        <f ca="1">+'Purchased Power Model '!H146</f>
        <v>104449737.57293183</v>
      </c>
      <c r="J146" s="332">
        <f>+'10 Year Average'!A146</f>
        <v>41974</v>
      </c>
      <c r="K146" s="339"/>
      <c r="L146" s="334">
        <f>+'10 Year Average'!C146</f>
        <v>433.72668391495097</v>
      </c>
      <c r="M146" s="334">
        <f ca="1">+'10 Year Average'!D146</f>
        <v>0</v>
      </c>
      <c r="N146" s="335">
        <f>+'10 Year Average'!E146</f>
        <v>7.5499999999999998E-2</v>
      </c>
      <c r="O146" s="336">
        <f>+'10 Year Average'!F146</f>
        <v>31</v>
      </c>
      <c r="P146" s="336">
        <f>+'10 Year Average'!G146</f>
        <v>0</v>
      </c>
      <c r="Q146" s="337">
        <f ca="1">+'10 Year Average'!H146</f>
        <v>104832512.02081043</v>
      </c>
      <c r="S146" s="332">
        <f>+'20 Year Trend'!A146</f>
        <v>41974</v>
      </c>
      <c r="T146" s="339"/>
      <c r="U146" s="334">
        <f>+'20 Year Trend'!C146</f>
        <v>422.6271853229789</v>
      </c>
      <c r="V146" s="334">
        <f ca="1">+'20 Year Trend'!D146</f>
        <v>0</v>
      </c>
      <c r="W146" s="335">
        <f>+'20 Year Trend'!E146</f>
        <v>7.5499999999999998E-2</v>
      </c>
      <c r="X146" s="336">
        <f>+'20 Year Trend'!F146</f>
        <v>31</v>
      </c>
      <c r="Y146" s="336">
        <f>+'20 Year Trend'!G146</f>
        <v>0</v>
      </c>
      <c r="Z146" s="337">
        <f ca="1">+'20 Year Trend'!H146</f>
        <v>104386831.63116138</v>
      </c>
    </row>
    <row r="147" spans="1:26">
      <c r="A147" s="332">
        <f>+'Purchased Power Model '!A147</f>
        <v>42005</v>
      </c>
      <c r="B147" s="339"/>
      <c r="C147" s="334">
        <f>+'Purchased Power Model '!C147</f>
        <v>545.6611483841823</v>
      </c>
      <c r="D147" s="334">
        <f ca="1">+'Purchased Power Model '!D147</f>
        <v>0</v>
      </c>
      <c r="E147" s="335">
        <f>+'Purchased Power Model '!E147</f>
        <v>7.5499999999999998E-2</v>
      </c>
      <c r="F147" s="336">
        <f>+'Purchased Power Model '!F147</f>
        <v>31</v>
      </c>
      <c r="G147" s="336">
        <f>+'Purchased Power Model '!G147</f>
        <v>0</v>
      </c>
      <c r="H147" s="337">
        <f ca="1">+'Purchased Power Model '!H147</f>
        <v>109327038.98763086</v>
      </c>
      <c r="J147" s="332">
        <f>+'10 Year Average'!A147</f>
        <v>42005</v>
      </c>
      <c r="K147" s="339"/>
      <c r="L147" s="334">
        <f>+'10 Year Average'!C147</f>
        <v>564.54188088253147</v>
      </c>
      <c r="M147" s="334">
        <f ca="1">+'10 Year Average'!D147</f>
        <v>0</v>
      </c>
      <c r="N147" s="335">
        <f>+'10 Year Average'!E147</f>
        <v>7.5499999999999998E-2</v>
      </c>
      <c r="O147" s="336">
        <f>+'10 Year Average'!F147</f>
        <v>31</v>
      </c>
      <c r="P147" s="336">
        <f>+'10 Year Average'!G147</f>
        <v>0</v>
      </c>
      <c r="Q147" s="337">
        <f ca="1">+'10 Year Average'!H147</f>
        <v>110085160.82052246</v>
      </c>
      <c r="S147" s="332">
        <f>+'20 Year Trend'!A147</f>
        <v>42005</v>
      </c>
      <c r="T147" s="339"/>
      <c r="U147" s="334">
        <f>+'20 Year Trend'!C147</f>
        <v>550.09469087935975</v>
      </c>
      <c r="V147" s="334">
        <f ca="1">+'20 Year Trend'!D147</f>
        <v>0</v>
      </c>
      <c r="W147" s="335">
        <f>+'20 Year Trend'!E147</f>
        <v>7.5499999999999998E-2</v>
      </c>
      <c r="X147" s="336">
        <f>+'20 Year Trend'!F147</f>
        <v>31</v>
      </c>
      <c r="Y147" s="336">
        <f>+'20 Year Trend'!G147</f>
        <v>0</v>
      </c>
      <c r="Z147" s="337">
        <f ca="1">+'20 Year Trend'!H147</f>
        <v>109505059.907261</v>
      </c>
    </row>
    <row r="148" spans="1:26">
      <c r="A148" s="332">
        <f>+'Purchased Power Model '!A148</f>
        <v>42036</v>
      </c>
      <c r="B148" s="339"/>
      <c r="C148" s="334">
        <f>+'Purchased Power Model '!C148</f>
        <v>542.20310730732444</v>
      </c>
      <c r="D148" s="334">
        <f ca="1">+'Purchased Power Model '!D148</f>
        <v>0</v>
      </c>
      <c r="E148" s="335">
        <f>+'Purchased Power Model '!E148</f>
        <v>7.5499999999999998E-2</v>
      </c>
      <c r="F148" s="336">
        <f>+'Purchased Power Model '!F148</f>
        <v>28</v>
      </c>
      <c r="G148" s="336">
        <f>+'Purchased Power Model '!G148</f>
        <v>0</v>
      </c>
      <c r="H148" s="337">
        <f ca="1">+'Purchased Power Model '!H148</f>
        <v>100684594.10424145</v>
      </c>
      <c r="J148" s="332">
        <f>+'10 Year Average'!A148</f>
        <v>42036</v>
      </c>
      <c r="K148" s="339"/>
      <c r="L148" s="334">
        <f>+'10 Year Average'!C148</f>
        <v>560.96418615480661</v>
      </c>
      <c r="M148" s="334">
        <f ca="1">+'10 Year Average'!D148</f>
        <v>0</v>
      </c>
      <c r="N148" s="335">
        <f>+'10 Year Average'!E148</f>
        <v>7.5499999999999998E-2</v>
      </c>
      <c r="O148" s="336">
        <f>+'10 Year Average'!F148</f>
        <v>28</v>
      </c>
      <c r="P148" s="336">
        <f>+'10 Year Average'!G148</f>
        <v>0</v>
      </c>
      <c r="Q148" s="337">
        <f ca="1">+'10 Year Average'!H148</f>
        <v>101437911.46012902</v>
      </c>
      <c r="S148" s="332">
        <f>+'20 Year Trend'!A148</f>
        <v>42036</v>
      </c>
      <c r="T148" s="339"/>
      <c r="U148" s="334">
        <f>+'20 Year Trend'!C148</f>
        <v>546.60855292936048</v>
      </c>
      <c r="V148" s="334">
        <f ca="1">+'20 Year Trend'!D148</f>
        <v>0</v>
      </c>
      <c r="W148" s="335">
        <f>+'20 Year Trend'!E148</f>
        <v>7.5499999999999998E-2</v>
      </c>
      <c r="X148" s="336">
        <f>+'20 Year Trend'!F148</f>
        <v>28</v>
      </c>
      <c r="Y148" s="336">
        <f>+'20 Year Trend'!G148</f>
        <v>0</v>
      </c>
      <c r="Z148" s="337">
        <f ca="1">+'20 Year Trend'!H148</f>
        <v>100861486.84449792</v>
      </c>
    </row>
    <row r="149" spans="1:26">
      <c r="A149" s="332">
        <f>+'Purchased Power Model '!A149</f>
        <v>42064</v>
      </c>
      <c r="B149" s="339"/>
      <c r="C149" s="334">
        <f>+'Purchased Power Model '!C149</f>
        <v>483.23907356090245</v>
      </c>
      <c r="D149" s="334">
        <f ca="1">+'Purchased Power Model '!D149</f>
        <v>0</v>
      </c>
      <c r="E149" s="335">
        <f>+'Purchased Power Model '!E149</f>
        <v>7.5499999999999998E-2</v>
      </c>
      <c r="F149" s="336">
        <f>+'Purchased Power Model '!F149</f>
        <v>31</v>
      </c>
      <c r="G149" s="336">
        <f>+'Purchased Power Model '!G149</f>
        <v>1</v>
      </c>
      <c r="H149" s="337">
        <f ca="1">+'Purchased Power Model '!H149</f>
        <v>99591755.111832574</v>
      </c>
      <c r="J149" s="332">
        <f>+'10 Year Average'!A149</f>
        <v>42064</v>
      </c>
      <c r="K149" s="339"/>
      <c r="L149" s="334">
        <f>+'10 Year Average'!C149</f>
        <v>499.95990425898538</v>
      </c>
      <c r="M149" s="334">
        <f ca="1">+'10 Year Average'!D149</f>
        <v>0</v>
      </c>
      <c r="N149" s="335">
        <f>+'10 Year Average'!E149</f>
        <v>7.5499999999999998E-2</v>
      </c>
      <c r="O149" s="336">
        <f>+'10 Year Average'!F149</f>
        <v>31</v>
      </c>
      <c r="P149" s="336">
        <f>+'10 Year Average'!G149</f>
        <v>1</v>
      </c>
      <c r="Q149" s="337">
        <f ca="1">+'10 Year Average'!H149</f>
        <v>100263149.9752156</v>
      </c>
      <c r="S149" s="332">
        <f>+'20 Year Trend'!A149</f>
        <v>42064</v>
      </c>
      <c r="T149" s="339"/>
      <c r="U149" s="334">
        <f>+'20 Year Trend'!C149</f>
        <v>487.16543147424602</v>
      </c>
      <c r="V149" s="334">
        <f ca="1">+'20 Year Trend'!D149</f>
        <v>0</v>
      </c>
      <c r="W149" s="335">
        <f>+'20 Year Trend'!E149</f>
        <v>7.5499999999999998E-2</v>
      </c>
      <c r="X149" s="336">
        <f>+'20 Year Trend'!F149</f>
        <v>31</v>
      </c>
      <c r="Y149" s="336">
        <f>+'20 Year Trend'!G149</f>
        <v>1</v>
      </c>
      <c r="Z149" s="337">
        <f ca="1">+'20 Year Trend'!H149</f>
        <v>99749410.947384104</v>
      </c>
    </row>
    <row r="150" spans="1:26">
      <c r="A150" s="332">
        <f>+'Purchased Power Model '!A150</f>
        <v>42095</v>
      </c>
      <c r="B150" s="339"/>
      <c r="C150" s="334">
        <f>+'Purchased Power Model '!C150</f>
        <v>324.96719350471687</v>
      </c>
      <c r="D150" s="334">
        <f ca="1">+'Purchased Power Model '!D150</f>
        <v>0</v>
      </c>
      <c r="E150" s="335">
        <f>+'Purchased Power Model '!E150</f>
        <v>7.5499999999999998E-2</v>
      </c>
      <c r="F150" s="336">
        <f>+'Purchased Power Model '!F150</f>
        <v>30</v>
      </c>
      <c r="G150" s="336">
        <f>+'Purchased Power Model '!G150</f>
        <v>1</v>
      </c>
      <c r="H150" s="337">
        <f ca="1">+'Purchased Power Model '!H150</f>
        <v>90402101.461984396</v>
      </c>
      <c r="J150" s="332">
        <f>+'10 Year Average'!A150</f>
        <v>42095</v>
      </c>
      <c r="K150" s="339"/>
      <c r="L150" s="334">
        <f>+'10 Year Average'!C150</f>
        <v>336.21156864388644</v>
      </c>
      <c r="M150" s="334">
        <f ca="1">+'10 Year Average'!D150</f>
        <v>0</v>
      </c>
      <c r="N150" s="335">
        <f>+'10 Year Average'!E150</f>
        <v>7.5499999999999998E-2</v>
      </c>
      <c r="O150" s="336">
        <f>+'10 Year Average'!F150</f>
        <v>30</v>
      </c>
      <c r="P150" s="336">
        <f>+'10 Year Average'!G150</f>
        <v>1</v>
      </c>
      <c r="Q150" s="337">
        <f ca="1">+'10 Year Average'!H150</f>
        <v>90853599.108644739</v>
      </c>
      <c r="S150" s="332">
        <f>+'20 Year Trend'!A150</f>
        <v>42095</v>
      </c>
      <c r="T150" s="339"/>
      <c r="U150" s="334">
        <f>+'20 Year Trend'!C150</f>
        <v>327.6075791473599</v>
      </c>
      <c r="V150" s="334">
        <f ca="1">+'20 Year Trend'!D150</f>
        <v>0</v>
      </c>
      <c r="W150" s="335">
        <f>+'20 Year Trend'!E150</f>
        <v>7.5499999999999998E-2</v>
      </c>
      <c r="X150" s="336">
        <f>+'20 Year Trend'!F150</f>
        <v>30</v>
      </c>
      <c r="Y150" s="336">
        <f>+'20 Year Trend'!G150</f>
        <v>1</v>
      </c>
      <c r="Z150" s="337">
        <f ca="1">+'20 Year Trend'!H150</f>
        <v>90508121.395433277</v>
      </c>
    </row>
    <row r="151" spans="1:26">
      <c r="A151" s="332">
        <f>+'Purchased Power Model '!A151</f>
        <v>42125</v>
      </c>
      <c r="B151" s="339"/>
      <c r="C151" s="334">
        <f>+'Purchased Power Model '!C151</f>
        <v>118.28273837252181</v>
      </c>
      <c r="D151" s="334">
        <f ca="1">+'Purchased Power Model '!D151</f>
        <v>3.7719239281908306</v>
      </c>
      <c r="E151" s="335">
        <f>+'Purchased Power Model '!E151</f>
        <v>7.5499999999999998E-2</v>
      </c>
      <c r="F151" s="336">
        <f>+'Purchased Power Model '!F151</f>
        <v>31</v>
      </c>
      <c r="G151" s="336">
        <f>+'Purchased Power Model '!G151</f>
        <v>1</v>
      </c>
      <c r="H151" s="337">
        <f ca="1">+'Purchased Power Model '!H151</f>
        <v>85467316.91915147</v>
      </c>
      <c r="J151" s="332">
        <f>+'10 Year Average'!A151</f>
        <v>42125</v>
      </c>
      <c r="K151" s="339"/>
      <c r="L151" s="334">
        <f>+'10 Year Average'!C151</f>
        <v>122.37550684063973</v>
      </c>
      <c r="M151" s="334">
        <f ca="1">+'10 Year Average'!D151</f>
        <v>3.772678088367897</v>
      </c>
      <c r="N151" s="335">
        <f>+'10 Year Average'!E151</f>
        <v>7.5499999999999998E-2</v>
      </c>
      <c r="O151" s="336">
        <f>+'10 Year Average'!F151</f>
        <v>31</v>
      </c>
      <c r="P151" s="336">
        <f>+'10 Year Average'!G151</f>
        <v>1</v>
      </c>
      <c r="Q151" s="337">
        <f ca="1">+'10 Year Average'!H151</f>
        <v>85631760.584812269</v>
      </c>
      <c r="S151" s="332">
        <f>+'20 Year Trend'!A151</f>
        <v>42125</v>
      </c>
      <c r="T151" s="339"/>
      <c r="U151" s="334">
        <f>+'20 Year Trend'!C151</f>
        <v>119.24379552048516</v>
      </c>
      <c r="V151" s="334">
        <f ca="1">+'20 Year Trend'!D151</f>
        <v>3.6085283090503597</v>
      </c>
      <c r="W151" s="335">
        <f>+'20 Year Trend'!E151</f>
        <v>7.5499999999999998E-2</v>
      </c>
      <c r="X151" s="336">
        <f>+'20 Year Trend'!F151</f>
        <v>31</v>
      </c>
      <c r="Y151" s="336">
        <f>+'20 Year Trend'!G151</f>
        <v>1</v>
      </c>
      <c r="Z151" s="337">
        <f ca="1">+'20 Year Trend'!H151</f>
        <v>85482959.261590213</v>
      </c>
    </row>
    <row r="152" spans="1:26">
      <c r="A152" s="332">
        <f>+'Purchased Power Model '!A152</f>
        <v>42156</v>
      </c>
      <c r="B152" s="339"/>
      <c r="C152" s="334">
        <f>+'Purchased Power Model '!C152</f>
        <v>38.038451845436171</v>
      </c>
      <c r="D152" s="334">
        <f ca="1">+'Purchased Power Model '!D152</f>
        <v>40.485316829248255</v>
      </c>
      <c r="E152" s="335">
        <f>+'Purchased Power Model '!E152</f>
        <v>7.5499999999999998E-2</v>
      </c>
      <c r="F152" s="336">
        <f>+'Purchased Power Model '!F152</f>
        <v>30</v>
      </c>
      <c r="G152" s="336">
        <f>+'Purchased Power Model '!G152</f>
        <v>0</v>
      </c>
      <c r="H152" s="337">
        <f ca="1">+'Purchased Power Model '!H152</f>
        <v>91795564.401571304</v>
      </c>
      <c r="J152" s="332">
        <f>+'10 Year Average'!A152</f>
        <v>42156</v>
      </c>
      <c r="K152" s="339"/>
      <c r="L152" s="334">
        <f>+'10 Year Average'!C152</f>
        <v>39.35464200497335</v>
      </c>
      <c r="M152" s="334">
        <f ca="1">+'10 Year Average'!D152</f>
        <v>40.493411481815428</v>
      </c>
      <c r="N152" s="335">
        <f>+'10 Year Average'!E152</f>
        <v>7.5499999999999998E-2</v>
      </c>
      <c r="O152" s="336">
        <f>+'10 Year Average'!F152</f>
        <v>30</v>
      </c>
      <c r="P152" s="336">
        <f>+'10 Year Average'!G152</f>
        <v>0</v>
      </c>
      <c r="Q152" s="337">
        <f ca="1">+'10 Year Average'!H152</f>
        <v>91849550.4565157</v>
      </c>
      <c r="S152" s="332">
        <f>+'20 Year Trend'!A152</f>
        <v>42156</v>
      </c>
      <c r="T152" s="339"/>
      <c r="U152" s="334">
        <f>+'20 Year Trend'!C152</f>
        <v>38.347517449991116</v>
      </c>
      <c r="V152" s="334">
        <f ca="1">+'20 Year Trend'!D152</f>
        <v>38.731537183807198</v>
      </c>
      <c r="W152" s="335">
        <f>+'20 Year Trend'!E152</f>
        <v>7.5499999999999998E-2</v>
      </c>
      <c r="X152" s="336">
        <f>+'20 Year Trend'!F152</f>
        <v>30</v>
      </c>
      <c r="Y152" s="336">
        <f>+'20 Year Trend'!G152</f>
        <v>0</v>
      </c>
      <c r="Z152" s="337">
        <f ca="1">+'20 Year Trend'!H152</f>
        <v>91561674.667625204</v>
      </c>
    </row>
    <row r="153" spans="1:26">
      <c r="A153" s="332">
        <f>+'Purchased Power Model '!A153</f>
        <v>42186</v>
      </c>
      <c r="B153" s="339"/>
      <c r="C153" s="334">
        <f>+'Purchased Power Model '!C153</f>
        <v>3.9013796764549924</v>
      </c>
      <c r="D153" s="334">
        <f ca="1">+'Purchased Power Model '!D153</f>
        <v>138.30387736699711</v>
      </c>
      <c r="E153" s="335">
        <f>+'Purchased Power Model '!E153</f>
        <v>7.5499999999999998E-2</v>
      </c>
      <c r="F153" s="336">
        <f>+'Purchased Power Model '!F153</f>
        <v>31</v>
      </c>
      <c r="G153" s="336">
        <f>+'Purchased Power Model '!G153</f>
        <v>0</v>
      </c>
      <c r="H153" s="337">
        <f ca="1">+'Purchased Power Model '!H153</f>
        <v>106996959.79698385</v>
      </c>
      <c r="J153" s="332">
        <f>+'10 Year Average'!A153</f>
        <v>42186</v>
      </c>
      <c r="K153" s="339"/>
      <c r="L153" s="334">
        <f>+'10 Year Average'!C153</f>
        <v>4.0363735389716258</v>
      </c>
      <c r="M153" s="334">
        <f ca="1">+'10 Year Average'!D153</f>
        <v>138.33152990682285</v>
      </c>
      <c r="N153" s="335">
        <f>+'10 Year Average'!E153</f>
        <v>7.5499999999999998E-2</v>
      </c>
      <c r="O153" s="336">
        <f>+'10 Year Average'!F153</f>
        <v>31</v>
      </c>
      <c r="P153" s="336">
        <f>+'10 Year Average'!G153</f>
        <v>0</v>
      </c>
      <c r="Q153" s="337">
        <f ca="1">+'10 Year Average'!H153</f>
        <v>107006263.73782702</v>
      </c>
      <c r="S153" s="332">
        <f>+'20 Year Trend'!A153</f>
        <v>42186</v>
      </c>
      <c r="T153" s="339"/>
      <c r="U153" s="334">
        <f>+'20 Year Trend'!C153</f>
        <v>3.9330787128196012</v>
      </c>
      <c r="V153" s="334">
        <f ca="1">+'20 Year Trend'!D153</f>
        <v>132.31270466517984</v>
      </c>
      <c r="W153" s="335">
        <f>+'20 Year Trend'!E153</f>
        <v>7.5499999999999998E-2</v>
      </c>
      <c r="X153" s="336">
        <f>+'20 Year Trend'!F153</f>
        <v>31</v>
      </c>
      <c r="Y153" s="336">
        <f>+'20 Year Trend'!G153</f>
        <v>0</v>
      </c>
      <c r="Z153" s="337">
        <f ca="1">+'20 Year Trend'!H153</f>
        <v>106156836.09994954</v>
      </c>
    </row>
    <row r="154" spans="1:26">
      <c r="A154" s="332">
        <f>+'Purchased Power Model '!A154</f>
        <v>42217</v>
      </c>
      <c r="B154" s="339"/>
      <c r="C154" s="334">
        <f>+'Purchased Power Model '!C154</f>
        <v>9.753449191137479</v>
      </c>
      <c r="D154" s="334">
        <f ca="1">+'Purchased Power Model '!D154</f>
        <v>72.798131814083021</v>
      </c>
      <c r="E154" s="335">
        <f>+'Purchased Power Model '!E154</f>
        <v>7.5499999999999998E-2</v>
      </c>
      <c r="F154" s="336">
        <f>+'Purchased Power Model '!F154</f>
        <v>31</v>
      </c>
      <c r="G154" s="336">
        <f>+'Purchased Power Model '!G154</f>
        <v>0</v>
      </c>
      <c r="H154" s="337">
        <f ca="1">+'Purchased Power Model '!H154</f>
        <v>98032353.534092665</v>
      </c>
      <c r="J154" s="332">
        <f>+'10 Year Average'!A154</f>
        <v>42217</v>
      </c>
      <c r="K154" s="339"/>
      <c r="L154" s="334">
        <f>+'10 Year Average'!C154</f>
        <v>10.090933847429062</v>
      </c>
      <c r="M154" s="334">
        <f ca="1">+'10 Year Average'!D154</f>
        <v>72.812687105500387</v>
      </c>
      <c r="N154" s="335">
        <f>+'10 Year Average'!E154</f>
        <v>7.5499999999999998E-2</v>
      </c>
      <c r="O154" s="336">
        <f>+'10 Year Average'!F154</f>
        <v>31</v>
      </c>
      <c r="P154" s="336">
        <f>+'10 Year Average'!G154</f>
        <v>0</v>
      </c>
      <c r="Q154" s="337">
        <f ca="1">+'10 Year Average'!H154</f>
        <v>98047948.759023011</v>
      </c>
      <c r="S154" s="332">
        <f>+'20 Year Trend'!A154</f>
        <v>42217</v>
      </c>
      <c r="T154" s="339"/>
      <c r="U154" s="334">
        <f>+'20 Year Trend'!C154</f>
        <v>9.8326967820490019</v>
      </c>
      <c r="V154" s="334">
        <f ca="1">+'20 Year Trend'!D154</f>
        <v>69.644596364671926</v>
      </c>
      <c r="W154" s="335">
        <f>+'20 Year Trend'!E154</f>
        <v>7.5499999999999998E-2</v>
      </c>
      <c r="X154" s="336">
        <f>+'20 Year Trend'!F154</f>
        <v>31</v>
      </c>
      <c r="Y154" s="336">
        <f>+'20 Year Trend'!G154</f>
        <v>0</v>
      </c>
      <c r="Z154" s="337">
        <f ca="1">+'20 Year Trend'!H154</f>
        <v>97592655.049331784</v>
      </c>
    </row>
    <row r="155" spans="1:26">
      <c r="A155" s="332">
        <f>+'Purchased Power Model '!A155</f>
        <v>42248</v>
      </c>
      <c r="B155" s="339"/>
      <c r="C155" s="334">
        <f>+'Purchased Power Model '!C155</f>
        <v>85.653017442170963</v>
      </c>
      <c r="D155" s="334">
        <f ca="1">+'Purchased Power Model '!D155</f>
        <v>19.739735224198682</v>
      </c>
      <c r="E155" s="335">
        <f>+'Purchased Power Model '!E155</f>
        <v>7.5499999999999998E-2</v>
      </c>
      <c r="F155" s="336">
        <f>+'Purchased Power Model '!F155</f>
        <v>30</v>
      </c>
      <c r="G155" s="336">
        <f>+'Purchased Power Model '!G155</f>
        <v>1</v>
      </c>
      <c r="H155" s="337">
        <f ca="1">+'Purchased Power Model '!H155</f>
        <v>83565107.389973387</v>
      </c>
      <c r="J155" s="332">
        <f>+'10 Year Average'!A155</f>
        <v>42248</v>
      </c>
      <c r="K155" s="339"/>
      <c r="L155" s="334">
        <f>+'10 Year Average'!C155</f>
        <v>88.616746332877042</v>
      </c>
      <c r="M155" s="334">
        <f ca="1">+'10 Year Average'!D155</f>
        <v>19.743681995791995</v>
      </c>
      <c r="N155" s="335">
        <f>+'10 Year Average'!E155</f>
        <v>7.5499999999999998E-2</v>
      </c>
      <c r="O155" s="336">
        <f>+'10 Year Average'!F155</f>
        <v>30</v>
      </c>
      <c r="P155" s="336">
        <f>+'10 Year Average'!G155</f>
        <v>1</v>
      </c>
      <c r="Q155" s="337">
        <f ca="1">+'10 Year Average'!H155</f>
        <v>83684664.871724352</v>
      </c>
      <c r="S155" s="332">
        <f>+'20 Year Trend'!A155</f>
        <v>42248</v>
      </c>
      <c r="T155" s="339"/>
      <c r="U155" s="334">
        <f>+'20 Year Trend'!C155</f>
        <v>86.348955376903064</v>
      </c>
      <c r="V155" s="334">
        <f ca="1">+'20 Year Trend'!D155</f>
        <v>18.884631484030216</v>
      </c>
      <c r="W155" s="335">
        <f>+'20 Year Trend'!E155</f>
        <v>7.5499999999999998E-2</v>
      </c>
      <c r="X155" s="336">
        <f>+'20 Year Trend'!F155</f>
        <v>30</v>
      </c>
      <c r="Y155" s="336">
        <f>+'20 Year Trend'!G155</f>
        <v>1</v>
      </c>
      <c r="Z155" s="337">
        <f ca="1">+'20 Year Trend'!H155</f>
        <v>83472961.295390859</v>
      </c>
    </row>
    <row r="156" spans="1:26">
      <c r="A156" s="332">
        <f>+'Purchased Power Model '!A156</f>
        <v>42278</v>
      </c>
      <c r="B156" s="339"/>
      <c r="C156" s="334">
        <f>+'Purchased Power Model '!C156</f>
        <v>195.95566102194391</v>
      </c>
      <c r="D156" s="334">
        <f ca="1">+'Purchased Power Model '!D156</f>
        <v>3.7719239281908306</v>
      </c>
      <c r="E156" s="335">
        <f>+'Purchased Power Model '!E156</f>
        <v>7.5499999999999998E-2</v>
      </c>
      <c r="F156" s="336">
        <f>+'Purchased Power Model '!F156</f>
        <v>31</v>
      </c>
      <c r="G156" s="336">
        <f>+'Purchased Power Model '!G156</f>
        <v>1</v>
      </c>
      <c r="H156" s="337">
        <f ca="1">+'Purchased Power Model '!H156</f>
        <v>88586133.336373419</v>
      </c>
      <c r="J156" s="332">
        <f>+'10 Year Average'!A156</f>
        <v>42278</v>
      </c>
      <c r="K156" s="339"/>
      <c r="L156" s="334">
        <f>+'10 Year Average'!C156</f>
        <v>202.73603457107481</v>
      </c>
      <c r="M156" s="334">
        <f ca="1">+'10 Year Average'!D156</f>
        <v>3.772678088367897</v>
      </c>
      <c r="N156" s="335">
        <f>+'10 Year Average'!E156</f>
        <v>7.5499999999999998E-2</v>
      </c>
      <c r="O156" s="336">
        <f>+'10 Year Average'!F156</f>
        <v>31</v>
      </c>
      <c r="P156" s="336">
        <f>+'10 Year Average'!G156</f>
        <v>1</v>
      </c>
      <c r="Q156" s="337">
        <f ca="1">+'10 Year Average'!H156</f>
        <v>88858492.947047696</v>
      </c>
      <c r="S156" s="332">
        <f>+'20 Year Trend'!A156</f>
        <v>42278</v>
      </c>
      <c r="T156" s="339"/>
      <c r="U156" s="334">
        <f>+'20 Year Trend'!C156</f>
        <v>197.54781716662086</v>
      </c>
      <c r="V156" s="334">
        <f ca="1">+'20 Year Trend'!D156</f>
        <v>3.6085283090503597</v>
      </c>
      <c r="W156" s="335">
        <f>+'20 Year Trend'!E156</f>
        <v>7.5499999999999998E-2</v>
      </c>
      <c r="X156" s="336">
        <f>+'20 Year Trend'!F156</f>
        <v>31</v>
      </c>
      <c r="Y156" s="336">
        <f>+'20 Year Trend'!G156</f>
        <v>1</v>
      </c>
      <c r="Z156" s="337">
        <f ca="1">+'20 Year Trend'!H156</f>
        <v>88627116.323205397</v>
      </c>
    </row>
    <row r="157" spans="1:26">
      <c r="A157" s="332">
        <f>+'Purchased Power Model '!A157</f>
        <v>42309</v>
      </c>
      <c r="B157" s="339"/>
      <c r="C157" s="334">
        <f>+'Purchased Power Model '!C157</f>
        <v>406.63016355051349</v>
      </c>
      <c r="D157" s="334">
        <f ca="1">+'Purchased Power Model '!D157</f>
        <v>0</v>
      </c>
      <c r="E157" s="335">
        <f>+'Purchased Power Model '!E157</f>
        <v>7.5499999999999998E-2</v>
      </c>
      <c r="F157" s="336">
        <f>+'Purchased Power Model '!F157</f>
        <v>30</v>
      </c>
      <c r="G157" s="336">
        <f>+'Purchased Power Model '!G157</f>
        <v>1</v>
      </c>
      <c r="H157" s="337">
        <f ca="1">+'Purchased Power Model '!H157</f>
        <v>93681131.051323906</v>
      </c>
      <c r="J157" s="332">
        <f>+'10 Year Average'!A157</f>
        <v>42309</v>
      </c>
      <c r="K157" s="339"/>
      <c r="L157" s="334">
        <f>+'10 Year Average'!C157</f>
        <v>420.70020567554263</v>
      </c>
      <c r="M157" s="334">
        <f ca="1">+'10 Year Average'!D157</f>
        <v>0</v>
      </c>
      <c r="N157" s="335">
        <f>+'10 Year Average'!E157</f>
        <v>7.5499999999999998E-2</v>
      </c>
      <c r="O157" s="336">
        <f>+'10 Year Average'!F157</f>
        <v>30</v>
      </c>
      <c r="P157" s="336">
        <f>+'10 Year Average'!G157</f>
        <v>1</v>
      </c>
      <c r="Q157" s="337">
        <f ca="1">+'10 Year Average'!H157</f>
        <v>94246088.270310074</v>
      </c>
      <c r="S157" s="332">
        <f>+'20 Year Trend'!A157</f>
        <v>42309</v>
      </c>
      <c r="T157" s="339"/>
      <c r="U157" s="334">
        <f>+'20 Year Trend'!C157</f>
        <v>409.93406765887937</v>
      </c>
      <c r="V157" s="334">
        <f ca="1">+'20 Year Trend'!D157</f>
        <v>0</v>
      </c>
      <c r="W157" s="335">
        <f>+'20 Year Trend'!E157</f>
        <v>7.5499999999999998E-2</v>
      </c>
      <c r="X157" s="336">
        <f>+'20 Year Trend'!F157</f>
        <v>30</v>
      </c>
      <c r="Y157" s="336">
        <f>+'20 Year Trend'!G157</f>
        <v>1</v>
      </c>
      <c r="Z157" s="337">
        <f ca="1">+'20 Year Trend'!H157</f>
        <v>93813793.374597192</v>
      </c>
    </row>
    <row r="158" spans="1:26">
      <c r="A158" s="332">
        <f>+'Purchased Power Model '!A158</f>
        <v>42339</v>
      </c>
      <c r="B158" s="339"/>
      <c r="C158" s="334">
        <f>+'Purchased Power Model '!C158</f>
        <v>419.22097977907276</v>
      </c>
      <c r="D158" s="334">
        <f ca="1">+'Purchased Power Model '!D158</f>
        <v>0</v>
      </c>
      <c r="E158" s="335">
        <f>+'Purchased Power Model '!E158</f>
        <v>7.5499999999999998E-2</v>
      </c>
      <c r="F158" s="336">
        <f>+'Purchased Power Model '!F158</f>
        <v>31</v>
      </c>
      <c r="G158" s="336">
        <f>+'Purchased Power Model '!G158</f>
        <v>0</v>
      </c>
      <c r="H158" s="337">
        <f ca="1">+'Purchased Power Model '!H158</f>
        <v>104250061.57786089</v>
      </c>
      <c r="J158" s="332">
        <f>+'10 Year Average'!A158</f>
        <v>42339</v>
      </c>
      <c r="K158" s="339"/>
      <c r="L158" s="334">
        <f>+'10 Year Average'!C158</f>
        <v>433.72668391495097</v>
      </c>
      <c r="M158" s="334">
        <f ca="1">+'10 Year Average'!D158</f>
        <v>0</v>
      </c>
      <c r="N158" s="335">
        <f>+'10 Year Average'!E158</f>
        <v>7.5499999999999998E-2</v>
      </c>
      <c r="O158" s="336">
        <f>+'10 Year Average'!F158</f>
        <v>31</v>
      </c>
      <c r="P158" s="336">
        <f>+'10 Year Average'!G158</f>
        <v>0</v>
      </c>
      <c r="Q158" s="337">
        <f ca="1">+'10 Year Average'!H158</f>
        <v>104832512.02081043</v>
      </c>
      <c r="S158" s="332">
        <f>+'20 Year Trend'!A158</f>
        <v>42339</v>
      </c>
      <c r="T158" s="339"/>
      <c r="U158" s="334">
        <f>+'20 Year Trend'!C158</f>
        <v>422.6271853229789</v>
      </c>
      <c r="V158" s="334">
        <f ca="1">+'20 Year Trend'!D158</f>
        <v>0</v>
      </c>
      <c r="W158" s="335">
        <f>+'20 Year Trend'!E158</f>
        <v>7.5499999999999998E-2</v>
      </c>
      <c r="X158" s="336">
        <f>+'20 Year Trend'!F158</f>
        <v>31</v>
      </c>
      <c r="Y158" s="336">
        <f>+'20 Year Trend'!G158</f>
        <v>0</v>
      </c>
      <c r="Z158" s="337">
        <f ca="1">+'20 Year Trend'!H158</f>
        <v>104386831.63116138</v>
      </c>
    </row>
    <row r="159" spans="1:26">
      <c r="A159" s="332">
        <f>+'Purchased Power Model '!A159</f>
        <v>42370</v>
      </c>
      <c r="B159" s="339"/>
      <c r="C159" s="334">
        <f>+'Purchased Power Model '!C159</f>
        <v>539.18844483504199</v>
      </c>
      <c r="D159" s="334">
        <f ca="1">+'Purchased Power Model '!D159</f>
        <v>0</v>
      </c>
      <c r="E159" s="335">
        <f>+'Purchased Power Model '!E159</f>
        <v>7.5499999999999998E-2</v>
      </c>
      <c r="F159" s="336">
        <f>+'Purchased Power Model '!F159</f>
        <v>31</v>
      </c>
      <c r="G159" s="336">
        <f>+'Purchased Power Model '!G159</f>
        <v>0</v>
      </c>
      <c r="H159" s="337">
        <f ca="1">+'Purchased Power Model '!H159</f>
        <v>109067139.22585693</v>
      </c>
      <c r="J159" s="332">
        <f>+'10 Year Average'!A159</f>
        <v>42370</v>
      </c>
      <c r="K159" s="339"/>
      <c r="L159" s="334">
        <f>+'10 Year Average'!C159</f>
        <v>564.54188088253147</v>
      </c>
      <c r="M159" s="334">
        <f ca="1">+'10 Year Average'!D159</f>
        <v>0</v>
      </c>
      <c r="N159" s="335">
        <f>+'10 Year Average'!E159</f>
        <v>7.5499999999999998E-2</v>
      </c>
      <c r="O159" s="336">
        <f>+'10 Year Average'!F159</f>
        <v>31</v>
      </c>
      <c r="P159" s="336">
        <f>+'10 Year Average'!G159</f>
        <v>0</v>
      </c>
      <c r="Q159" s="337">
        <f ca="1">+'10 Year Average'!H159</f>
        <v>110085160.82052246</v>
      </c>
      <c r="S159" s="332">
        <f>+'20 Year Trend'!A159</f>
        <v>42370</v>
      </c>
      <c r="T159" s="339"/>
      <c r="U159" s="334">
        <f>+'20 Year Trend'!C159</f>
        <v>550.09469087935975</v>
      </c>
      <c r="V159" s="334">
        <f ca="1">+'20 Year Trend'!D159</f>
        <v>0</v>
      </c>
      <c r="W159" s="335">
        <f>+'20 Year Trend'!E159</f>
        <v>7.5499999999999998E-2</v>
      </c>
      <c r="X159" s="336">
        <f>+'20 Year Trend'!F159</f>
        <v>31</v>
      </c>
      <c r="Y159" s="336">
        <f>+'20 Year Trend'!G159</f>
        <v>0</v>
      </c>
      <c r="Z159" s="337">
        <f ca="1">+'20 Year Trend'!H159</f>
        <v>109505059.907261</v>
      </c>
    </row>
    <row r="160" spans="1:26">
      <c r="A160" s="332">
        <f>+'Purchased Power Model '!A160</f>
        <v>42401</v>
      </c>
      <c r="B160" s="339"/>
      <c r="C160" s="334">
        <f>+'Purchased Power Model '!C160</f>
        <v>535.77142349143355</v>
      </c>
      <c r="D160" s="334">
        <f ca="1">+'Purchased Power Model '!D160</f>
        <v>0</v>
      </c>
      <c r="E160" s="335">
        <f>+'Purchased Power Model '!E160</f>
        <v>7.5499999999999998E-2</v>
      </c>
      <c r="F160" s="336">
        <f>+'Purchased Power Model '!F160</f>
        <v>29</v>
      </c>
      <c r="G160" s="336">
        <f>+'Purchased Power Model '!G160</f>
        <v>0</v>
      </c>
      <c r="H160" s="337">
        <f ca="1">+'Purchased Power Model '!H160</f>
        <v>103260872.57188232</v>
      </c>
      <c r="J160" s="332">
        <f>+'10 Year Average'!A160</f>
        <v>42401</v>
      </c>
      <c r="K160" s="339"/>
      <c r="L160" s="334">
        <f>+'10 Year Average'!C160</f>
        <v>560.96418615480661</v>
      </c>
      <c r="M160" s="334">
        <f ca="1">+'10 Year Average'!D160</f>
        <v>0</v>
      </c>
      <c r="N160" s="335">
        <f>+'10 Year Average'!E160</f>
        <v>7.5499999999999998E-2</v>
      </c>
      <c r="O160" s="336">
        <f>+'10 Year Average'!F160</f>
        <v>29</v>
      </c>
      <c r="P160" s="336">
        <f>+'10 Year Average'!G160</f>
        <v>0</v>
      </c>
      <c r="Q160" s="337">
        <f ca="1">+'10 Year Average'!H160</f>
        <v>104272442.61598042</v>
      </c>
      <c r="S160" s="332">
        <f>+'20 Year Trend'!A160</f>
        <v>42401</v>
      </c>
      <c r="T160" s="339"/>
      <c r="U160" s="334">
        <f>+'20 Year Trend'!C160</f>
        <v>546.60855292936048</v>
      </c>
      <c r="V160" s="334">
        <f ca="1">+'20 Year Trend'!D160</f>
        <v>0</v>
      </c>
      <c r="W160" s="335">
        <f>+'20 Year Trend'!E160</f>
        <v>7.5499999999999998E-2</v>
      </c>
      <c r="X160" s="336">
        <f>+'20 Year Trend'!F160</f>
        <v>29</v>
      </c>
      <c r="Y160" s="336">
        <f>+'20 Year Trend'!G160</f>
        <v>0</v>
      </c>
      <c r="Z160" s="337">
        <f ca="1">+'20 Year Trend'!H160</f>
        <v>103696018.00034931</v>
      </c>
    </row>
    <row r="161" spans="1:26">
      <c r="A161" s="332">
        <f>+'Purchased Power Model '!A161</f>
        <v>42430</v>
      </c>
      <c r="B161" s="339"/>
      <c r="C161" s="334">
        <f>+'Purchased Power Model '!C161</f>
        <v>477.50682878631443</v>
      </c>
      <c r="D161" s="334">
        <f ca="1">+'Purchased Power Model '!D161</f>
        <v>0</v>
      </c>
      <c r="E161" s="335">
        <f>+'Purchased Power Model '!E161</f>
        <v>7.5499999999999998E-2</v>
      </c>
      <c r="F161" s="336">
        <f>+'Purchased Power Model '!F161</f>
        <v>31</v>
      </c>
      <c r="G161" s="336">
        <f>+'Purchased Power Model '!G161</f>
        <v>1</v>
      </c>
      <c r="H161" s="337">
        <f ca="1">+'Purchased Power Model '!H161</f>
        <v>99361587.13951084</v>
      </c>
      <c r="J161" s="332">
        <f>+'10 Year Average'!A161</f>
        <v>42430</v>
      </c>
      <c r="K161" s="339"/>
      <c r="L161" s="334">
        <f>+'10 Year Average'!C161</f>
        <v>499.95990425898538</v>
      </c>
      <c r="M161" s="334">
        <f ca="1">+'10 Year Average'!D161</f>
        <v>0</v>
      </c>
      <c r="N161" s="335">
        <f>+'10 Year Average'!E161</f>
        <v>7.5499999999999998E-2</v>
      </c>
      <c r="O161" s="336">
        <f>+'10 Year Average'!F161</f>
        <v>31</v>
      </c>
      <c r="P161" s="336">
        <f>+'10 Year Average'!G161</f>
        <v>1</v>
      </c>
      <c r="Q161" s="337">
        <f ca="1">+'10 Year Average'!H161</f>
        <v>100263149.9752156</v>
      </c>
      <c r="S161" s="332">
        <f>+'20 Year Trend'!A161</f>
        <v>42430</v>
      </c>
      <c r="T161" s="339"/>
      <c r="U161" s="334">
        <f>+'20 Year Trend'!C161</f>
        <v>487.16543147424602</v>
      </c>
      <c r="V161" s="334">
        <f ca="1">+'20 Year Trend'!D161</f>
        <v>0</v>
      </c>
      <c r="W161" s="335">
        <f>+'20 Year Trend'!E161</f>
        <v>7.5499999999999998E-2</v>
      </c>
      <c r="X161" s="336">
        <f>+'20 Year Trend'!F161</f>
        <v>31</v>
      </c>
      <c r="Y161" s="336">
        <f>+'20 Year Trend'!G161</f>
        <v>1</v>
      </c>
      <c r="Z161" s="337">
        <f ca="1">+'20 Year Trend'!H161</f>
        <v>99749410.947384104</v>
      </c>
    </row>
    <row r="162" spans="1:26">
      <c r="A162" s="332">
        <f>+'Purchased Power Model '!A162</f>
        <v>42461</v>
      </c>
      <c r="B162" s="339"/>
      <c r="C162" s="334">
        <f>+'Purchased Power Model '!C162</f>
        <v>321.11239036731047</v>
      </c>
      <c r="D162" s="334">
        <f ca="1">+'Purchased Power Model '!D162</f>
        <v>0</v>
      </c>
      <c r="E162" s="335">
        <f>+'Purchased Power Model '!E162</f>
        <v>7.5499999999999998E-2</v>
      </c>
      <c r="F162" s="336">
        <f>+'Purchased Power Model '!F162</f>
        <v>30</v>
      </c>
      <c r="G162" s="336">
        <f>+'Purchased Power Model '!G162</f>
        <v>1</v>
      </c>
      <c r="H162" s="337">
        <f ca="1">+'Purchased Power Model '!H162</f>
        <v>90247318.779679969</v>
      </c>
      <c r="J162" s="332">
        <f>+'10 Year Average'!A162</f>
        <v>42461</v>
      </c>
      <c r="K162" s="339"/>
      <c r="L162" s="334">
        <f>+'10 Year Average'!C162</f>
        <v>336.21156864388644</v>
      </c>
      <c r="M162" s="334">
        <f ca="1">+'10 Year Average'!D162</f>
        <v>0</v>
      </c>
      <c r="N162" s="335">
        <f>+'10 Year Average'!E162</f>
        <v>7.5499999999999998E-2</v>
      </c>
      <c r="O162" s="336">
        <f>+'10 Year Average'!F162</f>
        <v>30</v>
      </c>
      <c r="P162" s="336">
        <f>+'10 Year Average'!G162</f>
        <v>1</v>
      </c>
      <c r="Q162" s="337">
        <f ca="1">+'10 Year Average'!H162</f>
        <v>90853599.108644739</v>
      </c>
      <c r="S162" s="332">
        <f>+'20 Year Trend'!A162</f>
        <v>42461</v>
      </c>
      <c r="T162" s="339"/>
      <c r="U162" s="334">
        <f>+'20 Year Trend'!C162</f>
        <v>327.6075791473599</v>
      </c>
      <c r="V162" s="334">
        <f ca="1">+'20 Year Trend'!D162</f>
        <v>0</v>
      </c>
      <c r="W162" s="335">
        <f>+'20 Year Trend'!E162</f>
        <v>7.5499999999999998E-2</v>
      </c>
      <c r="X162" s="336">
        <f>+'20 Year Trend'!F162</f>
        <v>30</v>
      </c>
      <c r="Y162" s="336">
        <f>+'20 Year Trend'!G162</f>
        <v>1</v>
      </c>
      <c r="Z162" s="337">
        <f ca="1">+'20 Year Trend'!H162</f>
        <v>90508121.395433277</v>
      </c>
    </row>
    <row r="163" spans="1:26">
      <c r="A163" s="332">
        <f>+'Purchased Power Model '!A163</f>
        <v>42491</v>
      </c>
      <c r="B163" s="339"/>
      <c r="C163" s="334">
        <f>+'Purchased Power Model '!C163</f>
        <v>116.8796531377878</v>
      </c>
      <c r="D163" s="334">
        <f ca="1">+'Purchased Power Model '!D163</f>
        <v>3.8584638085088909</v>
      </c>
      <c r="E163" s="335">
        <f>+'Purchased Power Model '!E163</f>
        <v>7.5499999999999998E-2</v>
      </c>
      <c r="F163" s="336">
        <f>+'Purchased Power Model '!F163</f>
        <v>31</v>
      </c>
      <c r="G163" s="336">
        <f>+'Purchased Power Model '!G163</f>
        <v>1</v>
      </c>
      <c r="H163" s="337">
        <f ca="1">+'Purchased Power Model '!H163</f>
        <v>85423132.162951291</v>
      </c>
      <c r="J163" s="332">
        <f>+'10 Year Average'!A163</f>
        <v>42491</v>
      </c>
      <c r="K163" s="339"/>
      <c r="L163" s="334">
        <f>+'10 Year Average'!C163</f>
        <v>122.37550684063973</v>
      </c>
      <c r="M163" s="334">
        <f ca="1">+'10 Year Average'!D163</f>
        <v>3.772678088367897</v>
      </c>
      <c r="N163" s="335">
        <f>+'10 Year Average'!E163</f>
        <v>7.5499999999999998E-2</v>
      </c>
      <c r="O163" s="336">
        <f>+'10 Year Average'!F163</f>
        <v>31</v>
      </c>
      <c r="P163" s="336">
        <f>+'10 Year Average'!G163</f>
        <v>1</v>
      </c>
      <c r="Q163" s="337">
        <f ca="1">+'10 Year Average'!H163</f>
        <v>85631760.584812269</v>
      </c>
      <c r="S163" s="332">
        <f>+'20 Year Trend'!A163</f>
        <v>42491</v>
      </c>
      <c r="T163" s="339"/>
      <c r="U163" s="334">
        <f>+'20 Year Trend'!C163</f>
        <v>119.24379552048516</v>
      </c>
      <c r="V163" s="334">
        <f ca="1">+'20 Year Trend'!D163</f>
        <v>3.6085283090503597</v>
      </c>
      <c r="W163" s="335">
        <f>+'20 Year Trend'!E163</f>
        <v>7.5499999999999998E-2</v>
      </c>
      <c r="X163" s="336">
        <f>+'20 Year Trend'!F163</f>
        <v>31</v>
      </c>
      <c r="Y163" s="336">
        <f>+'20 Year Trend'!G163</f>
        <v>1</v>
      </c>
      <c r="Z163" s="337">
        <f ca="1">+'20 Year Trend'!H163</f>
        <v>85482959.261590213</v>
      </c>
    </row>
    <row r="164" spans="1:26">
      <c r="A164" s="332">
        <f>+'Purchased Power Model '!A164</f>
        <v>42522</v>
      </c>
      <c r="B164" s="339"/>
      <c r="C164" s="334">
        <f>+'Purchased Power Model '!C164</f>
        <v>37.587234779693375</v>
      </c>
      <c r="D164" s="334">
        <f ca="1">+'Purchased Power Model '!D164</f>
        <v>41.414178211328768</v>
      </c>
      <c r="E164" s="335">
        <f>+'Purchased Power Model '!E164</f>
        <v>7.5499999999999998E-2</v>
      </c>
      <c r="F164" s="336">
        <f>+'Purchased Power Model '!F164</f>
        <v>30</v>
      </c>
      <c r="G164" s="336">
        <f>+'Purchased Power Model '!G164</f>
        <v>0</v>
      </c>
      <c r="H164" s="337">
        <f ca="1">+'Purchased Power Model '!H164</f>
        <v>91907895.298913032</v>
      </c>
      <c r="J164" s="332">
        <f>+'10 Year Average'!A164</f>
        <v>42522</v>
      </c>
      <c r="K164" s="339"/>
      <c r="L164" s="334">
        <f>+'10 Year Average'!C164</f>
        <v>39.35464200497335</v>
      </c>
      <c r="M164" s="334">
        <f ca="1">+'10 Year Average'!D164</f>
        <v>40.493411481815428</v>
      </c>
      <c r="N164" s="335">
        <f>+'10 Year Average'!E164</f>
        <v>7.5499999999999998E-2</v>
      </c>
      <c r="O164" s="336">
        <f>+'10 Year Average'!F164</f>
        <v>30</v>
      </c>
      <c r="P164" s="336">
        <f>+'10 Year Average'!G164</f>
        <v>0</v>
      </c>
      <c r="Q164" s="337">
        <f ca="1">+'10 Year Average'!H164</f>
        <v>91849550.4565157</v>
      </c>
      <c r="S164" s="332">
        <f>+'20 Year Trend'!A164</f>
        <v>42522</v>
      </c>
      <c r="T164" s="339"/>
      <c r="U164" s="334">
        <f>+'20 Year Trend'!C164</f>
        <v>38.347517449991116</v>
      </c>
      <c r="V164" s="334">
        <f ca="1">+'20 Year Trend'!D164</f>
        <v>38.731537183807198</v>
      </c>
      <c r="W164" s="335">
        <f>+'20 Year Trend'!E164</f>
        <v>7.5499999999999998E-2</v>
      </c>
      <c r="X164" s="336">
        <f>+'20 Year Trend'!F164</f>
        <v>30</v>
      </c>
      <c r="Y164" s="336">
        <f>+'20 Year Trend'!G164</f>
        <v>0</v>
      </c>
      <c r="Z164" s="337">
        <f ca="1">+'20 Year Trend'!H164</f>
        <v>91561674.667625204</v>
      </c>
    </row>
    <row r="165" spans="1:26">
      <c r="A165" s="332">
        <f>+'Purchased Power Model '!A165</f>
        <v>42552</v>
      </c>
      <c r="B165" s="339"/>
      <c r="C165" s="334">
        <f>+'Purchased Power Model '!C165</f>
        <v>3.8551010030454749</v>
      </c>
      <c r="D165" s="334">
        <f ca="1">+'Purchased Power Model '!D165</f>
        <v>141.47700631199265</v>
      </c>
      <c r="E165" s="335">
        <f>+'Purchased Power Model '!E165</f>
        <v>7.5499999999999998E-2</v>
      </c>
      <c r="F165" s="336">
        <f>+'Purchased Power Model '!F165</f>
        <v>31</v>
      </c>
      <c r="G165" s="336">
        <f>+'Purchased Power Model '!G165</f>
        <v>0</v>
      </c>
      <c r="H165" s="337">
        <f ca="1">+'Purchased Power Model '!H165</f>
        <v>107440733.78745082</v>
      </c>
      <c r="J165" s="332">
        <f>+'10 Year Average'!A165</f>
        <v>42552</v>
      </c>
      <c r="K165" s="339"/>
      <c r="L165" s="334">
        <f>+'10 Year Average'!C165</f>
        <v>4.0363735389716258</v>
      </c>
      <c r="M165" s="334">
        <f ca="1">+'10 Year Average'!D165</f>
        <v>138.33152990682285</v>
      </c>
      <c r="N165" s="335">
        <f>+'10 Year Average'!E165</f>
        <v>7.5499999999999998E-2</v>
      </c>
      <c r="O165" s="336">
        <f>+'10 Year Average'!F165</f>
        <v>31</v>
      </c>
      <c r="P165" s="336">
        <f>+'10 Year Average'!G165</f>
        <v>0</v>
      </c>
      <c r="Q165" s="337">
        <f ca="1">+'10 Year Average'!H165</f>
        <v>107006263.73782702</v>
      </c>
      <c r="S165" s="332">
        <f>+'20 Year Trend'!A165</f>
        <v>42552</v>
      </c>
      <c r="T165" s="339"/>
      <c r="U165" s="334">
        <f>+'20 Year Trend'!C165</f>
        <v>3.9330787128196012</v>
      </c>
      <c r="V165" s="334">
        <f ca="1">+'20 Year Trend'!D165</f>
        <v>132.31270466517984</v>
      </c>
      <c r="W165" s="335">
        <f>+'20 Year Trend'!E165</f>
        <v>7.5499999999999998E-2</v>
      </c>
      <c r="X165" s="336">
        <f>+'20 Year Trend'!F165</f>
        <v>31</v>
      </c>
      <c r="Y165" s="336">
        <f>+'20 Year Trend'!G165</f>
        <v>0</v>
      </c>
      <c r="Z165" s="337">
        <f ca="1">+'20 Year Trend'!H165</f>
        <v>106156836.09994954</v>
      </c>
    </row>
    <row r="166" spans="1:26">
      <c r="A166" s="332">
        <f>+'Purchased Power Model '!A166</f>
        <v>42583</v>
      </c>
      <c r="B166" s="339"/>
      <c r="C166" s="334">
        <f>+'Purchased Power Model '!C166</f>
        <v>9.6377525076136852</v>
      </c>
      <c r="D166" s="334">
        <f ca="1">+'Purchased Power Model '!D166</f>
        <v>74.468351504221573</v>
      </c>
      <c r="E166" s="335">
        <f>+'Purchased Power Model '!E166</f>
        <v>7.5499999999999998E-2</v>
      </c>
      <c r="F166" s="336">
        <f>+'Purchased Power Model '!F166</f>
        <v>31</v>
      </c>
      <c r="G166" s="336">
        <f>+'Purchased Power Model '!G166</f>
        <v>0</v>
      </c>
      <c r="H166" s="337">
        <f ca="1">+'Purchased Power Model '!H166</f>
        <v>98262272.541637272</v>
      </c>
      <c r="J166" s="332">
        <f>+'10 Year Average'!A166</f>
        <v>42583</v>
      </c>
      <c r="K166" s="339"/>
      <c r="L166" s="334">
        <f>+'10 Year Average'!C166</f>
        <v>10.090933847429062</v>
      </c>
      <c r="M166" s="334">
        <f ca="1">+'10 Year Average'!D166</f>
        <v>72.812687105500387</v>
      </c>
      <c r="N166" s="335">
        <f>+'10 Year Average'!E166</f>
        <v>7.5499999999999998E-2</v>
      </c>
      <c r="O166" s="336">
        <f>+'10 Year Average'!F166</f>
        <v>31</v>
      </c>
      <c r="P166" s="336">
        <f>+'10 Year Average'!G166</f>
        <v>0</v>
      </c>
      <c r="Q166" s="337">
        <f ca="1">+'10 Year Average'!H166</f>
        <v>98047948.759023011</v>
      </c>
      <c r="S166" s="332">
        <f>+'20 Year Trend'!A166</f>
        <v>42583</v>
      </c>
      <c r="T166" s="339"/>
      <c r="U166" s="334">
        <f>+'20 Year Trend'!C166</f>
        <v>9.8326967820490019</v>
      </c>
      <c r="V166" s="334">
        <f ca="1">+'20 Year Trend'!D166</f>
        <v>69.644596364671926</v>
      </c>
      <c r="W166" s="335">
        <f>+'20 Year Trend'!E166</f>
        <v>7.5499999999999998E-2</v>
      </c>
      <c r="X166" s="336">
        <f>+'20 Year Trend'!F166</f>
        <v>31</v>
      </c>
      <c r="Y166" s="336">
        <f>+'20 Year Trend'!G166</f>
        <v>0</v>
      </c>
      <c r="Z166" s="337">
        <f ca="1">+'20 Year Trend'!H166</f>
        <v>97592655.049331784</v>
      </c>
    </row>
    <row r="167" spans="1:26">
      <c r="A167" s="332">
        <f>+'Purchased Power Model '!A167</f>
        <v>42614</v>
      </c>
      <c r="B167" s="339"/>
      <c r="C167" s="334">
        <f>+'Purchased Power Model '!C167</f>
        <v>84.636990203225636</v>
      </c>
      <c r="D167" s="334">
        <f ca="1">+'Purchased Power Model '!D167</f>
        <v>20.192627264529865</v>
      </c>
      <c r="E167" s="335">
        <f>+'Purchased Power Model '!E167</f>
        <v>7.5499999999999998E-2</v>
      </c>
      <c r="F167" s="336">
        <f>+'Purchased Power Model '!F167</f>
        <v>30</v>
      </c>
      <c r="G167" s="336">
        <f>+'Purchased Power Model '!G167</f>
        <v>1</v>
      </c>
      <c r="H167" s="337">
        <f ca="1">+'Purchased Power Model '!H167</f>
        <v>83587914.51723057</v>
      </c>
      <c r="J167" s="332">
        <f>+'10 Year Average'!A167</f>
        <v>42614</v>
      </c>
      <c r="K167" s="339"/>
      <c r="L167" s="334">
        <f>+'10 Year Average'!C167</f>
        <v>88.616746332877042</v>
      </c>
      <c r="M167" s="334">
        <f ca="1">+'10 Year Average'!D167</f>
        <v>19.743681995791995</v>
      </c>
      <c r="N167" s="335">
        <f>+'10 Year Average'!E167</f>
        <v>7.5499999999999998E-2</v>
      </c>
      <c r="O167" s="336">
        <f>+'10 Year Average'!F167</f>
        <v>30</v>
      </c>
      <c r="P167" s="336">
        <f>+'10 Year Average'!G167</f>
        <v>1</v>
      </c>
      <c r="Q167" s="337">
        <f ca="1">+'10 Year Average'!H167</f>
        <v>83684664.871724352</v>
      </c>
      <c r="S167" s="332">
        <f>+'20 Year Trend'!A167</f>
        <v>42614</v>
      </c>
      <c r="T167" s="339"/>
      <c r="U167" s="334">
        <f>+'20 Year Trend'!C167</f>
        <v>86.348955376903064</v>
      </c>
      <c r="V167" s="334">
        <f ca="1">+'20 Year Trend'!D167</f>
        <v>18.884631484030216</v>
      </c>
      <c r="W167" s="335">
        <f>+'20 Year Trend'!E167</f>
        <v>7.5499999999999998E-2</v>
      </c>
      <c r="X167" s="336">
        <f>+'20 Year Trend'!F167</f>
        <v>30</v>
      </c>
      <c r="Y167" s="336">
        <f>+'20 Year Trend'!G167</f>
        <v>1</v>
      </c>
      <c r="Z167" s="337">
        <f ca="1">+'20 Year Trend'!H167</f>
        <v>83472961.295390859</v>
      </c>
    </row>
    <row r="168" spans="1:26">
      <c r="A168" s="332">
        <f>+'Purchased Power Model '!A168</f>
        <v>42644</v>
      </c>
      <c r="B168" s="339"/>
      <c r="C168" s="334">
        <f>+'Purchased Power Model '!C168</f>
        <v>193.63120947114768</v>
      </c>
      <c r="D168" s="334">
        <f ca="1">+'Purchased Power Model '!D168</f>
        <v>3.8584638085088909</v>
      </c>
      <c r="E168" s="335">
        <f>+'Purchased Power Model '!E168</f>
        <v>7.5499999999999998E-2</v>
      </c>
      <c r="F168" s="336">
        <f>+'Purchased Power Model '!F168</f>
        <v>31</v>
      </c>
      <c r="G168" s="336">
        <f>+'Purchased Power Model '!G168</f>
        <v>1</v>
      </c>
      <c r="H168" s="337">
        <f ca="1">+'Purchased Power Model '!H168</f>
        <v>88504952.773979872</v>
      </c>
      <c r="J168" s="332">
        <f>+'10 Year Average'!A168</f>
        <v>42644</v>
      </c>
      <c r="K168" s="339"/>
      <c r="L168" s="334">
        <f>+'10 Year Average'!C168</f>
        <v>202.73603457107481</v>
      </c>
      <c r="M168" s="334">
        <f ca="1">+'10 Year Average'!D168</f>
        <v>3.772678088367897</v>
      </c>
      <c r="N168" s="335">
        <f>+'10 Year Average'!E168</f>
        <v>7.5499999999999998E-2</v>
      </c>
      <c r="O168" s="336">
        <f>+'10 Year Average'!F168</f>
        <v>31</v>
      </c>
      <c r="P168" s="336">
        <f>+'10 Year Average'!G168</f>
        <v>1</v>
      </c>
      <c r="Q168" s="337">
        <f ca="1">+'10 Year Average'!H168</f>
        <v>88858492.947047696</v>
      </c>
      <c r="S168" s="332">
        <f>+'20 Year Trend'!A168</f>
        <v>42644</v>
      </c>
      <c r="T168" s="339"/>
      <c r="U168" s="334">
        <f>+'20 Year Trend'!C168</f>
        <v>197.54781716662086</v>
      </c>
      <c r="V168" s="334">
        <f ca="1">+'20 Year Trend'!D168</f>
        <v>3.6085283090503597</v>
      </c>
      <c r="W168" s="335">
        <f>+'20 Year Trend'!E168</f>
        <v>7.5499999999999998E-2</v>
      </c>
      <c r="X168" s="336">
        <f>+'20 Year Trend'!F168</f>
        <v>31</v>
      </c>
      <c r="Y168" s="336">
        <f>+'20 Year Trend'!G168</f>
        <v>1</v>
      </c>
      <c r="Z168" s="337">
        <f ca="1">+'20 Year Trend'!H168</f>
        <v>88627116.323205397</v>
      </c>
    </row>
    <row r="169" spans="1:26">
      <c r="A169" s="332">
        <f>+'Purchased Power Model '!A169</f>
        <v>42675</v>
      </c>
      <c r="B169" s="339"/>
      <c r="C169" s="334">
        <f>+'Purchased Power Model '!C169</f>
        <v>401.80666363560329</v>
      </c>
      <c r="D169" s="334">
        <f ca="1">+'Purchased Power Model '!D169</f>
        <v>0</v>
      </c>
      <c r="E169" s="335">
        <f>+'Purchased Power Model '!E169</f>
        <v>7.5499999999999998E-2</v>
      </c>
      <c r="F169" s="336">
        <f>+'Purchased Power Model '!F169</f>
        <v>30</v>
      </c>
      <c r="G169" s="336">
        <f>+'Purchased Power Model '!G169</f>
        <v>1</v>
      </c>
      <c r="H169" s="337">
        <f ca="1">+'Purchased Power Model '!H169</f>
        <v>93487452.093329892</v>
      </c>
      <c r="J169" s="332">
        <f>+'10 Year Average'!A169</f>
        <v>42675</v>
      </c>
      <c r="K169" s="339"/>
      <c r="L169" s="334">
        <f>+'10 Year Average'!C169</f>
        <v>420.70020567554263</v>
      </c>
      <c r="M169" s="334">
        <f ca="1">+'10 Year Average'!D169</f>
        <v>0</v>
      </c>
      <c r="N169" s="335">
        <f>+'10 Year Average'!E169</f>
        <v>7.5499999999999998E-2</v>
      </c>
      <c r="O169" s="336">
        <f>+'10 Year Average'!F169</f>
        <v>30</v>
      </c>
      <c r="P169" s="336">
        <f>+'10 Year Average'!G169</f>
        <v>1</v>
      </c>
      <c r="Q169" s="337">
        <f ca="1">+'10 Year Average'!H169</f>
        <v>94246088.270310074</v>
      </c>
      <c r="S169" s="332">
        <f>+'20 Year Trend'!A169</f>
        <v>42675</v>
      </c>
      <c r="T169" s="339"/>
      <c r="U169" s="334">
        <f>+'20 Year Trend'!C169</f>
        <v>409.93406765887937</v>
      </c>
      <c r="V169" s="334">
        <f ca="1">+'20 Year Trend'!D169</f>
        <v>0</v>
      </c>
      <c r="W169" s="335">
        <f>+'20 Year Trend'!E169</f>
        <v>7.5499999999999998E-2</v>
      </c>
      <c r="X169" s="336">
        <f>+'20 Year Trend'!F169</f>
        <v>30</v>
      </c>
      <c r="Y169" s="336">
        <f>+'20 Year Trend'!G169</f>
        <v>1</v>
      </c>
      <c r="Z169" s="337">
        <f ca="1">+'20 Year Trend'!H169</f>
        <v>93813793.374597192</v>
      </c>
    </row>
    <row r="170" spans="1:26">
      <c r="A170" s="332">
        <f>+'Purchased Power Model '!A170</f>
        <v>42705</v>
      </c>
      <c r="B170" s="339"/>
      <c r="C170" s="334">
        <f>+'Purchased Power Model '!C170</f>
        <v>414.24812596361369</v>
      </c>
      <c r="D170" s="334">
        <f ca="1">+'Purchased Power Model '!D170</f>
        <v>0</v>
      </c>
      <c r="E170" s="335">
        <f>+'Purchased Power Model '!E170</f>
        <v>7.5499999999999998E-2</v>
      </c>
      <c r="F170" s="336">
        <f>+'Purchased Power Model '!F170</f>
        <v>31</v>
      </c>
      <c r="G170" s="336">
        <f>+'Purchased Power Model '!G170</f>
        <v>0</v>
      </c>
      <c r="H170" s="337">
        <f ca="1">+'Purchased Power Model '!H170</f>
        <v>104050385.58278985</v>
      </c>
      <c r="J170" s="332">
        <f>+'10 Year Average'!A170</f>
        <v>42705</v>
      </c>
      <c r="K170" s="339"/>
      <c r="L170" s="334">
        <f>+'10 Year Average'!C170</f>
        <v>433.72668391495097</v>
      </c>
      <c r="M170" s="334">
        <f ca="1">+'10 Year Average'!D170</f>
        <v>0</v>
      </c>
      <c r="N170" s="335">
        <f>+'10 Year Average'!E170</f>
        <v>7.5499999999999998E-2</v>
      </c>
      <c r="O170" s="336">
        <f>+'10 Year Average'!F170</f>
        <v>31</v>
      </c>
      <c r="P170" s="336">
        <f>+'10 Year Average'!G170</f>
        <v>0</v>
      </c>
      <c r="Q170" s="337">
        <f ca="1">+'10 Year Average'!H170</f>
        <v>104832512.02081043</v>
      </c>
      <c r="S170" s="332">
        <f>+'20 Year Trend'!A170</f>
        <v>42705</v>
      </c>
      <c r="T170" s="339"/>
      <c r="U170" s="334">
        <f>+'20 Year Trend'!C170</f>
        <v>422.6271853229789</v>
      </c>
      <c r="V170" s="334">
        <f ca="1">+'20 Year Trend'!D170</f>
        <v>0</v>
      </c>
      <c r="W170" s="335">
        <f>+'20 Year Trend'!E170</f>
        <v>7.5499999999999998E-2</v>
      </c>
      <c r="X170" s="336">
        <f>+'20 Year Trend'!F170</f>
        <v>31</v>
      </c>
      <c r="Y170" s="336">
        <f>+'20 Year Trend'!G170</f>
        <v>0</v>
      </c>
      <c r="Z170" s="337">
        <f ca="1">+'20 Year Trend'!H170</f>
        <v>104386831.63116138</v>
      </c>
    </row>
    <row r="171" spans="1:26">
      <c r="A171" s="332">
        <f>+'Purchased Power Model '!A171</f>
        <v>42736</v>
      </c>
      <c r="B171" s="339"/>
      <c r="C171" s="334">
        <f>+'Purchased Power Model '!C171</f>
        <v>532.7157412859018</v>
      </c>
      <c r="D171" s="334">
        <f ca="1">+'Purchased Power Model '!D171</f>
        <v>0</v>
      </c>
      <c r="E171" s="335">
        <f>+'Purchased Power Model '!E171</f>
        <v>7.5499999999999998E-2</v>
      </c>
      <c r="F171" s="336">
        <f>+'Purchased Power Model '!F171</f>
        <v>31</v>
      </c>
      <c r="G171" s="336">
        <f>+'Purchased Power Model '!G171</f>
        <v>0</v>
      </c>
      <c r="H171" s="337">
        <f ca="1">+'Purchased Power Model '!H171</f>
        <v>108807239.464083</v>
      </c>
      <c r="J171" s="332">
        <f>+'10 Year Average'!A171</f>
        <v>42736</v>
      </c>
      <c r="K171" s="339"/>
      <c r="L171" s="334">
        <f>+'10 Year Average'!C171</f>
        <v>564.54188088253147</v>
      </c>
      <c r="M171" s="334">
        <f ca="1">+'10 Year Average'!D171</f>
        <v>0</v>
      </c>
      <c r="N171" s="335">
        <f>+'10 Year Average'!E171</f>
        <v>7.5499999999999998E-2</v>
      </c>
      <c r="O171" s="336">
        <f>+'10 Year Average'!F171</f>
        <v>31</v>
      </c>
      <c r="P171" s="336">
        <f>+'10 Year Average'!G171</f>
        <v>0</v>
      </c>
      <c r="Q171" s="337">
        <f ca="1">+'10 Year Average'!H171</f>
        <v>110085160.82052246</v>
      </c>
      <c r="S171" s="332">
        <f>+'20 Year Trend'!A171</f>
        <v>42736</v>
      </c>
      <c r="T171" s="339"/>
      <c r="U171" s="334">
        <f>+'20 Year Trend'!C171</f>
        <v>550.09469087935975</v>
      </c>
      <c r="V171" s="334">
        <f ca="1">+'20 Year Trend'!D171</f>
        <v>0</v>
      </c>
      <c r="W171" s="335">
        <f>+'20 Year Trend'!E171</f>
        <v>7.5499999999999998E-2</v>
      </c>
      <c r="X171" s="336">
        <f>+'20 Year Trend'!F171</f>
        <v>31</v>
      </c>
      <c r="Y171" s="336">
        <f>+'20 Year Trend'!G171</f>
        <v>0</v>
      </c>
      <c r="Z171" s="337">
        <f ca="1">+'20 Year Trend'!H171</f>
        <v>109505059.907261</v>
      </c>
    </row>
    <row r="172" spans="1:26">
      <c r="A172" s="332">
        <f>+'Purchased Power Model '!A172</f>
        <v>42767</v>
      </c>
      <c r="B172" s="339"/>
      <c r="C172" s="334">
        <f>+'Purchased Power Model '!C172</f>
        <v>529.33973967554266</v>
      </c>
      <c r="D172" s="334">
        <f ca="1">+'Purchased Power Model '!D172</f>
        <v>0</v>
      </c>
      <c r="E172" s="335">
        <f>+'Purchased Power Model '!E172</f>
        <v>7.5499999999999998E-2</v>
      </c>
      <c r="F172" s="336">
        <f>+'Purchased Power Model '!F172</f>
        <v>28</v>
      </c>
      <c r="G172" s="336">
        <f>+'Purchased Power Model '!G172</f>
        <v>0</v>
      </c>
      <c r="H172" s="337">
        <f ca="1">+'Purchased Power Model '!H172</f>
        <v>100168088.72782041</v>
      </c>
      <c r="J172" s="332">
        <f>+'10 Year Average'!A172</f>
        <v>42767</v>
      </c>
      <c r="K172" s="339"/>
      <c r="L172" s="334">
        <f>+'10 Year Average'!C172</f>
        <v>560.96418615480661</v>
      </c>
      <c r="M172" s="334">
        <f ca="1">+'10 Year Average'!D172</f>
        <v>0</v>
      </c>
      <c r="N172" s="335">
        <f>+'10 Year Average'!E172</f>
        <v>7.5499999999999998E-2</v>
      </c>
      <c r="O172" s="336">
        <f>+'10 Year Average'!F172</f>
        <v>28</v>
      </c>
      <c r="P172" s="336">
        <f>+'10 Year Average'!G172</f>
        <v>0</v>
      </c>
      <c r="Q172" s="337">
        <f ca="1">+'10 Year Average'!H172</f>
        <v>101437911.46012902</v>
      </c>
      <c r="S172" s="332">
        <f>+'20 Year Trend'!A172</f>
        <v>42767</v>
      </c>
      <c r="T172" s="339"/>
      <c r="U172" s="334">
        <f>+'20 Year Trend'!C172</f>
        <v>546.60855292936048</v>
      </c>
      <c r="V172" s="334">
        <f ca="1">+'20 Year Trend'!D172</f>
        <v>0</v>
      </c>
      <c r="W172" s="335">
        <f>+'20 Year Trend'!E172</f>
        <v>7.5499999999999998E-2</v>
      </c>
      <c r="X172" s="336">
        <f>+'20 Year Trend'!F172</f>
        <v>28</v>
      </c>
      <c r="Y172" s="336">
        <f>+'20 Year Trend'!G172</f>
        <v>0</v>
      </c>
      <c r="Z172" s="337">
        <f ca="1">+'20 Year Trend'!H172</f>
        <v>100861486.84449792</v>
      </c>
    </row>
    <row r="173" spans="1:26">
      <c r="A173" s="332">
        <f>+'Purchased Power Model '!A173</f>
        <v>42795</v>
      </c>
      <c r="B173" s="339"/>
      <c r="C173" s="334">
        <f>+'Purchased Power Model '!C173</f>
        <v>471.77458401172646</v>
      </c>
      <c r="D173" s="334">
        <f ca="1">+'Purchased Power Model '!D173</f>
        <v>0</v>
      </c>
      <c r="E173" s="335">
        <f>+'Purchased Power Model '!E173</f>
        <v>7.5499999999999998E-2</v>
      </c>
      <c r="F173" s="336">
        <f>+'Purchased Power Model '!F173</f>
        <v>31</v>
      </c>
      <c r="G173" s="336">
        <f>+'Purchased Power Model '!G173</f>
        <v>1</v>
      </c>
      <c r="H173" s="337">
        <f ca="1">+'Purchased Power Model '!H173</f>
        <v>99131419.167189106</v>
      </c>
      <c r="J173" s="332">
        <f>+'10 Year Average'!A173</f>
        <v>42795</v>
      </c>
      <c r="K173" s="339"/>
      <c r="L173" s="334">
        <f>+'10 Year Average'!C173</f>
        <v>499.95990425898538</v>
      </c>
      <c r="M173" s="334">
        <f ca="1">+'10 Year Average'!D173</f>
        <v>0</v>
      </c>
      <c r="N173" s="335">
        <f>+'10 Year Average'!E173</f>
        <v>7.5499999999999998E-2</v>
      </c>
      <c r="O173" s="336">
        <f>+'10 Year Average'!F173</f>
        <v>31</v>
      </c>
      <c r="P173" s="336">
        <f>+'10 Year Average'!G173</f>
        <v>1</v>
      </c>
      <c r="Q173" s="337">
        <f ca="1">+'10 Year Average'!H173</f>
        <v>100263149.9752156</v>
      </c>
      <c r="S173" s="332">
        <f>+'20 Year Trend'!A173</f>
        <v>42795</v>
      </c>
      <c r="T173" s="339"/>
      <c r="U173" s="334">
        <f>+'20 Year Trend'!C173</f>
        <v>487.16543147424602</v>
      </c>
      <c r="V173" s="334">
        <f ca="1">+'20 Year Trend'!D173</f>
        <v>0</v>
      </c>
      <c r="W173" s="335">
        <f>+'20 Year Trend'!E173</f>
        <v>7.5499999999999998E-2</v>
      </c>
      <c r="X173" s="336">
        <f>+'20 Year Trend'!F173</f>
        <v>31</v>
      </c>
      <c r="Y173" s="336">
        <f>+'20 Year Trend'!G173</f>
        <v>1</v>
      </c>
      <c r="Z173" s="337">
        <f ca="1">+'20 Year Trend'!H173</f>
        <v>99749410.947384104</v>
      </c>
    </row>
    <row r="174" spans="1:26">
      <c r="A174" s="332">
        <f>+'Purchased Power Model '!A174</f>
        <v>42826</v>
      </c>
      <c r="B174" s="339"/>
      <c r="C174" s="334">
        <f>+'Purchased Power Model '!C174</f>
        <v>317.25758722990406</v>
      </c>
      <c r="D174" s="334">
        <f ca="1">+'Purchased Power Model '!D174</f>
        <v>0</v>
      </c>
      <c r="E174" s="335">
        <f>+'Purchased Power Model '!E174</f>
        <v>7.5499999999999998E-2</v>
      </c>
      <c r="F174" s="336">
        <f>+'Purchased Power Model '!F174</f>
        <v>30</v>
      </c>
      <c r="G174" s="336">
        <f>+'Purchased Power Model '!G174</f>
        <v>1</v>
      </c>
      <c r="H174" s="337">
        <f ca="1">+'Purchased Power Model '!H174</f>
        <v>90092536.097375542</v>
      </c>
      <c r="J174" s="332">
        <f>+'10 Year Average'!A174</f>
        <v>42826</v>
      </c>
      <c r="K174" s="339"/>
      <c r="L174" s="334">
        <f>+'10 Year Average'!C174</f>
        <v>336.21156864388644</v>
      </c>
      <c r="M174" s="334">
        <f ca="1">+'10 Year Average'!D174</f>
        <v>0</v>
      </c>
      <c r="N174" s="335">
        <f>+'10 Year Average'!E174</f>
        <v>7.5499999999999998E-2</v>
      </c>
      <c r="O174" s="336">
        <f>+'10 Year Average'!F174</f>
        <v>30</v>
      </c>
      <c r="P174" s="336">
        <f>+'10 Year Average'!G174</f>
        <v>1</v>
      </c>
      <c r="Q174" s="337">
        <f ca="1">+'10 Year Average'!H174</f>
        <v>90853599.108644739</v>
      </c>
      <c r="S174" s="332">
        <f>+'20 Year Trend'!A174</f>
        <v>42826</v>
      </c>
      <c r="T174" s="339"/>
      <c r="U174" s="334">
        <f>+'20 Year Trend'!C174</f>
        <v>327.6075791473599</v>
      </c>
      <c r="V174" s="334">
        <f ca="1">+'20 Year Trend'!D174</f>
        <v>0</v>
      </c>
      <c r="W174" s="335">
        <f>+'20 Year Trend'!E174</f>
        <v>7.5499999999999998E-2</v>
      </c>
      <c r="X174" s="336">
        <f>+'20 Year Trend'!F174</f>
        <v>30</v>
      </c>
      <c r="Y174" s="336">
        <f>+'20 Year Trend'!G174</f>
        <v>1</v>
      </c>
      <c r="Z174" s="337">
        <f ca="1">+'20 Year Trend'!H174</f>
        <v>90508121.395433277</v>
      </c>
    </row>
    <row r="175" spans="1:26">
      <c r="A175" s="332">
        <f>+'Purchased Power Model '!A175</f>
        <v>42856</v>
      </c>
      <c r="B175" s="339"/>
      <c r="C175" s="334">
        <f>+'Purchased Power Model '!C175</f>
        <v>115.47656790305378</v>
      </c>
      <c r="D175" s="334">
        <f ca="1">+'Purchased Power Model '!D175</f>
        <v>3.9450036888269517</v>
      </c>
      <c r="E175" s="335">
        <f>+'Purchased Power Model '!E175</f>
        <v>7.5499999999999998E-2</v>
      </c>
      <c r="F175" s="336">
        <f>+'Purchased Power Model '!F175</f>
        <v>31</v>
      </c>
      <c r="G175" s="336">
        <f>+'Purchased Power Model '!G175</f>
        <v>1</v>
      </c>
      <c r="H175" s="337">
        <f ca="1">+'Purchased Power Model '!H175</f>
        <v>85378947.406751111</v>
      </c>
      <c r="J175" s="332">
        <f>+'10 Year Average'!A175</f>
        <v>42856</v>
      </c>
      <c r="K175" s="339"/>
      <c r="L175" s="334">
        <f>+'10 Year Average'!C175</f>
        <v>122.37550684063973</v>
      </c>
      <c r="M175" s="334">
        <f ca="1">+'10 Year Average'!D175</f>
        <v>3.772678088367897</v>
      </c>
      <c r="N175" s="335">
        <f>+'10 Year Average'!E175</f>
        <v>7.5499999999999998E-2</v>
      </c>
      <c r="O175" s="336">
        <f>+'10 Year Average'!F175</f>
        <v>31</v>
      </c>
      <c r="P175" s="336">
        <f>+'10 Year Average'!G175</f>
        <v>1</v>
      </c>
      <c r="Q175" s="337">
        <f ca="1">+'10 Year Average'!H175</f>
        <v>85631760.584812269</v>
      </c>
      <c r="S175" s="332">
        <f>+'20 Year Trend'!A175</f>
        <v>42856</v>
      </c>
      <c r="T175" s="339"/>
      <c r="U175" s="334">
        <f>+'20 Year Trend'!C175</f>
        <v>119.24379552048516</v>
      </c>
      <c r="V175" s="334">
        <f ca="1">+'20 Year Trend'!D175</f>
        <v>3.6085283090503597</v>
      </c>
      <c r="W175" s="335">
        <f>+'20 Year Trend'!E175</f>
        <v>7.5499999999999998E-2</v>
      </c>
      <c r="X175" s="336">
        <f>+'20 Year Trend'!F175</f>
        <v>31</v>
      </c>
      <c r="Y175" s="336">
        <f>+'20 Year Trend'!G175</f>
        <v>1</v>
      </c>
      <c r="Z175" s="337">
        <f ca="1">+'20 Year Trend'!H175</f>
        <v>85482959.261590213</v>
      </c>
    </row>
    <row r="176" spans="1:26">
      <c r="A176" s="332">
        <f>+'Purchased Power Model '!A176</f>
        <v>42887</v>
      </c>
      <c r="B176" s="339"/>
      <c r="C176" s="334">
        <f>+'Purchased Power Model '!C176</f>
        <v>37.136017713950579</v>
      </c>
      <c r="D176" s="334">
        <f ca="1">+'Purchased Power Model '!D176</f>
        <v>42.343039593409287</v>
      </c>
      <c r="E176" s="335">
        <f>+'Purchased Power Model '!E176</f>
        <v>7.5499999999999998E-2</v>
      </c>
      <c r="F176" s="336">
        <f>+'Purchased Power Model '!F176</f>
        <v>30</v>
      </c>
      <c r="G176" s="336">
        <f>+'Purchased Power Model '!G176</f>
        <v>0</v>
      </c>
      <c r="H176" s="337">
        <f ca="1">+'Purchased Power Model '!H176</f>
        <v>92020226.196254775</v>
      </c>
      <c r="J176" s="332">
        <f>+'10 Year Average'!A176</f>
        <v>42887</v>
      </c>
      <c r="K176" s="339"/>
      <c r="L176" s="334">
        <f>+'10 Year Average'!C176</f>
        <v>39.35464200497335</v>
      </c>
      <c r="M176" s="334">
        <f ca="1">+'10 Year Average'!D176</f>
        <v>40.493411481815428</v>
      </c>
      <c r="N176" s="335">
        <f>+'10 Year Average'!E176</f>
        <v>7.5499999999999998E-2</v>
      </c>
      <c r="O176" s="336">
        <f>+'10 Year Average'!F176</f>
        <v>30</v>
      </c>
      <c r="P176" s="336">
        <f>+'10 Year Average'!G176</f>
        <v>0</v>
      </c>
      <c r="Q176" s="337">
        <f ca="1">+'10 Year Average'!H176</f>
        <v>91849550.4565157</v>
      </c>
      <c r="S176" s="332">
        <f>+'20 Year Trend'!A176</f>
        <v>42887</v>
      </c>
      <c r="T176" s="339"/>
      <c r="U176" s="334">
        <f>+'20 Year Trend'!C176</f>
        <v>38.347517449991116</v>
      </c>
      <c r="V176" s="334">
        <f ca="1">+'20 Year Trend'!D176</f>
        <v>38.731537183807198</v>
      </c>
      <c r="W176" s="335">
        <f>+'20 Year Trend'!E176</f>
        <v>7.5499999999999998E-2</v>
      </c>
      <c r="X176" s="336">
        <f>+'20 Year Trend'!F176</f>
        <v>30</v>
      </c>
      <c r="Y176" s="336">
        <f>+'20 Year Trend'!G176</f>
        <v>0</v>
      </c>
      <c r="Z176" s="337">
        <f ca="1">+'20 Year Trend'!H176</f>
        <v>91561674.667625204</v>
      </c>
    </row>
    <row r="177" spans="1:26">
      <c r="A177" s="332">
        <f>+'Purchased Power Model '!A177</f>
        <v>42917</v>
      </c>
      <c r="B177" s="339"/>
      <c r="C177" s="334">
        <f>+'Purchased Power Model '!C177</f>
        <v>3.8088223296359573</v>
      </c>
      <c r="D177" s="334">
        <f ca="1">+'Purchased Power Model '!D177</f>
        <v>144.65013525698822</v>
      </c>
      <c r="E177" s="335">
        <f>+'Purchased Power Model '!E177</f>
        <v>7.5499999999999998E-2</v>
      </c>
      <c r="F177" s="336">
        <f>+'Purchased Power Model '!F177</f>
        <v>31</v>
      </c>
      <c r="G177" s="336">
        <f>+'Purchased Power Model '!G177</f>
        <v>0</v>
      </c>
      <c r="H177" s="337">
        <f ca="1">+'Purchased Power Model '!H177</f>
        <v>107884507.77791779</v>
      </c>
      <c r="J177" s="332">
        <f>+'10 Year Average'!A177</f>
        <v>42917</v>
      </c>
      <c r="K177" s="339"/>
      <c r="L177" s="334">
        <f>+'10 Year Average'!C177</f>
        <v>4.0363735389716258</v>
      </c>
      <c r="M177" s="334">
        <f ca="1">+'10 Year Average'!D177</f>
        <v>138.33152990682285</v>
      </c>
      <c r="N177" s="335">
        <f>+'10 Year Average'!E177</f>
        <v>7.5499999999999998E-2</v>
      </c>
      <c r="O177" s="336">
        <f>+'10 Year Average'!F177</f>
        <v>31</v>
      </c>
      <c r="P177" s="336">
        <f>+'10 Year Average'!G177</f>
        <v>0</v>
      </c>
      <c r="Q177" s="337">
        <f ca="1">+'10 Year Average'!H177</f>
        <v>107006263.73782702</v>
      </c>
      <c r="S177" s="332">
        <f>+'20 Year Trend'!A177</f>
        <v>42917</v>
      </c>
      <c r="T177" s="339"/>
      <c r="U177" s="334">
        <f>+'20 Year Trend'!C177</f>
        <v>3.9330787128196012</v>
      </c>
      <c r="V177" s="334">
        <f ca="1">+'20 Year Trend'!D177</f>
        <v>132.31270466517984</v>
      </c>
      <c r="W177" s="335">
        <f>+'20 Year Trend'!E177</f>
        <v>7.5499999999999998E-2</v>
      </c>
      <c r="X177" s="336">
        <f>+'20 Year Trend'!F177</f>
        <v>31</v>
      </c>
      <c r="Y177" s="336">
        <f>+'20 Year Trend'!G177</f>
        <v>0</v>
      </c>
      <c r="Z177" s="337">
        <f ca="1">+'20 Year Trend'!H177</f>
        <v>106156836.09994954</v>
      </c>
    </row>
    <row r="178" spans="1:26">
      <c r="A178" s="332">
        <f>+'Purchased Power Model '!A178</f>
        <v>42948</v>
      </c>
      <c r="B178" s="339"/>
      <c r="C178" s="334">
        <f>+'Purchased Power Model '!C178</f>
        <v>9.5220558240898914</v>
      </c>
      <c r="D178" s="334">
        <f ca="1">+'Purchased Power Model '!D178</f>
        <v>76.138571194360154</v>
      </c>
      <c r="E178" s="335">
        <f>+'Purchased Power Model '!E178</f>
        <v>7.5499999999999998E-2</v>
      </c>
      <c r="F178" s="336">
        <f>+'Purchased Power Model '!F178</f>
        <v>31</v>
      </c>
      <c r="G178" s="336">
        <f>+'Purchased Power Model '!G178</f>
        <v>0</v>
      </c>
      <c r="H178" s="337">
        <f ca="1">+'Purchased Power Model '!H178</f>
        <v>98492191.549181893</v>
      </c>
      <c r="J178" s="332">
        <f>+'10 Year Average'!A178</f>
        <v>42948</v>
      </c>
      <c r="K178" s="339"/>
      <c r="L178" s="334">
        <f>+'10 Year Average'!C178</f>
        <v>10.090933847429062</v>
      </c>
      <c r="M178" s="334">
        <f ca="1">+'10 Year Average'!D178</f>
        <v>72.812687105500387</v>
      </c>
      <c r="N178" s="335">
        <f>+'10 Year Average'!E178</f>
        <v>7.5499999999999998E-2</v>
      </c>
      <c r="O178" s="336">
        <f>+'10 Year Average'!F178</f>
        <v>31</v>
      </c>
      <c r="P178" s="336">
        <f>+'10 Year Average'!G178</f>
        <v>0</v>
      </c>
      <c r="Q178" s="337">
        <f ca="1">+'10 Year Average'!H178</f>
        <v>98047948.759023011</v>
      </c>
      <c r="S178" s="332">
        <f>+'20 Year Trend'!A178</f>
        <v>42948</v>
      </c>
      <c r="T178" s="339"/>
      <c r="U178" s="334">
        <f>+'20 Year Trend'!C178</f>
        <v>9.8326967820490019</v>
      </c>
      <c r="V178" s="334">
        <f ca="1">+'20 Year Trend'!D178</f>
        <v>69.644596364671926</v>
      </c>
      <c r="W178" s="335">
        <f>+'20 Year Trend'!E178</f>
        <v>7.5499999999999998E-2</v>
      </c>
      <c r="X178" s="336">
        <f>+'20 Year Trend'!F178</f>
        <v>31</v>
      </c>
      <c r="Y178" s="336">
        <f>+'20 Year Trend'!G178</f>
        <v>0</v>
      </c>
      <c r="Z178" s="337">
        <f ca="1">+'20 Year Trend'!H178</f>
        <v>97592655.049331784</v>
      </c>
    </row>
    <row r="179" spans="1:26">
      <c r="A179" s="332">
        <f>+'Purchased Power Model '!A179</f>
        <v>42979</v>
      </c>
      <c r="B179" s="339"/>
      <c r="C179" s="334">
        <f>+'Purchased Power Model '!C179</f>
        <v>83.620962964280309</v>
      </c>
      <c r="D179" s="334">
        <f ca="1">+'Purchased Power Model '!D179</f>
        <v>20.64551930486105</v>
      </c>
      <c r="E179" s="335">
        <f>+'Purchased Power Model '!E179</f>
        <v>7.5499999999999998E-2</v>
      </c>
      <c r="F179" s="336">
        <f>+'Purchased Power Model '!F179</f>
        <v>30</v>
      </c>
      <c r="G179" s="336">
        <f>+'Purchased Power Model '!G179</f>
        <v>1</v>
      </c>
      <c r="H179" s="337">
        <f ca="1">+'Purchased Power Model '!H179</f>
        <v>83610721.644487754</v>
      </c>
      <c r="J179" s="332">
        <f>+'10 Year Average'!A179</f>
        <v>42979</v>
      </c>
      <c r="K179" s="339"/>
      <c r="L179" s="334">
        <f>+'10 Year Average'!C179</f>
        <v>88.616746332877042</v>
      </c>
      <c r="M179" s="334">
        <f ca="1">+'10 Year Average'!D179</f>
        <v>19.743681995791995</v>
      </c>
      <c r="N179" s="335">
        <f>+'10 Year Average'!E179</f>
        <v>7.5499999999999998E-2</v>
      </c>
      <c r="O179" s="336">
        <f>+'10 Year Average'!F179</f>
        <v>30</v>
      </c>
      <c r="P179" s="336">
        <f>+'10 Year Average'!G179</f>
        <v>1</v>
      </c>
      <c r="Q179" s="337">
        <f ca="1">+'10 Year Average'!H179</f>
        <v>83684664.871724352</v>
      </c>
      <c r="S179" s="332">
        <f>+'20 Year Trend'!A179</f>
        <v>42979</v>
      </c>
      <c r="T179" s="339"/>
      <c r="U179" s="334">
        <f>+'20 Year Trend'!C179</f>
        <v>86.348955376903064</v>
      </c>
      <c r="V179" s="334">
        <f ca="1">+'20 Year Trend'!D179</f>
        <v>18.884631484030216</v>
      </c>
      <c r="W179" s="335">
        <f>+'20 Year Trend'!E179</f>
        <v>7.5499999999999998E-2</v>
      </c>
      <c r="X179" s="336">
        <f>+'20 Year Trend'!F179</f>
        <v>30</v>
      </c>
      <c r="Y179" s="336">
        <f>+'20 Year Trend'!G179</f>
        <v>1</v>
      </c>
      <c r="Z179" s="337">
        <f ca="1">+'20 Year Trend'!H179</f>
        <v>83472961.295390859</v>
      </c>
    </row>
    <row r="180" spans="1:26">
      <c r="A180" s="332">
        <f>+'Purchased Power Model '!A180</f>
        <v>43009</v>
      </c>
      <c r="B180" s="339"/>
      <c r="C180" s="334">
        <f>+'Purchased Power Model '!C180</f>
        <v>191.30675792035146</v>
      </c>
      <c r="D180" s="334">
        <f ca="1">+'Purchased Power Model '!D180</f>
        <v>3.9450036888269517</v>
      </c>
      <c r="E180" s="335">
        <f>+'Purchased Power Model '!E180</f>
        <v>7.5499999999999998E-2</v>
      </c>
      <c r="F180" s="336">
        <f>+'Purchased Power Model '!F180</f>
        <v>31</v>
      </c>
      <c r="G180" s="336">
        <f>+'Purchased Power Model '!G180</f>
        <v>1</v>
      </c>
      <c r="H180" s="337">
        <f ca="1">+'Purchased Power Model '!H180</f>
        <v>88423772.211586326</v>
      </c>
      <c r="J180" s="332">
        <f>+'10 Year Average'!A180</f>
        <v>43009</v>
      </c>
      <c r="K180" s="339"/>
      <c r="L180" s="334">
        <f>+'10 Year Average'!C180</f>
        <v>202.73603457107481</v>
      </c>
      <c r="M180" s="334">
        <f ca="1">+'10 Year Average'!D180</f>
        <v>3.772678088367897</v>
      </c>
      <c r="N180" s="335">
        <f>+'10 Year Average'!E180</f>
        <v>7.5499999999999998E-2</v>
      </c>
      <c r="O180" s="336">
        <f>+'10 Year Average'!F180</f>
        <v>31</v>
      </c>
      <c r="P180" s="336">
        <f>+'10 Year Average'!G180</f>
        <v>1</v>
      </c>
      <c r="Q180" s="337">
        <f ca="1">+'10 Year Average'!H180</f>
        <v>88858492.947047696</v>
      </c>
      <c r="S180" s="332">
        <f>+'20 Year Trend'!A180</f>
        <v>43009</v>
      </c>
      <c r="T180" s="339"/>
      <c r="U180" s="334">
        <f>+'20 Year Trend'!C180</f>
        <v>197.54781716662086</v>
      </c>
      <c r="V180" s="334">
        <f ca="1">+'20 Year Trend'!D180</f>
        <v>3.6085283090503597</v>
      </c>
      <c r="W180" s="335">
        <f>+'20 Year Trend'!E180</f>
        <v>7.5499999999999998E-2</v>
      </c>
      <c r="X180" s="336">
        <f>+'20 Year Trend'!F180</f>
        <v>31</v>
      </c>
      <c r="Y180" s="336">
        <f>+'20 Year Trend'!G180</f>
        <v>1</v>
      </c>
      <c r="Z180" s="337">
        <f ca="1">+'20 Year Trend'!H180</f>
        <v>88627116.323205397</v>
      </c>
    </row>
    <row r="181" spans="1:26">
      <c r="A181" s="332">
        <f>+'Purchased Power Model '!A181</f>
        <v>43040</v>
      </c>
      <c r="B181" s="339"/>
      <c r="C181" s="334">
        <f>+'Purchased Power Model '!C181</f>
        <v>396.98316372069308</v>
      </c>
      <c r="D181" s="334">
        <f ca="1">+'Purchased Power Model '!D181</f>
        <v>0</v>
      </c>
      <c r="E181" s="335">
        <f>+'Purchased Power Model '!E181</f>
        <v>7.5499999999999998E-2</v>
      </c>
      <c r="F181" s="336">
        <f>+'Purchased Power Model '!F181</f>
        <v>30</v>
      </c>
      <c r="G181" s="336">
        <f>+'Purchased Power Model '!G181</f>
        <v>1</v>
      </c>
      <c r="H181" s="337">
        <f ca="1">+'Purchased Power Model '!H181</f>
        <v>93293773.135335863</v>
      </c>
      <c r="J181" s="332">
        <f>+'10 Year Average'!A181</f>
        <v>43040</v>
      </c>
      <c r="K181" s="339"/>
      <c r="L181" s="334">
        <f>+'10 Year Average'!C181</f>
        <v>420.70020567554263</v>
      </c>
      <c r="M181" s="334">
        <f ca="1">+'10 Year Average'!D181</f>
        <v>0</v>
      </c>
      <c r="N181" s="335">
        <f>+'10 Year Average'!E181</f>
        <v>7.5499999999999998E-2</v>
      </c>
      <c r="O181" s="336">
        <f>+'10 Year Average'!F181</f>
        <v>30</v>
      </c>
      <c r="P181" s="336">
        <f>+'10 Year Average'!G181</f>
        <v>1</v>
      </c>
      <c r="Q181" s="337">
        <f ca="1">+'10 Year Average'!H181</f>
        <v>94246088.270310074</v>
      </c>
      <c r="S181" s="332">
        <f>+'20 Year Trend'!A181</f>
        <v>43040</v>
      </c>
      <c r="T181" s="339"/>
      <c r="U181" s="334">
        <f>+'20 Year Trend'!C181</f>
        <v>409.93406765887937</v>
      </c>
      <c r="V181" s="334">
        <f ca="1">+'20 Year Trend'!D181</f>
        <v>0</v>
      </c>
      <c r="W181" s="335">
        <f>+'20 Year Trend'!E181</f>
        <v>7.5499999999999998E-2</v>
      </c>
      <c r="X181" s="336">
        <f>+'20 Year Trend'!F181</f>
        <v>30</v>
      </c>
      <c r="Y181" s="336">
        <f>+'20 Year Trend'!G181</f>
        <v>1</v>
      </c>
      <c r="Z181" s="337">
        <f ca="1">+'20 Year Trend'!H181</f>
        <v>93813793.374597192</v>
      </c>
    </row>
    <row r="182" spans="1:26">
      <c r="A182" s="332">
        <f>+'Purchased Power Model '!A182</f>
        <v>43070</v>
      </c>
      <c r="B182" s="339"/>
      <c r="C182" s="334">
        <f>+'Purchased Power Model '!C182</f>
        <v>409.27527214815461</v>
      </c>
      <c r="D182" s="334">
        <f ca="1">+'Purchased Power Model '!D182</f>
        <v>0</v>
      </c>
      <c r="E182" s="335">
        <f>+'Purchased Power Model '!E182</f>
        <v>7.5499999999999998E-2</v>
      </c>
      <c r="F182" s="336">
        <f>+'Purchased Power Model '!F182</f>
        <v>31</v>
      </c>
      <c r="G182" s="336">
        <f>+'Purchased Power Model '!G182</f>
        <v>0</v>
      </c>
      <c r="H182" s="337">
        <f ca="1">+'Purchased Power Model '!H182</f>
        <v>103850709.58771881</v>
      </c>
      <c r="J182" s="332">
        <f>+'10 Year Average'!A182</f>
        <v>43070</v>
      </c>
      <c r="K182" s="339"/>
      <c r="L182" s="334">
        <f>+'10 Year Average'!C182</f>
        <v>433.72668391495097</v>
      </c>
      <c r="M182" s="334">
        <f ca="1">+'10 Year Average'!D182</f>
        <v>0</v>
      </c>
      <c r="N182" s="335">
        <f>+'10 Year Average'!E182</f>
        <v>7.5499999999999998E-2</v>
      </c>
      <c r="O182" s="336">
        <f>+'10 Year Average'!F182</f>
        <v>31</v>
      </c>
      <c r="P182" s="336">
        <f>+'10 Year Average'!G182</f>
        <v>0</v>
      </c>
      <c r="Q182" s="337">
        <f ca="1">+'10 Year Average'!H182</f>
        <v>104832512.02081043</v>
      </c>
      <c r="S182" s="332">
        <f>+'20 Year Trend'!A182</f>
        <v>43070</v>
      </c>
      <c r="T182" s="339"/>
      <c r="U182" s="334">
        <f>+'20 Year Trend'!C182</f>
        <v>422.6271853229789</v>
      </c>
      <c r="V182" s="334">
        <f ca="1">+'20 Year Trend'!D182</f>
        <v>0</v>
      </c>
      <c r="W182" s="335">
        <f>+'20 Year Trend'!E182</f>
        <v>7.5499999999999998E-2</v>
      </c>
      <c r="X182" s="336">
        <f>+'20 Year Trend'!F182</f>
        <v>31</v>
      </c>
      <c r="Y182" s="336">
        <f>+'20 Year Trend'!G182</f>
        <v>0</v>
      </c>
      <c r="Z182" s="337">
        <f ca="1">+'20 Year Trend'!H182</f>
        <v>104386831.63116138</v>
      </c>
    </row>
    <row r="183" spans="1:26">
      <c r="A183" s="332">
        <f>+'Purchased Power Model '!A183</f>
        <v>43101</v>
      </c>
      <c r="B183" s="339"/>
      <c r="C183" s="334">
        <f>+'Purchased Power Model '!C183</f>
        <v>526.24303773676161</v>
      </c>
      <c r="D183" s="334">
        <f ca="1">+'Purchased Power Model '!D183</f>
        <v>0</v>
      </c>
      <c r="E183" s="335">
        <f>+'Purchased Power Model '!E183</f>
        <v>7.5499999999999998E-2</v>
      </c>
      <c r="F183" s="336">
        <f>+'Purchased Power Model '!F183</f>
        <v>31</v>
      </c>
      <c r="G183" s="336">
        <f>+'Purchased Power Model '!G183</f>
        <v>0</v>
      </c>
      <c r="H183" s="337">
        <f ca="1">+'Purchased Power Model '!H183</f>
        <v>108547339.70230909</v>
      </c>
      <c r="J183" s="332">
        <f>+'10 Year Average'!A183</f>
        <v>43101</v>
      </c>
      <c r="K183" s="339"/>
      <c r="L183" s="334">
        <f>+'10 Year Average'!C183</f>
        <v>564.54188088253147</v>
      </c>
      <c r="M183" s="334">
        <f ca="1">+'10 Year Average'!D183</f>
        <v>0</v>
      </c>
      <c r="N183" s="335">
        <f>+'10 Year Average'!E183</f>
        <v>7.5499999999999998E-2</v>
      </c>
      <c r="O183" s="336">
        <f>+'10 Year Average'!F183</f>
        <v>31</v>
      </c>
      <c r="P183" s="336">
        <f>+'10 Year Average'!G183</f>
        <v>0</v>
      </c>
      <c r="Q183" s="337">
        <f ca="1">+'10 Year Average'!H183</f>
        <v>110085160.82052246</v>
      </c>
      <c r="S183" s="332">
        <f>+'20 Year Trend'!A183</f>
        <v>43101</v>
      </c>
      <c r="T183" s="339"/>
      <c r="U183" s="334">
        <f>+'20 Year Trend'!C183</f>
        <v>550.09469087935975</v>
      </c>
      <c r="V183" s="334">
        <f ca="1">+'20 Year Trend'!D183</f>
        <v>0</v>
      </c>
      <c r="W183" s="335">
        <f>+'20 Year Trend'!E183</f>
        <v>7.5499999999999998E-2</v>
      </c>
      <c r="X183" s="336">
        <f>+'20 Year Trend'!F183</f>
        <v>31</v>
      </c>
      <c r="Y183" s="336">
        <f>+'20 Year Trend'!G183</f>
        <v>0</v>
      </c>
      <c r="Z183" s="337">
        <f ca="1">+'20 Year Trend'!H183</f>
        <v>109505059.907261</v>
      </c>
    </row>
    <row r="184" spans="1:26">
      <c r="A184" s="332">
        <f>+'Purchased Power Model '!A184</f>
        <v>43132</v>
      </c>
      <c r="B184" s="339"/>
      <c r="C184" s="334">
        <f>+'Purchased Power Model '!C184</f>
        <v>522.90805585965177</v>
      </c>
      <c r="D184" s="334">
        <f ca="1">+'Purchased Power Model '!D184</f>
        <v>0</v>
      </c>
      <c r="E184" s="335">
        <f>+'Purchased Power Model '!E184</f>
        <v>7.5499999999999998E-2</v>
      </c>
      <c r="F184" s="336">
        <f>+'Purchased Power Model '!F184</f>
        <v>28</v>
      </c>
      <c r="G184" s="336">
        <f>+'Purchased Power Model '!G184</f>
        <v>0</v>
      </c>
      <c r="H184" s="337">
        <f ca="1">+'Purchased Power Model '!H184</f>
        <v>99909836.039609879</v>
      </c>
      <c r="J184" s="332">
        <f>+'10 Year Average'!A184</f>
        <v>43132</v>
      </c>
      <c r="K184" s="339"/>
      <c r="L184" s="334">
        <f>+'10 Year Average'!C184</f>
        <v>560.96418615480661</v>
      </c>
      <c r="M184" s="334">
        <f ca="1">+'10 Year Average'!D184</f>
        <v>0</v>
      </c>
      <c r="N184" s="335">
        <f>+'10 Year Average'!E184</f>
        <v>7.5499999999999998E-2</v>
      </c>
      <c r="O184" s="336">
        <f>+'10 Year Average'!F184</f>
        <v>28</v>
      </c>
      <c r="P184" s="336">
        <f>+'10 Year Average'!G184</f>
        <v>0</v>
      </c>
      <c r="Q184" s="337">
        <f ca="1">+'10 Year Average'!H184</f>
        <v>101437911.46012902</v>
      </c>
      <c r="S184" s="332">
        <f>+'20 Year Trend'!A184</f>
        <v>43132</v>
      </c>
      <c r="T184" s="339"/>
      <c r="U184" s="334">
        <f>+'20 Year Trend'!C184</f>
        <v>546.60855292936048</v>
      </c>
      <c r="V184" s="334">
        <f ca="1">+'20 Year Trend'!D184</f>
        <v>0</v>
      </c>
      <c r="W184" s="335">
        <f>+'20 Year Trend'!E184</f>
        <v>7.5499999999999998E-2</v>
      </c>
      <c r="X184" s="336">
        <f>+'20 Year Trend'!F184</f>
        <v>28</v>
      </c>
      <c r="Y184" s="336">
        <f>+'20 Year Trend'!G184</f>
        <v>0</v>
      </c>
      <c r="Z184" s="337">
        <f ca="1">+'20 Year Trend'!H184</f>
        <v>100861486.84449792</v>
      </c>
    </row>
    <row r="185" spans="1:26">
      <c r="A185" s="332">
        <f>+'Purchased Power Model '!A185</f>
        <v>43160</v>
      </c>
      <c r="B185" s="339"/>
      <c r="C185" s="334">
        <f>+'Purchased Power Model '!C185</f>
        <v>466.04233923713849</v>
      </c>
      <c r="D185" s="334">
        <f ca="1">+'Purchased Power Model '!D185</f>
        <v>0</v>
      </c>
      <c r="E185" s="335">
        <f>+'Purchased Power Model '!E185</f>
        <v>7.5499999999999998E-2</v>
      </c>
      <c r="F185" s="336">
        <f>+'Purchased Power Model '!F185</f>
        <v>31</v>
      </c>
      <c r="G185" s="336">
        <f>+'Purchased Power Model '!G185</f>
        <v>1</v>
      </c>
      <c r="H185" s="337">
        <f ca="1">+'Purchased Power Model '!H185</f>
        <v>98901251.194867387</v>
      </c>
      <c r="J185" s="332">
        <f>+'10 Year Average'!A185</f>
        <v>43160</v>
      </c>
      <c r="K185" s="339"/>
      <c r="L185" s="334">
        <f>+'10 Year Average'!C185</f>
        <v>499.95990425898538</v>
      </c>
      <c r="M185" s="334">
        <f ca="1">+'10 Year Average'!D185</f>
        <v>0</v>
      </c>
      <c r="N185" s="335">
        <f>+'10 Year Average'!E185</f>
        <v>7.5499999999999998E-2</v>
      </c>
      <c r="O185" s="336">
        <f>+'10 Year Average'!F185</f>
        <v>31</v>
      </c>
      <c r="P185" s="336">
        <f>+'10 Year Average'!G185</f>
        <v>1</v>
      </c>
      <c r="Q185" s="337">
        <f ca="1">+'10 Year Average'!H185</f>
        <v>100263149.9752156</v>
      </c>
      <c r="S185" s="332">
        <f>+'20 Year Trend'!A185</f>
        <v>43160</v>
      </c>
      <c r="T185" s="339"/>
      <c r="U185" s="334">
        <f>+'20 Year Trend'!C185</f>
        <v>487.16543147424602</v>
      </c>
      <c r="V185" s="334">
        <f ca="1">+'20 Year Trend'!D185</f>
        <v>0</v>
      </c>
      <c r="W185" s="335">
        <f>+'20 Year Trend'!E185</f>
        <v>7.5499999999999998E-2</v>
      </c>
      <c r="X185" s="336">
        <f>+'20 Year Trend'!F185</f>
        <v>31</v>
      </c>
      <c r="Y185" s="336">
        <f>+'20 Year Trend'!G185</f>
        <v>1</v>
      </c>
      <c r="Z185" s="337">
        <f ca="1">+'20 Year Trend'!H185</f>
        <v>99749410.947384104</v>
      </c>
    </row>
    <row r="186" spans="1:26">
      <c r="A186" s="332">
        <f>+'Purchased Power Model '!A186</f>
        <v>43191</v>
      </c>
      <c r="B186" s="339"/>
      <c r="C186" s="334">
        <f>+'Purchased Power Model '!C186</f>
        <v>313.40278409249765</v>
      </c>
      <c r="D186" s="334">
        <f ca="1">+'Purchased Power Model '!D186</f>
        <v>0</v>
      </c>
      <c r="E186" s="335">
        <f>+'Purchased Power Model '!E186</f>
        <v>7.5499999999999998E-2</v>
      </c>
      <c r="F186" s="336">
        <f>+'Purchased Power Model '!F186</f>
        <v>30</v>
      </c>
      <c r="G186" s="336">
        <f>+'Purchased Power Model '!G186</f>
        <v>1</v>
      </c>
      <c r="H186" s="337">
        <f ca="1">+'Purchased Power Model '!H186</f>
        <v>89937753.415071115</v>
      </c>
      <c r="J186" s="332">
        <f>+'10 Year Average'!A186</f>
        <v>43191</v>
      </c>
      <c r="K186" s="339"/>
      <c r="L186" s="334">
        <f>+'10 Year Average'!C186</f>
        <v>336.21156864388644</v>
      </c>
      <c r="M186" s="334">
        <f ca="1">+'10 Year Average'!D186</f>
        <v>0</v>
      </c>
      <c r="N186" s="335">
        <f>+'10 Year Average'!E186</f>
        <v>7.5499999999999998E-2</v>
      </c>
      <c r="O186" s="336">
        <f>+'10 Year Average'!F186</f>
        <v>30</v>
      </c>
      <c r="P186" s="336">
        <f>+'10 Year Average'!G186</f>
        <v>1</v>
      </c>
      <c r="Q186" s="337">
        <f ca="1">+'10 Year Average'!H186</f>
        <v>90853599.108644739</v>
      </c>
      <c r="S186" s="332">
        <f>+'20 Year Trend'!A186</f>
        <v>43191</v>
      </c>
      <c r="T186" s="339"/>
      <c r="U186" s="334">
        <f>+'20 Year Trend'!C186</f>
        <v>327.6075791473599</v>
      </c>
      <c r="V186" s="334">
        <f ca="1">+'20 Year Trend'!D186</f>
        <v>0</v>
      </c>
      <c r="W186" s="335">
        <f>+'20 Year Trend'!E186</f>
        <v>7.5499999999999998E-2</v>
      </c>
      <c r="X186" s="336">
        <f>+'20 Year Trend'!F186</f>
        <v>30</v>
      </c>
      <c r="Y186" s="336">
        <f>+'20 Year Trend'!G186</f>
        <v>1</v>
      </c>
      <c r="Z186" s="337">
        <f ca="1">+'20 Year Trend'!H186</f>
        <v>90508121.395433277</v>
      </c>
    </row>
    <row r="187" spans="1:26">
      <c r="A187" s="332">
        <f>+'Purchased Power Model '!A187</f>
        <v>43221</v>
      </c>
      <c r="B187" s="339"/>
      <c r="C187" s="334">
        <f>+'Purchased Power Model '!C187</f>
        <v>114.07348266831977</v>
      </c>
      <c r="D187" s="334">
        <f ca="1">+'Purchased Power Model '!D187</f>
        <v>4.0315435691450112</v>
      </c>
      <c r="E187" s="335">
        <f>+'Purchased Power Model '!E187</f>
        <v>7.5499999999999998E-2</v>
      </c>
      <c r="F187" s="336">
        <f>+'Purchased Power Model '!F187</f>
        <v>31</v>
      </c>
      <c r="G187" s="336">
        <f>+'Purchased Power Model '!G187</f>
        <v>1</v>
      </c>
      <c r="H187" s="337">
        <f ca="1">+'Purchased Power Model '!H187</f>
        <v>85334762.650550917</v>
      </c>
      <c r="J187" s="332">
        <f>+'10 Year Average'!A187</f>
        <v>43221</v>
      </c>
      <c r="K187" s="339"/>
      <c r="L187" s="334">
        <f>+'10 Year Average'!C187</f>
        <v>122.37550684063973</v>
      </c>
      <c r="M187" s="334">
        <f ca="1">+'10 Year Average'!D187</f>
        <v>3.772678088367897</v>
      </c>
      <c r="N187" s="335">
        <f>+'10 Year Average'!E187</f>
        <v>7.5499999999999998E-2</v>
      </c>
      <c r="O187" s="336">
        <f>+'10 Year Average'!F187</f>
        <v>31</v>
      </c>
      <c r="P187" s="336">
        <f>+'10 Year Average'!G187</f>
        <v>1</v>
      </c>
      <c r="Q187" s="337">
        <f ca="1">+'10 Year Average'!H187</f>
        <v>85631760.584812269</v>
      </c>
      <c r="S187" s="332">
        <f>+'20 Year Trend'!A187</f>
        <v>43221</v>
      </c>
      <c r="T187" s="339"/>
      <c r="U187" s="334">
        <f>+'20 Year Trend'!C187</f>
        <v>119.24379552048516</v>
      </c>
      <c r="V187" s="334">
        <f ca="1">+'20 Year Trend'!D187</f>
        <v>3.6085283090503597</v>
      </c>
      <c r="W187" s="335">
        <f>+'20 Year Trend'!E187</f>
        <v>7.5499999999999998E-2</v>
      </c>
      <c r="X187" s="336">
        <f>+'20 Year Trend'!F187</f>
        <v>31</v>
      </c>
      <c r="Y187" s="336">
        <f>+'20 Year Trend'!G187</f>
        <v>1</v>
      </c>
      <c r="Z187" s="337">
        <f ca="1">+'20 Year Trend'!H187</f>
        <v>85482959.261590213</v>
      </c>
    </row>
    <row r="188" spans="1:26">
      <c r="A188" s="332">
        <f>+'Purchased Power Model '!A188</f>
        <v>43252</v>
      </c>
      <c r="B188" s="339"/>
      <c r="C188" s="334">
        <f>+'Purchased Power Model '!C188</f>
        <v>36.684800648207784</v>
      </c>
      <c r="D188" s="334">
        <f ca="1">+'Purchased Power Model '!D188</f>
        <v>43.271900975489793</v>
      </c>
      <c r="E188" s="335">
        <f>+'Purchased Power Model '!E188</f>
        <v>7.5499999999999998E-2</v>
      </c>
      <c r="F188" s="336">
        <f>+'Purchased Power Model '!F188</f>
        <v>30</v>
      </c>
      <c r="G188" s="336">
        <f>+'Purchased Power Model '!G188</f>
        <v>0</v>
      </c>
      <c r="H188" s="337">
        <f ca="1">+'Purchased Power Model '!H188</f>
        <v>92132557.093596503</v>
      </c>
      <c r="J188" s="332">
        <f>+'10 Year Average'!A188</f>
        <v>43252</v>
      </c>
      <c r="K188" s="339"/>
      <c r="L188" s="334">
        <f>+'10 Year Average'!C188</f>
        <v>39.35464200497335</v>
      </c>
      <c r="M188" s="334">
        <f ca="1">+'10 Year Average'!D188</f>
        <v>40.493411481815428</v>
      </c>
      <c r="N188" s="335">
        <f>+'10 Year Average'!E188</f>
        <v>7.5499999999999998E-2</v>
      </c>
      <c r="O188" s="336">
        <f>+'10 Year Average'!F188</f>
        <v>30</v>
      </c>
      <c r="P188" s="336">
        <f>+'10 Year Average'!G188</f>
        <v>0</v>
      </c>
      <c r="Q188" s="337">
        <f ca="1">+'10 Year Average'!H188</f>
        <v>91849550.4565157</v>
      </c>
      <c r="S188" s="332">
        <f>+'20 Year Trend'!A188</f>
        <v>43252</v>
      </c>
      <c r="T188" s="339"/>
      <c r="U188" s="334">
        <f>+'20 Year Trend'!C188</f>
        <v>38.347517449991116</v>
      </c>
      <c r="V188" s="334">
        <f ca="1">+'20 Year Trend'!D188</f>
        <v>38.731537183807198</v>
      </c>
      <c r="W188" s="335">
        <f>+'20 Year Trend'!E188</f>
        <v>7.5499999999999998E-2</v>
      </c>
      <c r="X188" s="336">
        <f>+'20 Year Trend'!F188</f>
        <v>30</v>
      </c>
      <c r="Y188" s="336">
        <f>+'20 Year Trend'!G188</f>
        <v>0</v>
      </c>
      <c r="Z188" s="337">
        <f ca="1">+'20 Year Trend'!H188</f>
        <v>91561674.667625204</v>
      </c>
    </row>
    <row r="189" spans="1:26">
      <c r="A189" s="332">
        <f>+'Purchased Power Model '!A189</f>
        <v>43282</v>
      </c>
      <c r="B189" s="339"/>
      <c r="C189" s="334">
        <f>+'Purchased Power Model '!C189</f>
        <v>3.7625436562264398</v>
      </c>
      <c r="D189" s="334">
        <f ca="1">+'Purchased Power Model '!D189</f>
        <v>147.82326420198373</v>
      </c>
      <c r="E189" s="335">
        <f>+'Purchased Power Model '!E189</f>
        <v>7.5499999999999998E-2</v>
      </c>
      <c r="F189" s="336">
        <f>+'Purchased Power Model '!F189</f>
        <v>31</v>
      </c>
      <c r="G189" s="336">
        <f>+'Purchased Power Model '!G189</f>
        <v>0</v>
      </c>
      <c r="H189" s="337">
        <f ca="1">+'Purchased Power Model '!H189</f>
        <v>108328281.76838474</v>
      </c>
      <c r="J189" s="332">
        <f>+'10 Year Average'!A189</f>
        <v>43282</v>
      </c>
      <c r="K189" s="339"/>
      <c r="L189" s="334">
        <f>+'10 Year Average'!C189</f>
        <v>4.0363735389716258</v>
      </c>
      <c r="M189" s="334">
        <f ca="1">+'10 Year Average'!D189</f>
        <v>138.33152990682285</v>
      </c>
      <c r="N189" s="335">
        <f>+'10 Year Average'!E189</f>
        <v>7.5499999999999998E-2</v>
      </c>
      <c r="O189" s="336">
        <f>+'10 Year Average'!F189</f>
        <v>31</v>
      </c>
      <c r="P189" s="336">
        <f>+'10 Year Average'!G189</f>
        <v>0</v>
      </c>
      <c r="Q189" s="337">
        <f ca="1">+'10 Year Average'!H189</f>
        <v>107006263.73782702</v>
      </c>
      <c r="S189" s="332">
        <f>+'20 Year Trend'!A189</f>
        <v>43282</v>
      </c>
      <c r="T189" s="339"/>
      <c r="U189" s="334">
        <f>+'20 Year Trend'!C189</f>
        <v>3.9330787128196012</v>
      </c>
      <c r="V189" s="334">
        <f ca="1">+'20 Year Trend'!D189</f>
        <v>132.31270466517984</v>
      </c>
      <c r="W189" s="335">
        <f>+'20 Year Trend'!E189</f>
        <v>7.5499999999999998E-2</v>
      </c>
      <c r="X189" s="336">
        <f>+'20 Year Trend'!F189</f>
        <v>31</v>
      </c>
      <c r="Y189" s="336">
        <f>+'20 Year Trend'!G189</f>
        <v>0</v>
      </c>
      <c r="Z189" s="337">
        <f ca="1">+'20 Year Trend'!H189</f>
        <v>106156836.09994954</v>
      </c>
    </row>
    <row r="190" spans="1:26">
      <c r="A190" s="332">
        <f>+'Purchased Power Model '!A190</f>
        <v>43313</v>
      </c>
      <c r="B190" s="339"/>
      <c r="C190" s="334">
        <f>+'Purchased Power Model '!C190</f>
        <v>9.4063591405660976</v>
      </c>
      <c r="D190" s="334">
        <f ca="1">+'Purchased Power Model '!D190</f>
        <v>77.808790884498691</v>
      </c>
      <c r="E190" s="335">
        <f>+'Purchased Power Model '!E190</f>
        <v>7.5499999999999998E-2</v>
      </c>
      <c r="F190" s="336">
        <f>+'Purchased Power Model '!F190</f>
        <v>31</v>
      </c>
      <c r="G190" s="336">
        <f>+'Purchased Power Model '!G190</f>
        <v>0</v>
      </c>
      <c r="H190" s="337">
        <f ca="1">+'Purchased Power Model '!H190</f>
        <v>98722110.5567265</v>
      </c>
      <c r="J190" s="332">
        <f>+'10 Year Average'!A190</f>
        <v>43313</v>
      </c>
      <c r="K190" s="339"/>
      <c r="L190" s="334">
        <f>+'10 Year Average'!C190</f>
        <v>10.090933847429062</v>
      </c>
      <c r="M190" s="334">
        <f ca="1">+'10 Year Average'!D190</f>
        <v>72.812687105500387</v>
      </c>
      <c r="N190" s="335">
        <f>+'10 Year Average'!E190</f>
        <v>7.5499999999999998E-2</v>
      </c>
      <c r="O190" s="336">
        <f>+'10 Year Average'!F190</f>
        <v>31</v>
      </c>
      <c r="P190" s="336">
        <f>+'10 Year Average'!G190</f>
        <v>0</v>
      </c>
      <c r="Q190" s="337">
        <f ca="1">+'10 Year Average'!H190</f>
        <v>98047948.759023011</v>
      </c>
      <c r="S190" s="332">
        <f>+'20 Year Trend'!A190</f>
        <v>43313</v>
      </c>
      <c r="T190" s="339"/>
      <c r="U190" s="334">
        <f>+'20 Year Trend'!C190</f>
        <v>9.8326967820490019</v>
      </c>
      <c r="V190" s="334">
        <f ca="1">+'20 Year Trend'!D190</f>
        <v>69.644596364671926</v>
      </c>
      <c r="W190" s="335">
        <f>+'20 Year Trend'!E190</f>
        <v>7.5499999999999998E-2</v>
      </c>
      <c r="X190" s="336">
        <f>+'20 Year Trend'!F190</f>
        <v>31</v>
      </c>
      <c r="Y190" s="336">
        <f>+'20 Year Trend'!G190</f>
        <v>0</v>
      </c>
      <c r="Z190" s="337">
        <f ca="1">+'20 Year Trend'!H190</f>
        <v>97592655.049331784</v>
      </c>
    </row>
    <row r="191" spans="1:26">
      <c r="A191" s="332">
        <f>+'Purchased Power Model '!A191</f>
        <v>43344</v>
      </c>
      <c r="B191" s="339"/>
      <c r="C191" s="334">
        <f>+'Purchased Power Model '!C191</f>
        <v>82.604935725334997</v>
      </c>
      <c r="D191" s="334">
        <f ca="1">+'Purchased Power Model '!D191</f>
        <v>21.098411345192229</v>
      </c>
      <c r="E191" s="335">
        <f>+'Purchased Power Model '!E191</f>
        <v>7.5499999999999998E-2</v>
      </c>
      <c r="F191" s="336">
        <f>+'Purchased Power Model '!F191</f>
        <v>30</v>
      </c>
      <c r="G191" s="336">
        <f>+'Purchased Power Model '!G191</f>
        <v>1</v>
      </c>
      <c r="H191" s="337">
        <f ca="1">+'Purchased Power Model '!H191</f>
        <v>83633528.771744937</v>
      </c>
      <c r="J191" s="332">
        <f>+'10 Year Average'!A191</f>
        <v>43344</v>
      </c>
      <c r="K191" s="339"/>
      <c r="L191" s="334">
        <f>+'10 Year Average'!C191</f>
        <v>88.616746332877042</v>
      </c>
      <c r="M191" s="334">
        <f ca="1">+'10 Year Average'!D191</f>
        <v>19.743681995791995</v>
      </c>
      <c r="N191" s="335">
        <f>+'10 Year Average'!E191</f>
        <v>7.5499999999999998E-2</v>
      </c>
      <c r="O191" s="336">
        <f>+'10 Year Average'!F191</f>
        <v>30</v>
      </c>
      <c r="P191" s="336">
        <f>+'10 Year Average'!G191</f>
        <v>1</v>
      </c>
      <c r="Q191" s="337">
        <f ca="1">+'10 Year Average'!H191</f>
        <v>83684664.871724352</v>
      </c>
      <c r="S191" s="332">
        <f>+'20 Year Trend'!A191</f>
        <v>43344</v>
      </c>
      <c r="T191" s="339"/>
      <c r="U191" s="334">
        <f>+'20 Year Trend'!C191</f>
        <v>86.348955376903064</v>
      </c>
      <c r="V191" s="334">
        <f ca="1">+'20 Year Trend'!D191</f>
        <v>18.884631484030216</v>
      </c>
      <c r="W191" s="335">
        <f>+'20 Year Trend'!E191</f>
        <v>7.5499999999999998E-2</v>
      </c>
      <c r="X191" s="336">
        <f>+'20 Year Trend'!F191</f>
        <v>30</v>
      </c>
      <c r="Y191" s="336">
        <f>+'20 Year Trend'!G191</f>
        <v>1</v>
      </c>
      <c r="Z191" s="337">
        <f ca="1">+'20 Year Trend'!H191</f>
        <v>83472961.295390859</v>
      </c>
    </row>
    <row r="192" spans="1:26">
      <c r="A192" s="332">
        <f>+'Purchased Power Model '!A192</f>
        <v>43374</v>
      </c>
      <c r="B192" s="339"/>
      <c r="C192" s="334">
        <f>+'Purchased Power Model '!C192</f>
        <v>188.98230636955523</v>
      </c>
      <c r="D192" s="334">
        <f ca="1">+'Purchased Power Model '!D192</f>
        <v>4.0315435691450112</v>
      </c>
      <c r="E192" s="335">
        <f>+'Purchased Power Model '!E192</f>
        <v>7.5499999999999998E-2</v>
      </c>
      <c r="F192" s="336">
        <f>+'Purchased Power Model '!F192</f>
        <v>31</v>
      </c>
      <c r="G192" s="336">
        <f>+'Purchased Power Model '!G192</f>
        <v>1</v>
      </c>
      <c r="H192" s="337">
        <f ca="1">+'Purchased Power Model '!H192</f>
        <v>88342591.64919278</v>
      </c>
      <c r="J192" s="332">
        <f>+'10 Year Average'!A192</f>
        <v>43374</v>
      </c>
      <c r="K192" s="339"/>
      <c r="L192" s="334">
        <f>+'10 Year Average'!C192</f>
        <v>202.73603457107481</v>
      </c>
      <c r="M192" s="334">
        <f ca="1">+'10 Year Average'!D192</f>
        <v>3.772678088367897</v>
      </c>
      <c r="N192" s="335">
        <f>+'10 Year Average'!E192</f>
        <v>7.5499999999999998E-2</v>
      </c>
      <c r="O192" s="336">
        <f>+'10 Year Average'!F192</f>
        <v>31</v>
      </c>
      <c r="P192" s="336">
        <f>+'10 Year Average'!G192</f>
        <v>1</v>
      </c>
      <c r="Q192" s="337">
        <f ca="1">+'10 Year Average'!H192</f>
        <v>88858492.947047696</v>
      </c>
      <c r="S192" s="332">
        <f>+'20 Year Trend'!A192</f>
        <v>43374</v>
      </c>
      <c r="T192" s="339"/>
      <c r="U192" s="334">
        <f>+'20 Year Trend'!C192</f>
        <v>197.54781716662086</v>
      </c>
      <c r="V192" s="334">
        <f ca="1">+'20 Year Trend'!D192</f>
        <v>3.6085283090503597</v>
      </c>
      <c r="W192" s="335">
        <f>+'20 Year Trend'!E192</f>
        <v>7.5499999999999998E-2</v>
      </c>
      <c r="X192" s="336">
        <f>+'20 Year Trend'!F192</f>
        <v>31</v>
      </c>
      <c r="Y192" s="336">
        <f>+'20 Year Trend'!G192</f>
        <v>1</v>
      </c>
      <c r="Z192" s="337">
        <f ca="1">+'20 Year Trend'!H192</f>
        <v>88627116.323205397</v>
      </c>
    </row>
    <row r="193" spans="1:26">
      <c r="A193" s="332">
        <f>+'Purchased Power Model '!A193</f>
        <v>43405</v>
      </c>
      <c r="B193" s="339"/>
      <c r="C193" s="334">
        <f>+'Purchased Power Model '!C193</f>
        <v>392.15966380578294</v>
      </c>
      <c r="D193" s="334">
        <f ca="1">+'Purchased Power Model '!D193</f>
        <v>0</v>
      </c>
      <c r="E193" s="335">
        <f>+'Purchased Power Model '!E193</f>
        <v>7.5499999999999998E-2</v>
      </c>
      <c r="F193" s="336">
        <f>+'Purchased Power Model '!F193</f>
        <v>30</v>
      </c>
      <c r="G193" s="336">
        <f>+'Purchased Power Model '!G193</f>
        <v>1</v>
      </c>
      <c r="H193" s="337">
        <f ca="1">+'Purchased Power Model '!H193</f>
        <v>93100094.177341834</v>
      </c>
      <c r="J193" s="332">
        <f>+'10 Year Average'!A193</f>
        <v>43405</v>
      </c>
      <c r="K193" s="339"/>
      <c r="L193" s="334">
        <f>+'10 Year Average'!C193</f>
        <v>420.70020567554263</v>
      </c>
      <c r="M193" s="334">
        <f ca="1">+'10 Year Average'!D193</f>
        <v>0</v>
      </c>
      <c r="N193" s="335">
        <f>+'10 Year Average'!E193</f>
        <v>7.5499999999999998E-2</v>
      </c>
      <c r="O193" s="336">
        <f>+'10 Year Average'!F193</f>
        <v>30</v>
      </c>
      <c r="P193" s="336">
        <f>+'10 Year Average'!G193</f>
        <v>1</v>
      </c>
      <c r="Q193" s="337">
        <f ca="1">+'10 Year Average'!H193</f>
        <v>94246088.270310074</v>
      </c>
      <c r="S193" s="332">
        <f>+'20 Year Trend'!A193</f>
        <v>43405</v>
      </c>
      <c r="T193" s="339"/>
      <c r="U193" s="334">
        <f>+'20 Year Trend'!C193</f>
        <v>409.93406765887937</v>
      </c>
      <c r="V193" s="334">
        <f ca="1">+'20 Year Trend'!D193</f>
        <v>0</v>
      </c>
      <c r="W193" s="335">
        <f>+'20 Year Trend'!E193</f>
        <v>7.5499999999999998E-2</v>
      </c>
      <c r="X193" s="336">
        <f>+'20 Year Trend'!F193</f>
        <v>30</v>
      </c>
      <c r="Y193" s="336">
        <f>+'20 Year Trend'!G193</f>
        <v>1</v>
      </c>
      <c r="Z193" s="337">
        <f ca="1">+'20 Year Trend'!H193</f>
        <v>93813793.374597192</v>
      </c>
    </row>
    <row r="194" spans="1:26">
      <c r="A194" s="332">
        <f>+'Purchased Power Model '!A194</f>
        <v>43435</v>
      </c>
      <c r="B194" s="339"/>
      <c r="C194" s="334">
        <f>+'Purchased Power Model '!C194</f>
        <v>404.30241833269554</v>
      </c>
      <c r="D194" s="334">
        <f ca="1">+'Purchased Power Model '!D194</f>
        <v>0</v>
      </c>
      <c r="E194" s="335">
        <f>+'Purchased Power Model '!E194</f>
        <v>7.5499999999999998E-2</v>
      </c>
      <c r="F194" s="336">
        <f>+'Purchased Power Model '!F194</f>
        <v>31</v>
      </c>
      <c r="G194" s="336">
        <f>+'Purchased Power Model '!G194</f>
        <v>0</v>
      </c>
      <c r="H194" s="337">
        <f ca="1">+'Purchased Power Model '!H194</f>
        <v>103651033.59264779</v>
      </c>
      <c r="J194" s="332">
        <f>+'10 Year Average'!A194</f>
        <v>43435</v>
      </c>
      <c r="K194" s="339"/>
      <c r="L194" s="334">
        <f>+'10 Year Average'!C194</f>
        <v>433.72668391495097</v>
      </c>
      <c r="M194" s="334">
        <f ca="1">+'10 Year Average'!D194</f>
        <v>0</v>
      </c>
      <c r="N194" s="335">
        <f>+'10 Year Average'!E194</f>
        <v>7.5499999999999998E-2</v>
      </c>
      <c r="O194" s="336">
        <f>+'10 Year Average'!F194</f>
        <v>31</v>
      </c>
      <c r="P194" s="336">
        <f>+'10 Year Average'!G194</f>
        <v>0</v>
      </c>
      <c r="Q194" s="337">
        <f ca="1">+'10 Year Average'!H194</f>
        <v>104832512.02081043</v>
      </c>
      <c r="S194" s="332">
        <f>+'20 Year Trend'!A194</f>
        <v>43435</v>
      </c>
      <c r="T194" s="339"/>
      <c r="U194" s="334">
        <f>+'20 Year Trend'!C194</f>
        <v>422.6271853229789</v>
      </c>
      <c r="V194" s="334">
        <f ca="1">+'20 Year Trend'!D194</f>
        <v>0</v>
      </c>
      <c r="W194" s="335">
        <f>+'20 Year Trend'!E194</f>
        <v>7.5499999999999998E-2</v>
      </c>
      <c r="X194" s="336">
        <f>+'20 Year Trend'!F194</f>
        <v>31</v>
      </c>
      <c r="Y194" s="336">
        <f>+'20 Year Trend'!G194</f>
        <v>0</v>
      </c>
      <c r="Z194" s="337">
        <f ca="1">+'20 Year Trend'!H194</f>
        <v>104386831.63116138</v>
      </c>
    </row>
    <row r="195" spans="1:26">
      <c r="A195" s="332">
        <f>+'Purchased Power Model '!A195</f>
        <v>43466</v>
      </c>
      <c r="B195" s="339"/>
      <c r="C195" s="334">
        <f>+'Purchased Power Model '!C195</f>
        <v>519.7703341876213</v>
      </c>
      <c r="D195" s="334">
        <f ca="1">+'Purchased Power Model '!D195</f>
        <v>0</v>
      </c>
      <c r="E195" s="335">
        <f>+'Purchased Power Model '!E195</f>
        <v>7.5499999999999998E-2</v>
      </c>
      <c r="F195" s="336">
        <f>+'Purchased Power Model '!F195</f>
        <v>31</v>
      </c>
      <c r="G195" s="336">
        <f>+'Purchased Power Model '!G195</f>
        <v>0</v>
      </c>
      <c r="H195" s="337">
        <f ca="1">+'Purchased Power Model '!H195</f>
        <v>108287439.94053516</v>
      </c>
      <c r="J195" s="332">
        <f>+'10 Year Average'!A195</f>
        <v>43466</v>
      </c>
      <c r="K195" s="339"/>
      <c r="L195" s="334">
        <f>+'10 Year Average'!C195</f>
        <v>564.54188088253147</v>
      </c>
      <c r="M195" s="334">
        <f ca="1">+'10 Year Average'!D195</f>
        <v>0</v>
      </c>
      <c r="N195" s="335">
        <f>+'10 Year Average'!E195</f>
        <v>7.5499999999999998E-2</v>
      </c>
      <c r="O195" s="336">
        <f>+'10 Year Average'!F195</f>
        <v>31</v>
      </c>
      <c r="P195" s="336">
        <f>+'10 Year Average'!G195</f>
        <v>0</v>
      </c>
      <c r="Q195" s="337">
        <f ca="1">+'10 Year Average'!H195</f>
        <v>110085160.82052246</v>
      </c>
      <c r="S195" s="332">
        <f>+'20 Year Trend'!A195</f>
        <v>43466</v>
      </c>
      <c r="T195" s="339"/>
      <c r="U195" s="334">
        <f>+'20 Year Trend'!C195</f>
        <v>550.09469087935975</v>
      </c>
      <c r="V195" s="334">
        <f ca="1">+'20 Year Trend'!D195</f>
        <v>0</v>
      </c>
      <c r="W195" s="335">
        <f>+'20 Year Trend'!E195</f>
        <v>7.5499999999999998E-2</v>
      </c>
      <c r="X195" s="336">
        <f>+'20 Year Trend'!F195</f>
        <v>31</v>
      </c>
      <c r="Y195" s="336">
        <f>+'20 Year Trend'!G195</f>
        <v>0</v>
      </c>
      <c r="Z195" s="337">
        <f ca="1">+'20 Year Trend'!H195</f>
        <v>109505059.907261</v>
      </c>
    </row>
    <row r="196" spans="1:26">
      <c r="A196" s="332">
        <f>+'Purchased Power Model '!A196</f>
        <v>43497</v>
      </c>
      <c r="B196" s="339"/>
      <c r="C196" s="334">
        <f>+'Purchased Power Model '!C196</f>
        <v>516.47637204376076</v>
      </c>
      <c r="D196" s="334">
        <f ca="1">+'Purchased Power Model '!D196</f>
        <v>0</v>
      </c>
      <c r="E196" s="335">
        <f>+'Purchased Power Model '!E196</f>
        <v>7.5499999999999998E-2</v>
      </c>
      <c r="F196" s="336">
        <f>+'Purchased Power Model '!F196</f>
        <v>28</v>
      </c>
      <c r="G196" s="336">
        <f>+'Purchased Power Model '!G196</f>
        <v>0</v>
      </c>
      <c r="H196" s="337">
        <f ca="1">+'Purchased Power Model '!H196</f>
        <v>99651583.351399362</v>
      </c>
      <c r="J196" s="332">
        <f>+'10 Year Average'!A196</f>
        <v>43497</v>
      </c>
      <c r="K196" s="339"/>
      <c r="L196" s="334">
        <f>+'10 Year Average'!C196</f>
        <v>560.96418615480661</v>
      </c>
      <c r="M196" s="334">
        <f ca="1">+'10 Year Average'!D196</f>
        <v>0</v>
      </c>
      <c r="N196" s="335">
        <f>+'10 Year Average'!E196</f>
        <v>7.5499999999999998E-2</v>
      </c>
      <c r="O196" s="336">
        <f>+'10 Year Average'!F196</f>
        <v>28</v>
      </c>
      <c r="P196" s="336">
        <f>+'10 Year Average'!G196</f>
        <v>0</v>
      </c>
      <c r="Q196" s="337">
        <f ca="1">+'10 Year Average'!H196</f>
        <v>101437911.46012902</v>
      </c>
      <c r="S196" s="332">
        <f>+'20 Year Trend'!A196</f>
        <v>43497</v>
      </c>
      <c r="T196" s="339"/>
      <c r="U196" s="334">
        <f>+'20 Year Trend'!C196</f>
        <v>546.60855292936048</v>
      </c>
      <c r="V196" s="334">
        <f ca="1">+'20 Year Trend'!D196</f>
        <v>0</v>
      </c>
      <c r="W196" s="335">
        <f>+'20 Year Trend'!E196</f>
        <v>7.5499999999999998E-2</v>
      </c>
      <c r="X196" s="336">
        <f>+'20 Year Trend'!F196</f>
        <v>28</v>
      </c>
      <c r="Y196" s="336">
        <f>+'20 Year Trend'!G196</f>
        <v>0</v>
      </c>
      <c r="Z196" s="337">
        <f ca="1">+'20 Year Trend'!H196</f>
        <v>100861486.84449792</v>
      </c>
    </row>
    <row r="197" spans="1:26">
      <c r="A197" s="332">
        <f>+'Purchased Power Model '!A197</f>
        <v>43525</v>
      </c>
      <c r="B197" s="339"/>
      <c r="C197" s="334">
        <f>+'Purchased Power Model '!C197</f>
        <v>460.31009446255047</v>
      </c>
      <c r="D197" s="334">
        <f ca="1">+'Purchased Power Model '!D197</f>
        <v>0</v>
      </c>
      <c r="E197" s="335">
        <f>+'Purchased Power Model '!E197</f>
        <v>7.5499999999999998E-2</v>
      </c>
      <c r="F197" s="336">
        <f>+'Purchased Power Model '!F197</f>
        <v>31</v>
      </c>
      <c r="G197" s="336">
        <f>+'Purchased Power Model '!G197</f>
        <v>1</v>
      </c>
      <c r="H197" s="337">
        <f ca="1">+'Purchased Power Model '!H197</f>
        <v>98671083.222545668</v>
      </c>
      <c r="J197" s="332">
        <f>+'10 Year Average'!A197</f>
        <v>43525</v>
      </c>
      <c r="K197" s="339"/>
      <c r="L197" s="334">
        <f>+'10 Year Average'!C197</f>
        <v>499.95990425898538</v>
      </c>
      <c r="M197" s="334">
        <f ca="1">+'10 Year Average'!D197</f>
        <v>0</v>
      </c>
      <c r="N197" s="335">
        <f>+'10 Year Average'!E197</f>
        <v>7.5499999999999998E-2</v>
      </c>
      <c r="O197" s="336">
        <f>+'10 Year Average'!F197</f>
        <v>31</v>
      </c>
      <c r="P197" s="336">
        <f>+'10 Year Average'!G197</f>
        <v>1</v>
      </c>
      <c r="Q197" s="337">
        <f ca="1">+'10 Year Average'!H197</f>
        <v>100263149.9752156</v>
      </c>
      <c r="S197" s="332">
        <f>+'20 Year Trend'!A197</f>
        <v>43525</v>
      </c>
      <c r="T197" s="339"/>
      <c r="U197" s="334">
        <f>+'20 Year Trend'!C197</f>
        <v>487.16543147424602</v>
      </c>
      <c r="V197" s="334">
        <f ca="1">+'20 Year Trend'!D197</f>
        <v>0</v>
      </c>
      <c r="W197" s="335">
        <f>+'20 Year Trend'!E197</f>
        <v>7.5499999999999998E-2</v>
      </c>
      <c r="X197" s="336">
        <f>+'20 Year Trend'!F197</f>
        <v>31</v>
      </c>
      <c r="Y197" s="336">
        <f>+'20 Year Trend'!G197</f>
        <v>1</v>
      </c>
      <c r="Z197" s="337">
        <f ca="1">+'20 Year Trend'!H197</f>
        <v>99749410.947384104</v>
      </c>
    </row>
    <row r="198" spans="1:26">
      <c r="A198" s="332">
        <f>+'Purchased Power Model '!A198</f>
        <v>43556</v>
      </c>
      <c r="B198" s="339"/>
      <c r="C198" s="334">
        <f>+'Purchased Power Model '!C198</f>
        <v>309.54798095509119</v>
      </c>
      <c r="D198" s="334">
        <f ca="1">+'Purchased Power Model '!D198</f>
        <v>0</v>
      </c>
      <c r="E198" s="335">
        <f>+'Purchased Power Model '!E198</f>
        <v>7.5499999999999998E-2</v>
      </c>
      <c r="F198" s="336">
        <f>+'Purchased Power Model '!F198</f>
        <v>30</v>
      </c>
      <c r="G198" s="336">
        <f>+'Purchased Power Model '!G198</f>
        <v>1</v>
      </c>
      <c r="H198" s="337">
        <f ca="1">+'Purchased Power Model '!H198</f>
        <v>89782970.732766688</v>
      </c>
      <c r="J198" s="332">
        <f>+'10 Year Average'!A198</f>
        <v>43556</v>
      </c>
      <c r="K198" s="339"/>
      <c r="L198" s="334">
        <f>+'10 Year Average'!C198</f>
        <v>336.21156864388644</v>
      </c>
      <c r="M198" s="334">
        <f ca="1">+'10 Year Average'!D198</f>
        <v>0</v>
      </c>
      <c r="N198" s="335">
        <f>+'10 Year Average'!E198</f>
        <v>7.5499999999999998E-2</v>
      </c>
      <c r="O198" s="336">
        <f>+'10 Year Average'!F198</f>
        <v>30</v>
      </c>
      <c r="P198" s="336">
        <f>+'10 Year Average'!G198</f>
        <v>1</v>
      </c>
      <c r="Q198" s="337">
        <f ca="1">+'10 Year Average'!H198</f>
        <v>90853599.108644739</v>
      </c>
      <c r="S198" s="332">
        <f>+'20 Year Trend'!A198</f>
        <v>43556</v>
      </c>
      <c r="T198" s="339"/>
      <c r="U198" s="334">
        <f>+'20 Year Trend'!C198</f>
        <v>327.6075791473599</v>
      </c>
      <c r="V198" s="334">
        <f ca="1">+'20 Year Trend'!D198</f>
        <v>0</v>
      </c>
      <c r="W198" s="335">
        <f>+'20 Year Trend'!E198</f>
        <v>7.5499999999999998E-2</v>
      </c>
      <c r="X198" s="336">
        <f>+'20 Year Trend'!F198</f>
        <v>30</v>
      </c>
      <c r="Y198" s="336">
        <f>+'20 Year Trend'!G198</f>
        <v>1</v>
      </c>
      <c r="Z198" s="337">
        <f ca="1">+'20 Year Trend'!H198</f>
        <v>90508121.395433277</v>
      </c>
    </row>
    <row r="199" spans="1:26">
      <c r="A199" s="332">
        <f>+'Purchased Power Model '!A199</f>
        <v>43586</v>
      </c>
      <c r="B199" s="339"/>
      <c r="C199" s="334">
        <f>+'Purchased Power Model '!C199</f>
        <v>112.67039743358573</v>
      </c>
      <c r="D199" s="334">
        <f ca="1">+'Purchased Power Model '!D199</f>
        <v>4.1180834494630707</v>
      </c>
      <c r="E199" s="335">
        <f>+'Purchased Power Model '!E199</f>
        <v>7.5499999999999998E-2</v>
      </c>
      <c r="F199" s="336">
        <f>+'Purchased Power Model '!F199</f>
        <v>31</v>
      </c>
      <c r="G199" s="336">
        <f>+'Purchased Power Model '!G199</f>
        <v>1</v>
      </c>
      <c r="H199" s="337">
        <f ca="1">+'Purchased Power Model '!H199</f>
        <v>85290577.894350737</v>
      </c>
      <c r="J199" s="332">
        <f>+'10 Year Average'!A199</f>
        <v>43586</v>
      </c>
      <c r="K199" s="339"/>
      <c r="L199" s="334">
        <f>+'10 Year Average'!C199</f>
        <v>122.37550684063973</v>
      </c>
      <c r="M199" s="334">
        <f ca="1">+'10 Year Average'!D199</f>
        <v>3.772678088367897</v>
      </c>
      <c r="N199" s="335">
        <f>+'10 Year Average'!E199</f>
        <v>7.5499999999999998E-2</v>
      </c>
      <c r="O199" s="336">
        <f>+'10 Year Average'!F199</f>
        <v>31</v>
      </c>
      <c r="P199" s="336">
        <f>+'10 Year Average'!G199</f>
        <v>1</v>
      </c>
      <c r="Q199" s="337">
        <f ca="1">+'10 Year Average'!H199</f>
        <v>85631760.584812269</v>
      </c>
      <c r="S199" s="332">
        <f>+'20 Year Trend'!A199</f>
        <v>43586</v>
      </c>
      <c r="T199" s="339"/>
      <c r="U199" s="334">
        <f>+'20 Year Trend'!C199</f>
        <v>119.24379552048516</v>
      </c>
      <c r="V199" s="334">
        <f ca="1">+'20 Year Trend'!D199</f>
        <v>3.6085283090503597</v>
      </c>
      <c r="W199" s="335">
        <f>+'20 Year Trend'!E199</f>
        <v>7.5499999999999998E-2</v>
      </c>
      <c r="X199" s="336">
        <f>+'20 Year Trend'!F199</f>
        <v>31</v>
      </c>
      <c r="Y199" s="336">
        <f>+'20 Year Trend'!G199</f>
        <v>1</v>
      </c>
      <c r="Z199" s="337">
        <f ca="1">+'20 Year Trend'!H199</f>
        <v>85482959.261590213</v>
      </c>
    </row>
    <row r="200" spans="1:26">
      <c r="A200" s="332">
        <f>+'Purchased Power Model '!A200</f>
        <v>43617</v>
      </c>
      <c r="B200" s="339"/>
      <c r="C200" s="334">
        <f>+'Purchased Power Model '!C200</f>
        <v>36.233583582464981</v>
      </c>
      <c r="D200" s="334">
        <f ca="1">+'Purchased Power Model '!D200</f>
        <v>44.200762357570305</v>
      </c>
      <c r="E200" s="335">
        <f>+'Purchased Power Model '!E200</f>
        <v>7.5499999999999998E-2</v>
      </c>
      <c r="F200" s="336">
        <f>+'Purchased Power Model '!F200</f>
        <v>30</v>
      </c>
      <c r="G200" s="336">
        <f>+'Purchased Power Model '!G200</f>
        <v>0</v>
      </c>
      <c r="H200" s="337">
        <f ca="1">+'Purchased Power Model '!H200</f>
        <v>92244887.990938246</v>
      </c>
      <c r="J200" s="332">
        <f>+'10 Year Average'!A200</f>
        <v>43617</v>
      </c>
      <c r="K200" s="339"/>
      <c r="L200" s="334">
        <f>+'10 Year Average'!C200</f>
        <v>39.35464200497335</v>
      </c>
      <c r="M200" s="334">
        <f ca="1">+'10 Year Average'!D200</f>
        <v>40.493411481815428</v>
      </c>
      <c r="N200" s="335">
        <f>+'10 Year Average'!E200</f>
        <v>7.5499999999999998E-2</v>
      </c>
      <c r="O200" s="336">
        <f>+'10 Year Average'!F200</f>
        <v>30</v>
      </c>
      <c r="P200" s="336">
        <f>+'10 Year Average'!G200</f>
        <v>0</v>
      </c>
      <c r="Q200" s="337">
        <f ca="1">+'10 Year Average'!H200</f>
        <v>91849550.4565157</v>
      </c>
      <c r="S200" s="332">
        <f>+'20 Year Trend'!A200</f>
        <v>43617</v>
      </c>
      <c r="T200" s="339"/>
      <c r="U200" s="334">
        <f>+'20 Year Trend'!C200</f>
        <v>38.347517449991116</v>
      </c>
      <c r="V200" s="334">
        <f ca="1">+'20 Year Trend'!D200</f>
        <v>38.731537183807198</v>
      </c>
      <c r="W200" s="335">
        <f>+'20 Year Trend'!E200</f>
        <v>7.5499999999999998E-2</v>
      </c>
      <c r="X200" s="336">
        <f>+'20 Year Trend'!F200</f>
        <v>30</v>
      </c>
      <c r="Y200" s="336">
        <f>+'20 Year Trend'!G200</f>
        <v>0</v>
      </c>
      <c r="Z200" s="337">
        <f ca="1">+'20 Year Trend'!H200</f>
        <v>91561674.667625204</v>
      </c>
    </row>
    <row r="201" spans="1:26">
      <c r="A201" s="332">
        <f>+'Purchased Power Model '!A201</f>
        <v>43647</v>
      </c>
      <c r="B201" s="339"/>
      <c r="C201" s="334">
        <f>+'Purchased Power Model '!C201</f>
        <v>3.7162649828169214</v>
      </c>
      <c r="D201" s="334">
        <f ca="1">+'Purchased Power Model '!D201</f>
        <v>150.99639314697927</v>
      </c>
      <c r="E201" s="335">
        <f>+'Purchased Power Model '!E201</f>
        <v>7.5499999999999998E-2</v>
      </c>
      <c r="F201" s="336">
        <f>+'Purchased Power Model '!F201</f>
        <v>31</v>
      </c>
      <c r="G201" s="336">
        <f>+'Purchased Power Model '!G201</f>
        <v>0</v>
      </c>
      <c r="H201" s="337">
        <f ca="1">+'Purchased Power Model '!H201</f>
        <v>108772055.75885171</v>
      </c>
      <c r="J201" s="332">
        <f>+'10 Year Average'!A201</f>
        <v>43647</v>
      </c>
      <c r="K201" s="339"/>
      <c r="L201" s="334">
        <f>+'10 Year Average'!C201</f>
        <v>4.0363735389716258</v>
      </c>
      <c r="M201" s="334">
        <f ca="1">+'10 Year Average'!D201</f>
        <v>138.33152990682285</v>
      </c>
      <c r="N201" s="335">
        <f>+'10 Year Average'!E201</f>
        <v>7.5499999999999998E-2</v>
      </c>
      <c r="O201" s="336">
        <f>+'10 Year Average'!F201</f>
        <v>31</v>
      </c>
      <c r="P201" s="336">
        <f>+'10 Year Average'!G201</f>
        <v>0</v>
      </c>
      <c r="Q201" s="337">
        <f ca="1">+'10 Year Average'!H201</f>
        <v>107006263.73782702</v>
      </c>
      <c r="S201" s="332">
        <f>+'20 Year Trend'!A201</f>
        <v>43647</v>
      </c>
      <c r="T201" s="339"/>
      <c r="U201" s="334">
        <f>+'20 Year Trend'!C201</f>
        <v>3.9330787128196012</v>
      </c>
      <c r="V201" s="334">
        <f ca="1">+'20 Year Trend'!D201</f>
        <v>132.31270466517984</v>
      </c>
      <c r="W201" s="335">
        <f>+'20 Year Trend'!E201</f>
        <v>7.5499999999999998E-2</v>
      </c>
      <c r="X201" s="336">
        <f>+'20 Year Trend'!F201</f>
        <v>31</v>
      </c>
      <c r="Y201" s="336">
        <f>+'20 Year Trend'!G201</f>
        <v>0</v>
      </c>
      <c r="Z201" s="337">
        <f ca="1">+'20 Year Trend'!H201</f>
        <v>106156836.09994954</v>
      </c>
    </row>
    <row r="202" spans="1:26">
      <c r="A202" s="332">
        <f>+'Purchased Power Model '!A202</f>
        <v>43678</v>
      </c>
      <c r="B202" s="339"/>
      <c r="C202" s="334">
        <f>+'Purchased Power Model '!C202</f>
        <v>9.290662457042302</v>
      </c>
      <c r="D202" s="334">
        <f ca="1">+'Purchased Power Model '!D202</f>
        <v>79.479010574637257</v>
      </c>
      <c r="E202" s="335">
        <f>+'Purchased Power Model '!E202</f>
        <v>7.5499999999999998E-2</v>
      </c>
      <c r="F202" s="336">
        <f>+'Purchased Power Model '!F202</f>
        <v>31</v>
      </c>
      <c r="G202" s="336">
        <f>+'Purchased Power Model '!G202</f>
        <v>0</v>
      </c>
      <c r="H202" s="337">
        <f ca="1">+'Purchased Power Model '!H202</f>
        <v>98952029.564271122</v>
      </c>
      <c r="J202" s="332">
        <f>+'10 Year Average'!A202</f>
        <v>43678</v>
      </c>
      <c r="K202" s="339"/>
      <c r="L202" s="334">
        <f>+'10 Year Average'!C202</f>
        <v>10.090933847429062</v>
      </c>
      <c r="M202" s="334">
        <f ca="1">+'10 Year Average'!D202</f>
        <v>72.812687105500387</v>
      </c>
      <c r="N202" s="335">
        <f>+'10 Year Average'!E202</f>
        <v>7.5499999999999998E-2</v>
      </c>
      <c r="O202" s="336">
        <f>+'10 Year Average'!F202</f>
        <v>31</v>
      </c>
      <c r="P202" s="336">
        <f>+'10 Year Average'!G202</f>
        <v>0</v>
      </c>
      <c r="Q202" s="337">
        <f ca="1">+'10 Year Average'!H202</f>
        <v>98047948.759023011</v>
      </c>
      <c r="S202" s="332">
        <f>+'20 Year Trend'!A202</f>
        <v>43678</v>
      </c>
      <c r="T202" s="339"/>
      <c r="U202" s="334">
        <f>+'20 Year Trend'!C202</f>
        <v>9.8326967820490019</v>
      </c>
      <c r="V202" s="334">
        <f ca="1">+'20 Year Trend'!D202</f>
        <v>69.644596364671926</v>
      </c>
      <c r="W202" s="335">
        <f>+'20 Year Trend'!E202</f>
        <v>7.5499999999999998E-2</v>
      </c>
      <c r="X202" s="336">
        <f>+'20 Year Trend'!F202</f>
        <v>31</v>
      </c>
      <c r="Y202" s="336">
        <f>+'20 Year Trend'!G202</f>
        <v>0</v>
      </c>
      <c r="Z202" s="337">
        <f ca="1">+'20 Year Trend'!H202</f>
        <v>97592655.049331784</v>
      </c>
    </row>
    <row r="203" spans="1:26">
      <c r="A203" s="332">
        <f>+'Purchased Power Model '!A203</f>
        <v>43709</v>
      </c>
      <c r="B203" s="339"/>
      <c r="C203" s="334">
        <f>+'Purchased Power Model '!C203</f>
        <v>81.58890848638967</v>
      </c>
      <c r="D203" s="334">
        <f ca="1">+'Purchased Power Model '!D203</f>
        <v>21.551303385523408</v>
      </c>
      <c r="E203" s="335">
        <f>+'Purchased Power Model '!E203</f>
        <v>7.5499999999999998E-2</v>
      </c>
      <c r="F203" s="336">
        <f>+'Purchased Power Model '!F203</f>
        <v>30</v>
      </c>
      <c r="G203" s="336">
        <f>+'Purchased Power Model '!G203</f>
        <v>1</v>
      </c>
      <c r="H203" s="337">
        <f ca="1">+'Purchased Power Model '!H203</f>
        <v>83656335.899002105</v>
      </c>
      <c r="J203" s="332">
        <f>+'10 Year Average'!A203</f>
        <v>43709</v>
      </c>
      <c r="K203" s="339"/>
      <c r="L203" s="334">
        <f>+'10 Year Average'!C203</f>
        <v>88.616746332877042</v>
      </c>
      <c r="M203" s="334">
        <f ca="1">+'10 Year Average'!D203</f>
        <v>19.743681995791995</v>
      </c>
      <c r="N203" s="335">
        <f>+'10 Year Average'!E203</f>
        <v>7.5499999999999998E-2</v>
      </c>
      <c r="O203" s="336">
        <f>+'10 Year Average'!F203</f>
        <v>30</v>
      </c>
      <c r="P203" s="336">
        <f>+'10 Year Average'!G203</f>
        <v>1</v>
      </c>
      <c r="Q203" s="337">
        <f ca="1">+'10 Year Average'!H203</f>
        <v>83684664.871724352</v>
      </c>
      <c r="S203" s="332">
        <f>+'20 Year Trend'!A203</f>
        <v>43709</v>
      </c>
      <c r="T203" s="339"/>
      <c r="U203" s="334">
        <f>+'20 Year Trend'!C203</f>
        <v>86.348955376903064</v>
      </c>
      <c r="V203" s="334">
        <f ca="1">+'20 Year Trend'!D203</f>
        <v>18.884631484030216</v>
      </c>
      <c r="W203" s="335">
        <f>+'20 Year Trend'!E203</f>
        <v>7.5499999999999998E-2</v>
      </c>
      <c r="X203" s="336">
        <f>+'20 Year Trend'!F203</f>
        <v>30</v>
      </c>
      <c r="Y203" s="336">
        <f>+'20 Year Trend'!G203</f>
        <v>1</v>
      </c>
      <c r="Z203" s="337">
        <f ca="1">+'20 Year Trend'!H203</f>
        <v>83472961.295390859</v>
      </c>
    </row>
    <row r="204" spans="1:26">
      <c r="A204" s="332">
        <f>+'Purchased Power Model '!A204</f>
        <v>43739</v>
      </c>
      <c r="B204" s="339"/>
      <c r="C204" s="334">
        <f>+'Purchased Power Model '!C204</f>
        <v>186.65785481875898</v>
      </c>
      <c r="D204" s="334">
        <f ca="1">+'Purchased Power Model '!D204</f>
        <v>4.1180834494630707</v>
      </c>
      <c r="E204" s="335">
        <f>+'Purchased Power Model '!E204</f>
        <v>7.5499999999999998E-2</v>
      </c>
      <c r="F204" s="336">
        <f>+'Purchased Power Model '!F204</f>
        <v>31</v>
      </c>
      <c r="G204" s="336">
        <f>+'Purchased Power Model '!G204</f>
        <v>1</v>
      </c>
      <c r="H204" s="337">
        <f ca="1">+'Purchased Power Model '!H204</f>
        <v>88261411.086799234</v>
      </c>
      <c r="J204" s="332">
        <f>+'10 Year Average'!A204</f>
        <v>43739</v>
      </c>
      <c r="K204" s="339"/>
      <c r="L204" s="334">
        <f>+'10 Year Average'!C204</f>
        <v>202.73603457107481</v>
      </c>
      <c r="M204" s="334">
        <f ca="1">+'10 Year Average'!D204</f>
        <v>3.772678088367897</v>
      </c>
      <c r="N204" s="335">
        <f>+'10 Year Average'!E204</f>
        <v>7.5499999999999998E-2</v>
      </c>
      <c r="O204" s="336">
        <f>+'10 Year Average'!F204</f>
        <v>31</v>
      </c>
      <c r="P204" s="336">
        <f>+'10 Year Average'!G204</f>
        <v>1</v>
      </c>
      <c r="Q204" s="337">
        <f ca="1">+'10 Year Average'!H204</f>
        <v>88858492.947047696</v>
      </c>
      <c r="S204" s="332">
        <f>+'20 Year Trend'!A204</f>
        <v>43739</v>
      </c>
      <c r="T204" s="339"/>
      <c r="U204" s="334">
        <f>+'20 Year Trend'!C204</f>
        <v>197.54781716662086</v>
      </c>
      <c r="V204" s="334">
        <f ca="1">+'20 Year Trend'!D204</f>
        <v>3.6085283090503597</v>
      </c>
      <c r="W204" s="335">
        <f>+'20 Year Trend'!E204</f>
        <v>7.5499999999999998E-2</v>
      </c>
      <c r="X204" s="336">
        <f>+'20 Year Trend'!F204</f>
        <v>31</v>
      </c>
      <c r="Y204" s="336">
        <f>+'20 Year Trend'!G204</f>
        <v>1</v>
      </c>
      <c r="Z204" s="337">
        <f ca="1">+'20 Year Trend'!H204</f>
        <v>88627116.323205397</v>
      </c>
    </row>
    <row r="205" spans="1:26">
      <c r="A205" s="332">
        <f>+'Purchased Power Model '!A205</f>
        <v>43770</v>
      </c>
      <c r="B205" s="339"/>
      <c r="C205" s="334">
        <f>+'Purchased Power Model '!C205</f>
        <v>387.33616389087268</v>
      </c>
      <c r="D205" s="334">
        <f ca="1">+'Purchased Power Model '!D205</f>
        <v>0</v>
      </c>
      <c r="E205" s="335">
        <f>+'Purchased Power Model '!E205</f>
        <v>7.5499999999999998E-2</v>
      </c>
      <c r="F205" s="336">
        <f>+'Purchased Power Model '!F205</f>
        <v>30</v>
      </c>
      <c r="G205" s="336">
        <f>+'Purchased Power Model '!G205</f>
        <v>1</v>
      </c>
      <c r="H205" s="337">
        <f ca="1">+'Purchased Power Model '!H205</f>
        <v>92906415.219347805</v>
      </c>
      <c r="J205" s="332">
        <f>+'10 Year Average'!A205</f>
        <v>43770</v>
      </c>
      <c r="K205" s="339"/>
      <c r="L205" s="334">
        <f>+'10 Year Average'!C205</f>
        <v>420.70020567554263</v>
      </c>
      <c r="M205" s="334">
        <f ca="1">+'10 Year Average'!D205</f>
        <v>0</v>
      </c>
      <c r="N205" s="335">
        <f>+'10 Year Average'!E205</f>
        <v>7.5499999999999998E-2</v>
      </c>
      <c r="O205" s="336">
        <f>+'10 Year Average'!F205</f>
        <v>30</v>
      </c>
      <c r="P205" s="336">
        <f>+'10 Year Average'!G205</f>
        <v>1</v>
      </c>
      <c r="Q205" s="337">
        <f ca="1">+'10 Year Average'!H205</f>
        <v>94246088.270310074</v>
      </c>
      <c r="S205" s="332">
        <f>+'20 Year Trend'!A205</f>
        <v>43770</v>
      </c>
      <c r="T205" s="339"/>
      <c r="U205" s="334">
        <f>+'20 Year Trend'!C205</f>
        <v>409.93406765887937</v>
      </c>
      <c r="V205" s="334">
        <f ca="1">+'20 Year Trend'!D205</f>
        <v>0</v>
      </c>
      <c r="W205" s="335">
        <f>+'20 Year Trend'!E205</f>
        <v>7.5499999999999998E-2</v>
      </c>
      <c r="X205" s="336">
        <f>+'20 Year Trend'!F205</f>
        <v>30</v>
      </c>
      <c r="Y205" s="336">
        <f>+'20 Year Trend'!G205</f>
        <v>1</v>
      </c>
      <c r="Z205" s="337">
        <f ca="1">+'20 Year Trend'!H205</f>
        <v>93813793.374597192</v>
      </c>
    </row>
    <row r="206" spans="1:26" ht="13.8" thickBot="1">
      <c r="A206" s="340">
        <f>+'Purchased Power Model '!A206</f>
        <v>43800</v>
      </c>
      <c r="B206" s="341"/>
      <c r="C206" s="342">
        <f>+'Purchased Power Model '!C206</f>
        <v>399.32956451723641</v>
      </c>
      <c r="D206" s="342">
        <f ca="1">+'Purchased Power Model '!D206</f>
        <v>0</v>
      </c>
      <c r="E206" s="343">
        <f>+'Purchased Power Model '!E206</f>
        <v>7.5499999999999998E-2</v>
      </c>
      <c r="F206" s="344">
        <f>+'Purchased Power Model '!F206</f>
        <v>31</v>
      </c>
      <c r="G206" s="344">
        <f>+'Purchased Power Model '!G206</f>
        <v>0</v>
      </c>
      <c r="H206" s="345">
        <f ca="1">+'Purchased Power Model '!H206</f>
        <v>103451357.59757677</v>
      </c>
      <c r="J206" s="340">
        <f>+'10 Year Average'!A206</f>
        <v>43800</v>
      </c>
      <c r="K206" s="341"/>
      <c r="L206" s="342">
        <f>+'10 Year Average'!C206</f>
        <v>433.72668391495097</v>
      </c>
      <c r="M206" s="342">
        <f ca="1">+'10 Year Average'!D206</f>
        <v>0</v>
      </c>
      <c r="N206" s="343">
        <f>+'10 Year Average'!E206</f>
        <v>7.5499999999999998E-2</v>
      </c>
      <c r="O206" s="344">
        <f>+'10 Year Average'!F206</f>
        <v>31</v>
      </c>
      <c r="P206" s="344">
        <f>+'10 Year Average'!G206</f>
        <v>0</v>
      </c>
      <c r="Q206" s="345">
        <f ca="1">+'10 Year Average'!H206</f>
        <v>104832512.02081043</v>
      </c>
      <c r="S206" s="340">
        <f>+'20 Year Trend'!A206</f>
        <v>43800</v>
      </c>
      <c r="T206" s="341"/>
      <c r="U206" s="342">
        <f>+'20 Year Trend'!C206</f>
        <v>422.6271853229789</v>
      </c>
      <c r="V206" s="342">
        <f ca="1">+'20 Year Trend'!D206</f>
        <v>0</v>
      </c>
      <c r="W206" s="343">
        <f>+'20 Year Trend'!E206</f>
        <v>7.5499999999999998E-2</v>
      </c>
      <c r="X206" s="344">
        <f>+'20 Year Trend'!F206</f>
        <v>31</v>
      </c>
      <c r="Y206" s="344">
        <f>+'20 Year Trend'!G206</f>
        <v>0</v>
      </c>
      <c r="Z206" s="345">
        <f ca="1">+'20 Year Trend'!H206</f>
        <v>104386831.63116138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17"/>
  <sheetViews>
    <sheetView workbookViewId="0"/>
  </sheetViews>
  <sheetFormatPr defaultRowHeight="13.2"/>
  <cols>
    <col min="1" max="1" width="25.88671875" customWidth="1"/>
    <col min="2" max="2" width="11.6640625" bestFit="1" customWidth="1"/>
    <col min="3" max="3" width="10.6640625" bestFit="1" customWidth="1"/>
    <col min="4" max="4" width="9.5546875" bestFit="1" customWidth="1"/>
    <col min="5" max="5" width="10" customWidth="1"/>
    <col min="6" max="7" width="11.109375" customWidth="1"/>
    <col min="9" max="9" width="10.109375" customWidth="1"/>
    <col min="10" max="10" width="10.5546875" customWidth="1"/>
  </cols>
  <sheetData>
    <row r="1" spans="1:10" ht="23.4" thickBot="1">
      <c r="A1" s="257" t="s">
        <v>112</v>
      </c>
      <c r="B1" s="250" t="s">
        <v>71</v>
      </c>
      <c r="C1" s="250" t="s">
        <v>236</v>
      </c>
      <c r="D1" s="250" t="s">
        <v>235</v>
      </c>
      <c r="E1" s="250" t="s">
        <v>74</v>
      </c>
      <c r="F1" s="250" t="s">
        <v>237</v>
      </c>
      <c r="G1" s="250" t="s">
        <v>238</v>
      </c>
      <c r="H1" s="250" t="s">
        <v>239</v>
      </c>
      <c r="I1" s="250" t="s">
        <v>76</v>
      </c>
      <c r="J1" s="251" t="s">
        <v>9</v>
      </c>
    </row>
    <row r="2" spans="1:10">
      <c r="A2" s="280" t="s">
        <v>243</v>
      </c>
      <c r="B2" s="281"/>
      <c r="C2" s="281"/>
      <c r="D2" s="281"/>
      <c r="E2" s="281"/>
      <c r="F2" s="281"/>
      <c r="G2" s="281"/>
      <c r="H2" s="281"/>
      <c r="I2" s="281"/>
      <c r="J2" s="282"/>
    </row>
    <row r="3" spans="1:10">
      <c r="A3" s="283" t="s">
        <v>114</v>
      </c>
      <c r="B3" s="255">
        <v>47243</v>
      </c>
      <c r="C3" s="255">
        <v>3845</v>
      </c>
      <c r="D3" s="255">
        <v>522</v>
      </c>
      <c r="E3" s="255">
        <v>2</v>
      </c>
      <c r="F3" s="255">
        <v>9</v>
      </c>
      <c r="G3" s="255">
        <v>11650</v>
      </c>
      <c r="H3" s="255">
        <v>77</v>
      </c>
      <c r="I3" s="255">
        <v>305</v>
      </c>
      <c r="J3" s="262">
        <f>SUM(B3:I3)</f>
        <v>63653</v>
      </c>
    </row>
    <row r="4" spans="1:10">
      <c r="A4" s="283" t="s">
        <v>227</v>
      </c>
      <c r="B4" s="255">
        <v>49919.725406979574</v>
      </c>
      <c r="C4" s="255">
        <v>3961</v>
      </c>
      <c r="D4" s="255">
        <v>518</v>
      </c>
      <c r="E4" s="255">
        <v>1</v>
      </c>
      <c r="F4" s="255">
        <v>10</v>
      </c>
      <c r="G4" s="255">
        <v>12761.899782618997</v>
      </c>
      <c r="H4" s="255">
        <v>22.307657589073369</v>
      </c>
      <c r="I4" s="255">
        <v>313.0793844964528</v>
      </c>
      <c r="J4" s="262">
        <f>SUM(B4:I4)</f>
        <v>67507.012231684101</v>
      </c>
    </row>
    <row r="5" spans="1:10">
      <c r="A5" s="277"/>
      <c r="B5" s="254"/>
      <c r="C5" s="284"/>
      <c r="D5" s="284"/>
      <c r="E5" s="284"/>
      <c r="F5" s="284"/>
      <c r="G5" s="284"/>
      <c r="H5" s="284"/>
      <c r="I5" s="284"/>
      <c r="J5" s="285"/>
    </row>
    <row r="6" spans="1:10">
      <c r="A6" s="277">
        <v>2002</v>
      </c>
      <c r="B6" s="252">
        <v>42960</v>
      </c>
      <c r="C6" s="252">
        <v>3701</v>
      </c>
      <c r="D6" s="252">
        <v>573</v>
      </c>
      <c r="E6" s="252">
        <v>2</v>
      </c>
      <c r="F6" s="252">
        <v>5</v>
      </c>
      <c r="G6" s="252">
        <v>9967</v>
      </c>
      <c r="H6" s="252">
        <v>38</v>
      </c>
      <c r="I6" s="252">
        <v>291</v>
      </c>
      <c r="J6" s="286">
        <f t="shared" ref="J6:J17" si="0">SUM(B6:I6)</f>
        <v>57537</v>
      </c>
    </row>
    <row r="7" spans="1:10">
      <c r="A7" s="277">
        <v>2003</v>
      </c>
      <c r="B7" s="252">
        <v>43679</v>
      </c>
      <c r="C7" s="252">
        <f>3970-293</f>
        <v>3677</v>
      </c>
      <c r="D7" s="252">
        <v>545</v>
      </c>
      <c r="E7" s="252">
        <v>3</v>
      </c>
      <c r="F7" s="252">
        <v>5</v>
      </c>
      <c r="G7" s="252">
        <v>10151</v>
      </c>
      <c r="H7" s="252">
        <v>31</v>
      </c>
      <c r="I7" s="252">
        <v>293</v>
      </c>
      <c r="J7" s="286">
        <f t="shared" si="0"/>
        <v>58384</v>
      </c>
    </row>
    <row r="8" spans="1:10">
      <c r="A8" s="278">
        <v>2004</v>
      </c>
      <c r="B8" s="252">
        <v>44280</v>
      </c>
      <c r="C8" s="252">
        <f>3871-295</f>
        <v>3576</v>
      </c>
      <c r="D8" s="252">
        <v>515</v>
      </c>
      <c r="E8" s="252">
        <v>2</v>
      </c>
      <c r="F8" s="252">
        <v>7</v>
      </c>
      <c r="G8" s="252">
        <v>10373</v>
      </c>
      <c r="H8" s="252">
        <v>29</v>
      </c>
      <c r="I8" s="252">
        <v>295</v>
      </c>
      <c r="J8" s="286">
        <f t="shared" si="0"/>
        <v>59077</v>
      </c>
    </row>
    <row r="9" spans="1:10">
      <c r="A9" s="277">
        <v>2005</v>
      </c>
      <c r="B9" s="252">
        <v>44917</v>
      </c>
      <c r="C9" s="252">
        <f>4043-295</f>
        <v>3748</v>
      </c>
      <c r="D9" s="252">
        <v>528</v>
      </c>
      <c r="E9" s="252">
        <v>2</v>
      </c>
      <c r="F9" s="252">
        <v>8</v>
      </c>
      <c r="G9" s="252">
        <v>10624</v>
      </c>
      <c r="H9" s="252">
        <v>30</v>
      </c>
      <c r="I9" s="252">
        <v>295</v>
      </c>
      <c r="J9" s="286">
        <f t="shared" si="0"/>
        <v>60152</v>
      </c>
    </row>
    <row r="10" spans="1:10">
      <c r="A10" s="278">
        <v>2006</v>
      </c>
      <c r="B10" s="252">
        <v>45961</v>
      </c>
      <c r="C10" s="252">
        <v>3733</v>
      </c>
      <c r="D10" s="252">
        <v>522</v>
      </c>
      <c r="E10" s="252">
        <v>2</v>
      </c>
      <c r="F10" s="252">
        <v>9</v>
      </c>
      <c r="G10" s="252">
        <v>11038</v>
      </c>
      <c r="H10" s="252">
        <v>27</v>
      </c>
      <c r="I10" s="252">
        <v>301</v>
      </c>
      <c r="J10" s="286">
        <f t="shared" si="0"/>
        <v>61593</v>
      </c>
    </row>
    <row r="11" spans="1:10">
      <c r="A11" s="277">
        <v>2007</v>
      </c>
      <c r="B11" s="252">
        <v>46679</v>
      </c>
      <c r="C11" s="252">
        <v>3765</v>
      </c>
      <c r="D11" s="252">
        <v>524</v>
      </c>
      <c r="E11" s="252">
        <v>2</v>
      </c>
      <c r="F11" s="252">
        <v>9</v>
      </c>
      <c r="G11" s="252">
        <v>11523</v>
      </c>
      <c r="H11" s="252">
        <v>26</v>
      </c>
      <c r="I11" s="252">
        <v>301</v>
      </c>
      <c r="J11" s="286">
        <f t="shared" si="0"/>
        <v>62829</v>
      </c>
    </row>
    <row r="12" spans="1:10">
      <c r="A12" s="278">
        <v>2008</v>
      </c>
      <c r="B12" s="252">
        <v>47436</v>
      </c>
      <c r="C12" s="252">
        <v>3822</v>
      </c>
      <c r="D12" s="252">
        <v>543</v>
      </c>
      <c r="E12" s="252">
        <v>3</v>
      </c>
      <c r="F12" s="252">
        <v>9</v>
      </c>
      <c r="G12" s="252">
        <v>11720</v>
      </c>
      <c r="H12" s="252">
        <v>26</v>
      </c>
      <c r="I12" s="252">
        <v>301</v>
      </c>
      <c r="J12" s="286">
        <f t="shared" si="0"/>
        <v>63860</v>
      </c>
    </row>
    <row r="13" spans="1:10">
      <c r="A13" s="277">
        <v>2009</v>
      </c>
      <c r="B13" s="252">
        <v>47769</v>
      </c>
      <c r="C13" s="252">
        <v>3897</v>
      </c>
      <c r="D13" s="252">
        <v>507</v>
      </c>
      <c r="E13" s="252">
        <v>1</v>
      </c>
      <c r="F13" s="252">
        <v>10</v>
      </c>
      <c r="G13" s="252">
        <v>11882</v>
      </c>
      <c r="H13" s="252">
        <v>26</v>
      </c>
      <c r="I13" s="252">
        <v>304</v>
      </c>
      <c r="J13" s="286">
        <f t="shared" si="0"/>
        <v>64396</v>
      </c>
    </row>
    <row r="14" spans="1:10">
      <c r="A14" s="278">
        <v>2010</v>
      </c>
      <c r="B14" s="252">
        <v>48460</v>
      </c>
      <c r="C14" s="252">
        <v>3961</v>
      </c>
      <c r="D14" s="252">
        <v>518</v>
      </c>
      <c r="E14" s="252">
        <v>1</v>
      </c>
      <c r="F14" s="252">
        <v>10</v>
      </c>
      <c r="G14" s="252">
        <v>12109</v>
      </c>
      <c r="H14" s="252">
        <v>24</v>
      </c>
      <c r="I14" s="252">
        <v>309</v>
      </c>
      <c r="J14" s="286">
        <f t="shared" si="0"/>
        <v>65392</v>
      </c>
    </row>
    <row r="15" spans="1:10">
      <c r="A15" s="278">
        <v>2011</v>
      </c>
      <c r="B15" s="252">
        <v>48841</v>
      </c>
      <c r="C15" s="252">
        <v>3816</v>
      </c>
      <c r="D15" s="252">
        <v>523</v>
      </c>
      <c r="E15" s="252">
        <v>1</v>
      </c>
      <c r="F15" s="252">
        <v>10</v>
      </c>
      <c r="G15" s="252">
        <v>12146</v>
      </c>
      <c r="H15" s="252">
        <v>24</v>
      </c>
      <c r="I15" s="252">
        <v>296</v>
      </c>
      <c r="J15" s="286">
        <f t="shared" si="0"/>
        <v>65657</v>
      </c>
    </row>
    <row r="16" spans="1:10">
      <c r="A16" s="278">
        <v>2012</v>
      </c>
      <c r="B16" s="252">
        <v>49201</v>
      </c>
      <c r="C16" s="252">
        <v>3885</v>
      </c>
      <c r="D16" s="252">
        <v>500</v>
      </c>
      <c r="E16" s="252">
        <v>1</v>
      </c>
      <c r="F16" s="252">
        <v>11</v>
      </c>
      <c r="G16" s="252">
        <v>12280</v>
      </c>
      <c r="H16" s="252">
        <v>24</v>
      </c>
      <c r="I16" s="252">
        <v>295</v>
      </c>
      <c r="J16" s="286">
        <f t="shared" si="0"/>
        <v>66197</v>
      </c>
    </row>
    <row r="17" spans="1:10" ht="13.8" thickBot="1">
      <c r="A17" s="279">
        <v>2013</v>
      </c>
      <c r="B17" s="265">
        <v>49821</v>
      </c>
      <c r="C17" s="265">
        <v>3919</v>
      </c>
      <c r="D17" s="265">
        <v>500</v>
      </c>
      <c r="E17" s="265">
        <v>1</v>
      </c>
      <c r="F17" s="265">
        <v>11</v>
      </c>
      <c r="G17" s="265">
        <v>12375</v>
      </c>
      <c r="H17" s="265">
        <v>24</v>
      </c>
      <c r="I17" s="265">
        <v>295</v>
      </c>
      <c r="J17" s="287">
        <f t="shared" si="0"/>
        <v>66946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137"/>
  <sheetViews>
    <sheetView topLeftCell="A82" workbookViewId="0"/>
  </sheetViews>
  <sheetFormatPr defaultRowHeight="13.2"/>
  <cols>
    <col min="1" max="1" width="25.88671875" customWidth="1"/>
    <col min="2" max="2" width="11.6640625" bestFit="1" customWidth="1"/>
    <col min="3" max="3" width="10.6640625" bestFit="1" customWidth="1"/>
    <col min="4" max="4" width="9.5546875" bestFit="1" customWidth="1"/>
    <col min="5" max="5" width="10" customWidth="1"/>
    <col min="6" max="7" width="11.109375" customWidth="1"/>
    <col min="8" max="8" width="14" bestFit="1" customWidth="1"/>
    <col min="9" max="9" width="10.109375" customWidth="1"/>
    <col min="10" max="10" width="10.5546875" customWidth="1"/>
    <col min="11" max="12" width="9.33203125" bestFit="1" customWidth="1"/>
    <col min="13" max="13" width="15" bestFit="1" customWidth="1"/>
  </cols>
  <sheetData>
    <row r="1" spans="1:10" ht="23.4" thickBot="1">
      <c r="A1" s="257" t="s">
        <v>112</v>
      </c>
      <c r="B1" s="250" t="s">
        <v>71</v>
      </c>
      <c r="C1" s="250" t="s">
        <v>236</v>
      </c>
      <c r="D1" s="250" t="s">
        <v>235</v>
      </c>
      <c r="E1" s="250" t="s">
        <v>74</v>
      </c>
      <c r="F1" s="250" t="s">
        <v>237</v>
      </c>
      <c r="G1" s="250" t="s">
        <v>238</v>
      </c>
      <c r="H1" s="250" t="s">
        <v>239</v>
      </c>
      <c r="I1" s="250" t="s">
        <v>76</v>
      </c>
      <c r="J1" s="251" t="s">
        <v>9</v>
      </c>
    </row>
    <row r="2" spans="1:10">
      <c r="A2" s="280" t="s">
        <v>243</v>
      </c>
      <c r="B2" s="281"/>
      <c r="C2" s="281"/>
      <c r="D2" s="281"/>
      <c r="E2" s="281"/>
      <c r="F2" s="281"/>
      <c r="G2" s="281"/>
      <c r="H2" s="281"/>
      <c r="I2" s="281"/>
      <c r="J2" s="282"/>
    </row>
    <row r="3" spans="1:10">
      <c r="A3" s="283" t="s">
        <v>114</v>
      </c>
      <c r="B3" s="255">
        <v>47243</v>
      </c>
      <c r="C3" s="255">
        <v>3845</v>
      </c>
      <c r="D3" s="255">
        <v>522</v>
      </c>
      <c r="E3" s="255">
        <v>2</v>
      </c>
      <c r="F3" s="255">
        <v>9</v>
      </c>
      <c r="G3" s="255">
        <v>11650</v>
      </c>
      <c r="H3" s="255">
        <v>77</v>
      </c>
      <c r="I3" s="255">
        <v>305</v>
      </c>
      <c r="J3" s="262">
        <f>SUM(B3:I3)</f>
        <v>63653</v>
      </c>
    </row>
    <row r="4" spans="1:10">
      <c r="A4" s="283" t="s">
        <v>227</v>
      </c>
      <c r="B4" s="255">
        <v>49919.725406979574</v>
      </c>
      <c r="C4" s="255">
        <v>3961</v>
      </c>
      <c r="D4" s="255">
        <v>518</v>
      </c>
      <c r="E4" s="255">
        <v>1</v>
      </c>
      <c r="F4" s="255">
        <v>10</v>
      </c>
      <c r="G4" s="255">
        <v>12761.899782618997</v>
      </c>
      <c r="H4" s="255">
        <v>22.307657589073369</v>
      </c>
      <c r="I4" s="255">
        <v>313.0793844964528</v>
      </c>
      <c r="J4" s="262">
        <f>SUM(B4:I4)</f>
        <v>67507.012231684101</v>
      </c>
    </row>
    <row r="5" spans="1:10">
      <c r="A5" s="277"/>
      <c r="B5" s="254"/>
      <c r="C5" s="284"/>
      <c r="D5" s="284"/>
      <c r="E5" s="284"/>
      <c r="F5" s="284"/>
      <c r="G5" s="284"/>
      <c r="H5" s="284"/>
      <c r="I5" s="284"/>
      <c r="J5" s="285"/>
    </row>
    <row r="6" spans="1:10">
      <c r="A6" s="277">
        <v>2002</v>
      </c>
      <c r="B6" s="252">
        <v>42960</v>
      </c>
      <c r="C6" s="252">
        <v>3701</v>
      </c>
      <c r="D6" s="252">
        <v>573</v>
      </c>
      <c r="E6" s="252">
        <v>2</v>
      </c>
      <c r="F6" s="252">
        <v>5</v>
      </c>
      <c r="G6" s="252">
        <v>9967</v>
      </c>
      <c r="H6" s="252">
        <v>38</v>
      </c>
      <c r="I6" s="252">
        <v>291</v>
      </c>
      <c r="J6" s="286">
        <f t="shared" ref="J6:J17" si="0">SUM(B6:I6)</f>
        <v>57537</v>
      </c>
    </row>
    <row r="7" spans="1:10">
      <c r="A7" s="277">
        <v>2003</v>
      </c>
      <c r="B7" s="252">
        <v>43679</v>
      </c>
      <c r="C7" s="252">
        <f>3970-293</f>
        <v>3677</v>
      </c>
      <c r="D7" s="252">
        <v>545</v>
      </c>
      <c r="E7" s="252">
        <v>3</v>
      </c>
      <c r="F7" s="252">
        <v>5</v>
      </c>
      <c r="G7" s="252">
        <v>10151</v>
      </c>
      <c r="H7" s="252">
        <v>31</v>
      </c>
      <c r="I7" s="252">
        <v>293</v>
      </c>
      <c r="J7" s="286">
        <f t="shared" si="0"/>
        <v>58384</v>
      </c>
    </row>
    <row r="8" spans="1:10">
      <c r="A8" s="278">
        <v>2004</v>
      </c>
      <c r="B8" s="252">
        <v>44280</v>
      </c>
      <c r="C8" s="252">
        <f>3871-295</f>
        <v>3576</v>
      </c>
      <c r="D8" s="252">
        <v>515</v>
      </c>
      <c r="E8" s="252">
        <v>2</v>
      </c>
      <c r="F8" s="252">
        <v>7</v>
      </c>
      <c r="G8" s="252">
        <v>10373</v>
      </c>
      <c r="H8" s="252">
        <v>29</v>
      </c>
      <c r="I8" s="252">
        <v>295</v>
      </c>
      <c r="J8" s="286">
        <f t="shared" si="0"/>
        <v>59077</v>
      </c>
    </row>
    <row r="9" spans="1:10">
      <c r="A9" s="277">
        <v>2005</v>
      </c>
      <c r="B9" s="252">
        <v>44917</v>
      </c>
      <c r="C9" s="252">
        <f>4043-295</f>
        <v>3748</v>
      </c>
      <c r="D9" s="252">
        <v>528</v>
      </c>
      <c r="E9" s="252">
        <v>2</v>
      </c>
      <c r="F9" s="252">
        <v>8</v>
      </c>
      <c r="G9" s="252">
        <v>10624</v>
      </c>
      <c r="H9" s="252">
        <v>30</v>
      </c>
      <c r="I9" s="252">
        <v>295</v>
      </c>
      <c r="J9" s="286">
        <f t="shared" si="0"/>
        <v>60152</v>
      </c>
    </row>
    <row r="10" spans="1:10">
      <c r="A10" s="278">
        <v>2006</v>
      </c>
      <c r="B10" s="252">
        <v>45961</v>
      </c>
      <c r="C10" s="252">
        <v>3733</v>
      </c>
      <c r="D10" s="252">
        <v>522</v>
      </c>
      <c r="E10" s="252">
        <v>2</v>
      </c>
      <c r="F10" s="252">
        <v>9</v>
      </c>
      <c r="G10" s="252">
        <v>11038</v>
      </c>
      <c r="H10" s="252">
        <v>27</v>
      </c>
      <c r="I10" s="252">
        <v>301</v>
      </c>
      <c r="J10" s="286">
        <f t="shared" si="0"/>
        <v>61593</v>
      </c>
    </row>
    <row r="11" spans="1:10">
      <c r="A11" s="277">
        <v>2007</v>
      </c>
      <c r="B11" s="252">
        <v>46679</v>
      </c>
      <c r="C11" s="252">
        <v>3765</v>
      </c>
      <c r="D11" s="252">
        <v>524</v>
      </c>
      <c r="E11" s="252">
        <v>2</v>
      </c>
      <c r="F11" s="252">
        <v>9</v>
      </c>
      <c r="G11" s="252">
        <v>11523</v>
      </c>
      <c r="H11" s="252">
        <v>26</v>
      </c>
      <c r="I11" s="252">
        <v>301</v>
      </c>
      <c r="J11" s="286">
        <f t="shared" si="0"/>
        <v>62829</v>
      </c>
    </row>
    <row r="12" spans="1:10">
      <c r="A12" s="278">
        <v>2008</v>
      </c>
      <c r="B12" s="252">
        <v>47436</v>
      </c>
      <c r="C12" s="252">
        <v>3822</v>
      </c>
      <c r="D12" s="252">
        <v>543</v>
      </c>
      <c r="E12" s="252">
        <v>3</v>
      </c>
      <c r="F12" s="252">
        <v>9</v>
      </c>
      <c r="G12" s="252">
        <v>11720</v>
      </c>
      <c r="H12" s="252">
        <v>26</v>
      </c>
      <c r="I12" s="252">
        <v>301</v>
      </c>
      <c r="J12" s="286">
        <f t="shared" si="0"/>
        <v>63860</v>
      </c>
    </row>
    <row r="13" spans="1:10">
      <c r="A13" s="277">
        <v>2009</v>
      </c>
      <c r="B13" s="252">
        <v>47769</v>
      </c>
      <c r="C13" s="252">
        <v>3897</v>
      </c>
      <c r="D13" s="252">
        <v>507</v>
      </c>
      <c r="E13" s="252">
        <v>1</v>
      </c>
      <c r="F13" s="252">
        <v>10</v>
      </c>
      <c r="G13" s="252">
        <v>11882</v>
      </c>
      <c r="H13" s="252">
        <v>26</v>
      </c>
      <c r="I13" s="252">
        <v>304</v>
      </c>
      <c r="J13" s="286">
        <f t="shared" si="0"/>
        <v>64396</v>
      </c>
    </row>
    <row r="14" spans="1:10">
      <c r="A14" s="278">
        <v>2010</v>
      </c>
      <c r="B14" s="252">
        <v>48460</v>
      </c>
      <c r="C14" s="252">
        <v>3961</v>
      </c>
      <c r="D14" s="252">
        <v>518</v>
      </c>
      <c r="E14" s="252">
        <v>1</v>
      </c>
      <c r="F14" s="252">
        <v>10</v>
      </c>
      <c r="G14" s="252">
        <v>12109</v>
      </c>
      <c r="H14" s="252">
        <v>24</v>
      </c>
      <c r="I14" s="252">
        <v>309</v>
      </c>
      <c r="J14" s="286">
        <f t="shared" si="0"/>
        <v>65392</v>
      </c>
    </row>
    <row r="15" spans="1:10">
      <c r="A15" s="278">
        <v>2011</v>
      </c>
      <c r="B15" s="252">
        <v>48841</v>
      </c>
      <c r="C15" s="252">
        <v>3816</v>
      </c>
      <c r="D15" s="252">
        <v>523</v>
      </c>
      <c r="E15" s="252">
        <v>1</v>
      </c>
      <c r="F15" s="252">
        <v>10</v>
      </c>
      <c r="G15" s="252">
        <v>12146</v>
      </c>
      <c r="H15" s="252">
        <v>24</v>
      </c>
      <c r="I15" s="252">
        <v>296</v>
      </c>
      <c r="J15" s="286">
        <f t="shared" si="0"/>
        <v>65657</v>
      </c>
    </row>
    <row r="16" spans="1:10">
      <c r="A16" s="278">
        <v>2012</v>
      </c>
      <c r="B16" s="252">
        <v>49201</v>
      </c>
      <c r="C16" s="252">
        <v>3885</v>
      </c>
      <c r="D16" s="252">
        <v>500</v>
      </c>
      <c r="E16" s="252">
        <v>1</v>
      </c>
      <c r="F16" s="252">
        <v>11</v>
      </c>
      <c r="G16" s="252">
        <v>12280</v>
      </c>
      <c r="H16" s="252">
        <v>24</v>
      </c>
      <c r="I16" s="252">
        <v>295</v>
      </c>
      <c r="J16" s="286">
        <f t="shared" si="0"/>
        <v>66197</v>
      </c>
    </row>
    <row r="17" spans="1:10" ht="13.8" thickBot="1">
      <c r="A17" s="279">
        <v>2013</v>
      </c>
      <c r="B17" s="265">
        <v>49821</v>
      </c>
      <c r="C17" s="265">
        <v>3919</v>
      </c>
      <c r="D17" s="265">
        <v>500</v>
      </c>
      <c r="E17" s="265">
        <v>1</v>
      </c>
      <c r="F17" s="265">
        <v>11</v>
      </c>
      <c r="G17" s="265">
        <v>12375</v>
      </c>
      <c r="H17" s="265">
        <v>24</v>
      </c>
      <c r="I17" s="265">
        <v>295</v>
      </c>
      <c r="J17" s="287">
        <f t="shared" si="0"/>
        <v>66946</v>
      </c>
    </row>
    <row r="18" spans="1:10" ht="13.8" thickBot="1"/>
    <row r="19" spans="1:10" ht="23.4" thickBot="1">
      <c r="A19" s="257" t="s">
        <v>112</v>
      </c>
      <c r="B19" s="250" t="s">
        <v>71</v>
      </c>
      <c r="C19" s="250" t="s">
        <v>236</v>
      </c>
      <c r="D19" s="250" t="s">
        <v>235</v>
      </c>
      <c r="E19" s="250" t="s">
        <v>74</v>
      </c>
      <c r="F19" s="250" t="s">
        <v>237</v>
      </c>
      <c r="G19" s="250" t="s">
        <v>238</v>
      </c>
      <c r="H19" s="250" t="s">
        <v>239</v>
      </c>
      <c r="I19" s="250" t="s">
        <v>76</v>
      </c>
      <c r="J19" s="251" t="s">
        <v>9</v>
      </c>
    </row>
    <row r="20" spans="1:10">
      <c r="A20" s="280" t="s">
        <v>276</v>
      </c>
      <c r="B20" s="281"/>
      <c r="C20" s="281"/>
      <c r="D20" s="281"/>
      <c r="E20" s="281"/>
      <c r="F20" s="281"/>
      <c r="G20" s="281"/>
      <c r="H20" s="281"/>
      <c r="I20" s="281"/>
      <c r="J20" s="282"/>
    </row>
    <row r="21" spans="1:10">
      <c r="A21" s="283" t="s">
        <v>114</v>
      </c>
      <c r="B21" s="255">
        <v>47243</v>
      </c>
      <c r="C21" s="255">
        <v>3845</v>
      </c>
      <c r="D21" s="255">
        <v>522</v>
      </c>
      <c r="E21" s="255">
        <v>2</v>
      </c>
      <c r="F21" s="255">
        <v>9</v>
      </c>
      <c r="G21" s="255">
        <v>11650</v>
      </c>
      <c r="H21" s="255">
        <v>77</v>
      </c>
      <c r="I21" s="255">
        <v>305</v>
      </c>
      <c r="J21" s="262">
        <f>SUM(B21:I21)</f>
        <v>63653</v>
      </c>
    </row>
    <row r="22" spans="1:10">
      <c r="A22" s="283" t="s">
        <v>227</v>
      </c>
      <c r="B22" s="255">
        <v>49919.725406979574</v>
      </c>
      <c r="C22" s="255">
        <v>3961</v>
      </c>
      <c r="D22" s="255">
        <v>518</v>
      </c>
      <c r="E22" s="255">
        <v>1</v>
      </c>
      <c r="F22" s="255">
        <v>10</v>
      </c>
      <c r="G22" s="255">
        <v>12761.899782618997</v>
      </c>
      <c r="H22" s="255">
        <v>22.307657589073369</v>
      </c>
      <c r="I22" s="255">
        <v>313.0793844964528</v>
      </c>
      <c r="J22" s="262">
        <f>SUM(B22:I22)</f>
        <v>67507.012231684101</v>
      </c>
    </row>
    <row r="23" spans="1:10">
      <c r="A23" s="277"/>
      <c r="B23" s="254"/>
      <c r="C23" s="284"/>
      <c r="D23" s="284"/>
      <c r="E23" s="284"/>
      <c r="F23" s="284"/>
      <c r="G23" s="284"/>
      <c r="H23" s="284"/>
      <c r="I23" s="284"/>
      <c r="J23" s="285"/>
    </row>
    <row r="24" spans="1:10">
      <c r="A24" s="277">
        <v>2003</v>
      </c>
      <c r="B24" s="252">
        <f>AVERAGE(B6:B7)</f>
        <v>43319.5</v>
      </c>
      <c r="C24" s="252">
        <f t="shared" ref="C24:I24" si="1">AVERAGE(C6:C7)</f>
        <v>3689</v>
      </c>
      <c r="D24" s="252">
        <f t="shared" si="1"/>
        <v>559</v>
      </c>
      <c r="E24" s="252">
        <f t="shared" si="1"/>
        <v>2.5</v>
      </c>
      <c r="F24" s="252">
        <f t="shared" si="1"/>
        <v>5</v>
      </c>
      <c r="G24" s="252">
        <f t="shared" si="1"/>
        <v>10059</v>
      </c>
      <c r="H24" s="252">
        <f t="shared" si="1"/>
        <v>34.5</v>
      </c>
      <c r="I24" s="252">
        <f t="shared" si="1"/>
        <v>292</v>
      </c>
      <c r="J24" s="286">
        <f t="shared" ref="J24:J34" si="2">SUM(B24:I24)</f>
        <v>57960.5</v>
      </c>
    </row>
    <row r="25" spans="1:10">
      <c r="A25" s="278">
        <v>2004</v>
      </c>
      <c r="B25" s="252">
        <f t="shared" ref="B25:I25" si="3">AVERAGE(B7:B8)</f>
        <v>43979.5</v>
      </c>
      <c r="C25" s="252">
        <f t="shared" si="3"/>
        <v>3626.5</v>
      </c>
      <c r="D25" s="252">
        <f t="shared" si="3"/>
        <v>530</v>
      </c>
      <c r="E25" s="252">
        <f t="shared" si="3"/>
        <v>2.5</v>
      </c>
      <c r="F25" s="252">
        <f t="shared" si="3"/>
        <v>6</v>
      </c>
      <c r="G25" s="252">
        <f t="shared" si="3"/>
        <v>10262</v>
      </c>
      <c r="H25" s="252">
        <f t="shared" si="3"/>
        <v>30</v>
      </c>
      <c r="I25" s="252">
        <f t="shared" si="3"/>
        <v>294</v>
      </c>
      <c r="J25" s="286">
        <f t="shared" si="2"/>
        <v>58730.5</v>
      </c>
    </row>
    <row r="26" spans="1:10">
      <c r="A26" s="277">
        <v>2005</v>
      </c>
      <c r="B26" s="252">
        <f t="shared" ref="B26:I26" si="4">AVERAGE(B8:B9)</f>
        <v>44598.5</v>
      </c>
      <c r="C26" s="252">
        <f t="shared" si="4"/>
        <v>3662</v>
      </c>
      <c r="D26" s="252">
        <f t="shared" si="4"/>
        <v>521.5</v>
      </c>
      <c r="E26" s="252">
        <f t="shared" si="4"/>
        <v>2</v>
      </c>
      <c r="F26" s="252">
        <f t="shared" si="4"/>
        <v>7.5</v>
      </c>
      <c r="G26" s="252">
        <f t="shared" si="4"/>
        <v>10498.5</v>
      </c>
      <c r="H26" s="252">
        <f t="shared" si="4"/>
        <v>29.5</v>
      </c>
      <c r="I26" s="252">
        <f t="shared" si="4"/>
        <v>295</v>
      </c>
      <c r="J26" s="286">
        <f t="shared" si="2"/>
        <v>59614.5</v>
      </c>
    </row>
    <row r="27" spans="1:10">
      <c r="A27" s="278">
        <v>2006</v>
      </c>
      <c r="B27" s="252">
        <f t="shared" ref="B27:I27" si="5">AVERAGE(B9:B10)</f>
        <v>45439</v>
      </c>
      <c r="C27" s="252">
        <f t="shared" si="5"/>
        <v>3740.5</v>
      </c>
      <c r="D27" s="252">
        <f t="shared" si="5"/>
        <v>525</v>
      </c>
      <c r="E27" s="252">
        <f t="shared" si="5"/>
        <v>2</v>
      </c>
      <c r="F27" s="252">
        <f t="shared" si="5"/>
        <v>8.5</v>
      </c>
      <c r="G27" s="252">
        <f t="shared" si="5"/>
        <v>10831</v>
      </c>
      <c r="H27" s="252">
        <f t="shared" si="5"/>
        <v>28.5</v>
      </c>
      <c r="I27" s="252">
        <f t="shared" si="5"/>
        <v>298</v>
      </c>
      <c r="J27" s="286">
        <f t="shared" si="2"/>
        <v>60872.5</v>
      </c>
    </row>
    <row r="28" spans="1:10">
      <c r="A28" s="277">
        <v>2007</v>
      </c>
      <c r="B28" s="252">
        <f t="shared" ref="B28:I28" si="6">AVERAGE(B10:B11)</f>
        <v>46320</v>
      </c>
      <c r="C28" s="252">
        <f t="shared" si="6"/>
        <v>3749</v>
      </c>
      <c r="D28" s="252">
        <f t="shared" si="6"/>
        <v>523</v>
      </c>
      <c r="E28" s="252">
        <f t="shared" si="6"/>
        <v>2</v>
      </c>
      <c r="F28" s="252">
        <f t="shared" si="6"/>
        <v>9</v>
      </c>
      <c r="G28" s="252">
        <f t="shared" si="6"/>
        <v>11280.5</v>
      </c>
      <c r="H28" s="252">
        <f t="shared" si="6"/>
        <v>26.5</v>
      </c>
      <c r="I28" s="252">
        <f t="shared" si="6"/>
        <v>301</v>
      </c>
      <c r="J28" s="286">
        <f t="shared" si="2"/>
        <v>62211</v>
      </c>
    </row>
    <row r="29" spans="1:10">
      <c r="A29" s="278">
        <v>2008</v>
      </c>
      <c r="B29" s="252">
        <f t="shared" ref="B29:I29" si="7">AVERAGE(B11:B12)</f>
        <v>47057.5</v>
      </c>
      <c r="C29" s="252">
        <f t="shared" si="7"/>
        <v>3793.5</v>
      </c>
      <c r="D29" s="252">
        <f t="shared" si="7"/>
        <v>533.5</v>
      </c>
      <c r="E29" s="252">
        <f t="shared" si="7"/>
        <v>2.5</v>
      </c>
      <c r="F29" s="252">
        <f t="shared" si="7"/>
        <v>9</v>
      </c>
      <c r="G29" s="252">
        <f t="shared" si="7"/>
        <v>11621.5</v>
      </c>
      <c r="H29" s="252">
        <f t="shared" si="7"/>
        <v>26</v>
      </c>
      <c r="I29" s="252">
        <f t="shared" si="7"/>
        <v>301</v>
      </c>
      <c r="J29" s="286">
        <f t="shared" si="2"/>
        <v>63344.5</v>
      </c>
    </row>
    <row r="30" spans="1:10">
      <c r="A30" s="277">
        <v>2009</v>
      </c>
      <c r="B30" s="252">
        <f t="shared" ref="B30:I30" si="8">AVERAGE(B12:B13)</f>
        <v>47602.5</v>
      </c>
      <c r="C30" s="252">
        <f t="shared" si="8"/>
        <v>3859.5</v>
      </c>
      <c r="D30" s="252">
        <f t="shared" si="8"/>
        <v>525</v>
      </c>
      <c r="E30" s="252">
        <f t="shared" si="8"/>
        <v>2</v>
      </c>
      <c r="F30" s="252">
        <f t="shared" si="8"/>
        <v>9.5</v>
      </c>
      <c r="G30" s="252">
        <f t="shared" si="8"/>
        <v>11801</v>
      </c>
      <c r="H30" s="252">
        <f t="shared" si="8"/>
        <v>26</v>
      </c>
      <c r="I30" s="252">
        <f t="shared" si="8"/>
        <v>302.5</v>
      </c>
      <c r="J30" s="286">
        <f t="shared" si="2"/>
        <v>64128</v>
      </c>
    </row>
    <row r="31" spans="1:10">
      <c r="A31" s="278">
        <v>2010</v>
      </c>
      <c r="B31" s="252">
        <f t="shared" ref="B31:I31" si="9">AVERAGE(B13:B14)</f>
        <v>48114.5</v>
      </c>
      <c r="C31" s="252">
        <f t="shared" si="9"/>
        <v>3929</v>
      </c>
      <c r="D31" s="252">
        <f t="shared" si="9"/>
        <v>512.5</v>
      </c>
      <c r="E31" s="252">
        <f t="shared" si="9"/>
        <v>1</v>
      </c>
      <c r="F31" s="252">
        <f t="shared" si="9"/>
        <v>10</v>
      </c>
      <c r="G31" s="252">
        <f t="shared" si="9"/>
        <v>11995.5</v>
      </c>
      <c r="H31" s="252">
        <f t="shared" si="9"/>
        <v>25</v>
      </c>
      <c r="I31" s="252">
        <f t="shared" si="9"/>
        <v>306.5</v>
      </c>
      <c r="J31" s="286">
        <f t="shared" si="2"/>
        <v>64894</v>
      </c>
    </row>
    <row r="32" spans="1:10">
      <c r="A32" s="278">
        <v>2011</v>
      </c>
      <c r="B32" s="252">
        <f t="shared" ref="B32:I32" si="10">AVERAGE(B14:B15)</f>
        <v>48650.5</v>
      </c>
      <c r="C32" s="252">
        <f t="shared" si="10"/>
        <v>3888.5</v>
      </c>
      <c r="D32" s="252">
        <f t="shared" si="10"/>
        <v>520.5</v>
      </c>
      <c r="E32" s="252">
        <f t="shared" si="10"/>
        <v>1</v>
      </c>
      <c r="F32" s="252">
        <f t="shared" si="10"/>
        <v>10</v>
      </c>
      <c r="G32" s="252">
        <f t="shared" si="10"/>
        <v>12127.5</v>
      </c>
      <c r="H32" s="252">
        <f t="shared" si="10"/>
        <v>24</v>
      </c>
      <c r="I32" s="252">
        <f t="shared" si="10"/>
        <v>302.5</v>
      </c>
      <c r="J32" s="286">
        <f t="shared" si="2"/>
        <v>65524.5</v>
      </c>
    </row>
    <row r="33" spans="1:10">
      <c r="A33" s="278">
        <v>2012</v>
      </c>
      <c r="B33" s="252">
        <f t="shared" ref="B33:I33" si="11">AVERAGE(B15:B16)</f>
        <v>49021</v>
      </c>
      <c r="C33" s="252">
        <f t="shared" si="11"/>
        <v>3850.5</v>
      </c>
      <c r="D33" s="252">
        <f t="shared" si="11"/>
        <v>511.5</v>
      </c>
      <c r="E33" s="252">
        <f t="shared" si="11"/>
        <v>1</v>
      </c>
      <c r="F33" s="252">
        <f t="shared" si="11"/>
        <v>10.5</v>
      </c>
      <c r="G33" s="252">
        <f t="shared" si="11"/>
        <v>12213</v>
      </c>
      <c r="H33" s="252">
        <f t="shared" si="11"/>
        <v>24</v>
      </c>
      <c r="I33" s="252">
        <f t="shared" si="11"/>
        <v>295.5</v>
      </c>
      <c r="J33" s="286">
        <f t="shared" si="2"/>
        <v>65927</v>
      </c>
    </row>
    <row r="34" spans="1:10" ht="13.8" thickBot="1">
      <c r="A34" s="279">
        <v>2013</v>
      </c>
      <c r="B34" s="265">
        <f t="shared" ref="B34:I34" si="12">AVERAGE(B16:B17)</f>
        <v>49511</v>
      </c>
      <c r="C34" s="265">
        <f t="shared" si="12"/>
        <v>3902</v>
      </c>
      <c r="D34" s="265">
        <f t="shared" si="12"/>
        <v>500</v>
      </c>
      <c r="E34" s="265">
        <f t="shared" si="12"/>
        <v>1</v>
      </c>
      <c r="F34" s="265">
        <f t="shared" si="12"/>
        <v>11</v>
      </c>
      <c r="G34" s="265">
        <f t="shared" si="12"/>
        <v>12327.5</v>
      </c>
      <c r="H34" s="265">
        <f t="shared" si="12"/>
        <v>24</v>
      </c>
      <c r="I34" s="265">
        <f t="shared" si="12"/>
        <v>295</v>
      </c>
      <c r="J34" s="287">
        <f t="shared" si="2"/>
        <v>66571.5</v>
      </c>
    </row>
    <row r="35" spans="1:10" ht="13.8" thickBot="1"/>
    <row r="36" spans="1:10" ht="23.4" thickBot="1">
      <c r="A36" s="257" t="s">
        <v>112</v>
      </c>
      <c r="B36" s="250" t="s">
        <v>71</v>
      </c>
      <c r="C36" s="250" t="s">
        <v>236</v>
      </c>
      <c r="D36" s="250" t="s">
        <v>235</v>
      </c>
      <c r="E36" s="250" t="s">
        <v>74</v>
      </c>
      <c r="F36" s="250" t="s">
        <v>237</v>
      </c>
      <c r="G36" s="250" t="s">
        <v>238</v>
      </c>
      <c r="H36" s="250" t="s">
        <v>239</v>
      </c>
      <c r="I36" s="250" t="s">
        <v>76</v>
      </c>
      <c r="J36" s="251" t="s">
        <v>9</v>
      </c>
    </row>
    <row r="37" spans="1:10">
      <c r="A37" s="288" t="s">
        <v>244</v>
      </c>
      <c r="B37" s="256">
        <f>+'Rate Class Customer Model'!B40</f>
        <v>1.013448831496629</v>
      </c>
      <c r="C37" s="256">
        <f>+'Rate Class Customer Model'!C40</f>
        <v>1.0056291669104775</v>
      </c>
      <c r="D37" s="256">
        <f>+'Rate Class Customer Model'!D40</f>
        <v>1</v>
      </c>
      <c r="E37" s="256">
        <f>+'Rate Class Customer Model'!E40</f>
        <v>1</v>
      </c>
      <c r="F37" s="256">
        <f>+'Rate Class Customer Model'!F40</f>
        <v>1</v>
      </c>
      <c r="G37" s="256">
        <f>+'Rate Class Customer Model'!G40</f>
        <v>1.0205446733945012</v>
      </c>
      <c r="H37" s="256">
        <f>+'Rate Class Customer Model'!H40</f>
        <v>0.96436005856761076</v>
      </c>
      <c r="I37" s="256">
        <f>+'Rate Class Customer Model'!I40</f>
        <v>1.0010226779860292</v>
      </c>
      <c r="J37" s="289">
        <f>+'Rate Class Customer Model'!J40</f>
        <v>1.0139478576365799</v>
      </c>
    </row>
    <row r="38" spans="1:10" ht="13.8" thickBot="1">
      <c r="A38" s="290" t="s">
        <v>242</v>
      </c>
      <c r="B38" s="275">
        <f>+'Rate Class Customer Model'!B42</f>
        <v>1.013448831496629</v>
      </c>
      <c r="C38" s="275">
        <f>+'Rate Class Customer Model'!C42</f>
        <v>1.0056291669104775</v>
      </c>
      <c r="D38" s="275">
        <f>+'Rate Class Customer Model'!D42</f>
        <v>0.98890783927168779</v>
      </c>
      <c r="E38" s="275">
        <f>+'Rate Class Customer Model'!E42</f>
        <v>0.91244353655548083</v>
      </c>
      <c r="F38" s="275">
        <f>+'Rate Class Customer Model'!F42</f>
        <v>1.0820373898183429</v>
      </c>
      <c r="G38" s="275">
        <f>+'Rate Class Customer Model'!G42</f>
        <v>1.0205446733945012</v>
      </c>
      <c r="H38" s="275">
        <f>+'Rate Class Customer Model'!H42</f>
        <v>0.96436005856761076</v>
      </c>
      <c r="I38" s="275">
        <f>+'Rate Class Customer Model'!I42</f>
        <v>1.0010226779860292</v>
      </c>
      <c r="J38" s="291">
        <f>+'Rate Class Customer Model'!J42</f>
        <v>1.0139478576365799</v>
      </c>
    </row>
    <row r="39" spans="1:10" ht="13.8" thickBot="1"/>
    <row r="40" spans="1:10" ht="23.4" thickBot="1">
      <c r="A40" s="257" t="s">
        <v>112</v>
      </c>
      <c r="B40" s="250" t="s">
        <v>71</v>
      </c>
      <c r="C40" s="250" t="s">
        <v>236</v>
      </c>
      <c r="D40" s="250" t="s">
        <v>235</v>
      </c>
      <c r="E40" s="250" t="s">
        <v>74</v>
      </c>
      <c r="F40" s="250" t="s">
        <v>237</v>
      </c>
      <c r="G40" s="250" t="s">
        <v>238</v>
      </c>
      <c r="H40" s="250" t="s">
        <v>239</v>
      </c>
      <c r="I40" s="250" t="s">
        <v>76</v>
      </c>
      <c r="J40" s="251" t="s">
        <v>9</v>
      </c>
    </row>
    <row r="41" spans="1:10">
      <c r="A41" s="280" t="s">
        <v>246</v>
      </c>
      <c r="B41" s="281"/>
      <c r="C41" s="281"/>
      <c r="D41" s="281"/>
      <c r="E41" s="281"/>
      <c r="F41" s="281"/>
      <c r="G41" s="281"/>
      <c r="H41" s="281"/>
      <c r="I41" s="281"/>
      <c r="J41" s="282"/>
    </row>
    <row r="42" spans="1:10">
      <c r="A42" s="283" t="s">
        <v>114</v>
      </c>
      <c r="B42" s="255">
        <f>+B21</f>
        <v>47243</v>
      </c>
      <c r="C42" s="255">
        <f t="shared" ref="C42:I42" si="13">+C21</f>
        <v>3845</v>
      </c>
      <c r="D42" s="255">
        <f t="shared" si="13"/>
        <v>522</v>
      </c>
      <c r="E42" s="255">
        <f t="shared" si="13"/>
        <v>2</v>
      </c>
      <c r="F42" s="255">
        <f t="shared" si="13"/>
        <v>9</v>
      </c>
      <c r="G42" s="255">
        <f t="shared" si="13"/>
        <v>11650</v>
      </c>
      <c r="H42" s="255">
        <f t="shared" si="13"/>
        <v>77</v>
      </c>
      <c r="I42" s="255">
        <f t="shared" si="13"/>
        <v>305</v>
      </c>
      <c r="J42" s="262">
        <f>SUM(B42:I42)</f>
        <v>63653</v>
      </c>
    </row>
    <row r="43" spans="1:10">
      <c r="A43" s="283" t="s">
        <v>227</v>
      </c>
      <c r="B43" s="255">
        <f>+B22</f>
        <v>49919.725406979574</v>
      </c>
      <c r="C43" s="255">
        <f t="shared" ref="C43:I43" si="14">+C22</f>
        <v>3961</v>
      </c>
      <c r="D43" s="255">
        <f t="shared" si="14"/>
        <v>518</v>
      </c>
      <c r="E43" s="255">
        <f t="shared" si="14"/>
        <v>1</v>
      </c>
      <c r="F43" s="255">
        <f t="shared" si="14"/>
        <v>10</v>
      </c>
      <c r="G43" s="255">
        <f t="shared" si="14"/>
        <v>12761.899782618997</v>
      </c>
      <c r="H43" s="255">
        <f t="shared" si="14"/>
        <v>22.307657589073369</v>
      </c>
      <c r="I43" s="255">
        <f t="shared" si="14"/>
        <v>313.0793844964528</v>
      </c>
      <c r="J43" s="262">
        <f>SUM(B43:I43)</f>
        <v>67507.012231684101</v>
      </c>
    </row>
    <row r="44" spans="1:10">
      <c r="A44" s="277"/>
      <c r="B44" s="254"/>
      <c r="C44" s="284"/>
      <c r="D44" s="284"/>
      <c r="E44" s="284"/>
      <c r="F44" s="284"/>
      <c r="G44" s="284"/>
      <c r="H44" s="284"/>
      <c r="I44" s="284"/>
      <c r="J44" s="285"/>
    </row>
    <row r="45" spans="1:10">
      <c r="A45" s="278" t="s">
        <v>228</v>
      </c>
      <c r="B45" s="252">
        <f>+B34*B$37</f>
        <v>50176.865096229601</v>
      </c>
      <c r="C45" s="252">
        <f t="shared" ref="C45:I45" si="15">+C34*C$37</f>
        <v>3923.9650092846832</v>
      </c>
      <c r="D45" s="252">
        <f t="shared" si="15"/>
        <v>500</v>
      </c>
      <c r="E45" s="252">
        <f t="shared" si="15"/>
        <v>1</v>
      </c>
      <c r="F45" s="252">
        <f t="shared" si="15"/>
        <v>11</v>
      </c>
      <c r="G45" s="252">
        <f t="shared" si="15"/>
        <v>12580.764461270714</v>
      </c>
      <c r="H45" s="252">
        <f t="shared" si="15"/>
        <v>23.144641405622657</v>
      </c>
      <c r="I45" s="252">
        <f t="shared" si="15"/>
        <v>295.30169000587858</v>
      </c>
      <c r="J45" s="286">
        <f>SUM(B45:I45)</f>
        <v>67512.040898196501</v>
      </c>
    </row>
    <row r="46" spans="1:10">
      <c r="A46" s="278" t="s">
        <v>229</v>
      </c>
      <c r="B46" s="252">
        <f>+B45*B$37</f>
        <v>50851.685299937883</v>
      </c>
      <c r="C46" s="252">
        <f t="shared" ref="C46:I50" si="16">+C45*C$37</f>
        <v>3946.0536632728204</v>
      </c>
      <c r="D46" s="252">
        <f t="shared" si="16"/>
        <v>500</v>
      </c>
      <c r="E46" s="252">
        <f t="shared" si="16"/>
        <v>1</v>
      </c>
      <c r="F46" s="252">
        <f t="shared" si="16"/>
        <v>11</v>
      </c>
      <c r="G46" s="252">
        <f t="shared" si="16"/>
        <v>12839.232158180668</v>
      </c>
      <c r="H46" s="252">
        <f t="shared" si="16"/>
        <v>22.319767741452615</v>
      </c>
      <c r="I46" s="252">
        <f t="shared" si="16"/>
        <v>295.60368854348479</v>
      </c>
      <c r="J46" s="286">
        <f t="shared" ref="J46:J50" si="17">SUM(B46:I46)</f>
        <v>68466.894577676314</v>
      </c>
    </row>
    <row r="47" spans="1:10">
      <c r="A47" s="278" t="s">
        <v>230</v>
      </c>
      <c r="B47" s="252">
        <f t="shared" ref="B47:B50" si="18">+B46*B$37</f>
        <v>51535.58104685635</v>
      </c>
      <c r="C47" s="252">
        <f t="shared" si="16"/>
        <v>3968.2666579810843</v>
      </c>
      <c r="D47" s="252">
        <f t="shared" si="16"/>
        <v>500</v>
      </c>
      <c r="E47" s="252">
        <f t="shared" si="16"/>
        <v>1</v>
      </c>
      <c r="F47" s="252">
        <f t="shared" si="16"/>
        <v>11</v>
      </c>
      <c r="G47" s="252">
        <f t="shared" si="16"/>
        <v>13103.009989506667</v>
      </c>
      <c r="H47" s="252">
        <f t="shared" si="16"/>
        <v>21.524292526362714</v>
      </c>
      <c r="I47" s="252">
        <f t="shared" si="16"/>
        <v>295.90599592834724</v>
      </c>
      <c r="J47" s="286">
        <f t="shared" si="17"/>
        <v>69436.287982798807</v>
      </c>
    </row>
    <row r="48" spans="1:10">
      <c r="A48" s="278" t="s">
        <v>231</v>
      </c>
      <c r="B48" s="252">
        <f t="shared" si="18"/>
        <v>52228.674392436391</v>
      </c>
      <c r="C48" s="252">
        <f t="shared" si="16"/>
        <v>3990.6046933441426</v>
      </c>
      <c r="D48" s="252">
        <f t="shared" si="16"/>
        <v>500</v>
      </c>
      <c r="E48" s="252">
        <f t="shared" si="16"/>
        <v>1</v>
      </c>
      <c r="F48" s="252">
        <f t="shared" si="16"/>
        <v>11</v>
      </c>
      <c r="G48" s="252">
        <f t="shared" si="16"/>
        <v>13372.207050225967</v>
      </c>
      <c r="H48" s="252">
        <f t="shared" si="16"/>
        <v>20.757168001349534</v>
      </c>
      <c r="I48" s="252">
        <f t="shared" si="16"/>
        <v>296.20861247631717</v>
      </c>
      <c r="J48" s="286">
        <f t="shared" si="17"/>
        <v>70420.451916484162</v>
      </c>
    </row>
    <row r="49" spans="1:10">
      <c r="A49" s="278" t="s">
        <v>232</v>
      </c>
      <c r="B49" s="252">
        <f t="shared" si="18"/>
        <v>52931.089033632568</v>
      </c>
      <c r="C49" s="252">
        <f t="shared" si="16"/>
        <v>4013.0684732367117</v>
      </c>
      <c r="D49" s="252">
        <f t="shared" si="16"/>
        <v>500</v>
      </c>
      <c r="E49" s="252">
        <f t="shared" si="16"/>
        <v>1</v>
      </c>
      <c r="F49" s="252">
        <f t="shared" si="16"/>
        <v>11</v>
      </c>
      <c r="G49" s="252">
        <f t="shared" si="16"/>
        <v>13646.934676636505</v>
      </c>
      <c r="H49" s="252">
        <f t="shared" si="16"/>
        <v>20.017383749479173</v>
      </c>
      <c r="I49" s="252">
        <f t="shared" si="16"/>
        <v>296.51153850356894</v>
      </c>
      <c r="J49" s="286">
        <f t="shared" si="17"/>
        <v>71419.621105758837</v>
      </c>
    </row>
    <row r="50" spans="1:10" ht="13.8" thickBot="1">
      <c r="A50" s="279" t="s">
        <v>233</v>
      </c>
      <c r="B50" s="265">
        <f t="shared" si="18"/>
        <v>53642.950330978958</v>
      </c>
      <c r="C50" s="265">
        <f t="shared" si="16"/>
        <v>4035.6587054957363</v>
      </c>
      <c r="D50" s="265">
        <f t="shared" si="16"/>
        <v>500</v>
      </c>
      <c r="E50" s="265">
        <f t="shared" si="16"/>
        <v>1</v>
      </c>
      <c r="F50" s="265">
        <f t="shared" si="16"/>
        <v>11</v>
      </c>
      <c r="G50" s="265">
        <f t="shared" si="16"/>
        <v>13927.306492404095</v>
      </c>
      <c r="H50" s="265">
        <f t="shared" si="16"/>
        <v>19.303965365018076</v>
      </c>
      <c r="I50" s="265">
        <f t="shared" si="16"/>
        <v>296.81477432660017</v>
      </c>
      <c r="J50" s="287">
        <f t="shared" si="17"/>
        <v>72434.034268570409</v>
      </c>
    </row>
    <row r="51" spans="1:10" ht="13.8" thickBot="1"/>
    <row r="52" spans="1:10" ht="23.4" thickBot="1">
      <c r="A52" s="257" t="s">
        <v>112</v>
      </c>
      <c r="B52" s="250" t="s">
        <v>71</v>
      </c>
      <c r="C52" s="250" t="s">
        <v>236</v>
      </c>
      <c r="D52" s="250" t="s">
        <v>235</v>
      </c>
      <c r="E52" s="250" t="s">
        <v>74</v>
      </c>
      <c r="F52" s="250" t="s">
        <v>237</v>
      </c>
      <c r="G52" s="250" t="s">
        <v>238</v>
      </c>
      <c r="H52" s="250" t="s">
        <v>239</v>
      </c>
      <c r="I52" s="250" t="s">
        <v>76</v>
      </c>
      <c r="J52" s="251" t="s">
        <v>9</v>
      </c>
    </row>
    <row r="53" spans="1:10">
      <c r="A53" s="280" t="s">
        <v>277</v>
      </c>
      <c r="B53" s="281"/>
      <c r="C53" s="281"/>
      <c r="D53" s="281"/>
      <c r="E53" s="281"/>
      <c r="F53" s="281"/>
      <c r="G53" s="281"/>
      <c r="H53" s="281"/>
      <c r="I53" s="281"/>
      <c r="J53" s="282"/>
    </row>
    <row r="54" spans="1:10">
      <c r="A54" s="277">
        <v>2013</v>
      </c>
      <c r="B54" s="252">
        <f>+B34</f>
        <v>49511</v>
      </c>
      <c r="C54" s="252">
        <f t="shared" ref="C54:I54" si="19">+C34</f>
        <v>3902</v>
      </c>
      <c r="D54" s="252">
        <f t="shared" si="19"/>
        <v>500</v>
      </c>
      <c r="E54" s="252">
        <f t="shared" si="19"/>
        <v>1</v>
      </c>
      <c r="F54" s="252">
        <f t="shared" si="19"/>
        <v>11</v>
      </c>
      <c r="G54" s="252">
        <f t="shared" si="19"/>
        <v>12327.5</v>
      </c>
      <c r="H54" s="252">
        <f t="shared" si="19"/>
        <v>24</v>
      </c>
      <c r="I54" s="252">
        <f t="shared" si="19"/>
        <v>295</v>
      </c>
      <c r="J54" s="286">
        <f>SUM(B54:I54)</f>
        <v>66571.5</v>
      </c>
    </row>
    <row r="55" spans="1:10">
      <c r="A55" s="278" t="s">
        <v>228</v>
      </c>
      <c r="B55" s="252">
        <f>+B45</f>
        <v>50176.865096229601</v>
      </c>
      <c r="C55" s="252">
        <f t="shared" ref="C55:I55" si="20">+C45</f>
        <v>3923.9650092846832</v>
      </c>
      <c r="D55" s="252">
        <f t="shared" si="20"/>
        <v>500</v>
      </c>
      <c r="E55" s="252">
        <f t="shared" si="20"/>
        <v>1</v>
      </c>
      <c r="F55" s="252">
        <f t="shared" si="20"/>
        <v>11</v>
      </c>
      <c r="G55" s="252">
        <f t="shared" si="20"/>
        <v>12580.764461270714</v>
      </c>
      <c r="H55" s="252">
        <f t="shared" si="20"/>
        <v>23.144641405622657</v>
      </c>
      <c r="I55" s="252">
        <f t="shared" si="20"/>
        <v>295.30169000587858</v>
      </c>
      <c r="J55" s="286">
        <f t="shared" ref="J55:J60" si="21">SUM(B55:I55)</f>
        <v>67512.040898196501</v>
      </c>
    </row>
    <row r="56" spans="1:10">
      <c r="A56" s="278" t="s">
        <v>229</v>
      </c>
      <c r="B56" s="252">
        <f>+B55*1.03</f>
        <v>51682.171049116492</v>
      </c>
      <c r="C56" s="252">
        <f>+C55*1.03</f>
        <v>4041.6839595632237</v>
      </c>
      <c r="D56" s="252">
        <f>+D55*1.03</f>
        <v>515</v>
      </c>
      <c r="E56" s="252">
        <f>+E46</f>
        <v>1</v>
      </c>
      <c r="F56" s="252">
        <f>+F55*1.03</f>
        <v>11.33</v>
      </c>
      <c r="G56" s="252">
        <f>+G55*1.03</f>
        <v>12958.187395108835</v>
      </c>
      <c r="H56" s="252">
        <f>+H46</f>
        <v>22.319767741452615</v>
      </c>
      <c r="I56" s="252">
        <f>+I46</f>
        <v>295.60368854348479</v>
      </c>
      <c r="J56" s="286">
        <f t="shared" si="21"/>
        <v>69527.2958600735</v>
      </c>
    </row>
    <row r="57" spans="1:10">
      <c r="A57" s="278" t="s">
        <v>230</v>
      </c>
      <c r="B57" s="252">
        <f t="shared" ref="B57:B60" si="22">+B56*1.03</f>
        <v>53232.636180589987</v>
      </c>
      <c r="C57" s="252">
        <f t="shared" ref="C57:C60" si="23">+C56*1.03</f>
        <v>4162.9344783501201</v>
      </c>
      <c r="D57" s="252">
        <f t="shared" ref="D57:D60" si="24">+D56*1.03</f>
        <v>530.45000000000005</v>
      </c>
      <c r="E57" s="252">
        <f t="shared" ref="E57:E60" si="25">+E47</f>
        <v>1</v>
      </c>
      <c r="F57" s="252">
        <f t="shared" ref="F57:F60" si="26">+F56*1.03</f>
        <v>11.6699</v>
      </c>
      <c r="G57" s="252">
        <f t="shared" ref="G57:G60" si="27">+G56*1.03</f>
        <v>13346.933016962101</v>
      </c>
      <c r="H57" s="252">
        <f t="shared" ref="H57:I57" si="28">+H47</f>
        <v>21.524292526362714</v>
      </c>
      <c r="I57" s="252">
        <f t="shared" si="28"/>
        <v>295.90599592834724</v>
      </c>
      <c r="J57" s="286">
        <f t="shared" si="21"/>
        <v>71603.053864356916</v>
      </c>
    </row>
    <row r="58" spans="1:10">
      <c r="A58" s="278" t="s">
        <v>231</v>
      </c>
      <c r="B58" s="252">
        <f t="shared" si="22"/>
        <v>54829.615266007691</v>
      </c>
      <c r="C58" s="252">
        <f t="shared" si="23"/>
        <v>4287.8225127006235</v>
      </c>
      <c r="D58" s="252">
        <f t="shared" si="24"/>
        <v>546.36350000000004</v>
      </c>
      <c r="E58" s="252">
        <f t="shared" si="25"/>
        <v>1</v>
      </c>
      <c r="F58" s="252">
        <f t="shared" si="26"/>
        <v>12.019997</v>
      </c>
      <c r="G58" s="252">
        <f t="shared" si="27"/>
        <v>13747.341007470965</v>
      </c>
      <c r="H58" s="252">
        <f t="shared" ref="H58:I58" si="29">+H48</f>
        <v>20.757168001349534</v>
      </c>
      <c r="I58" s="252">
        <f t="shared" si="29"/>
        <v>296.20861247631717</v>
      </c>
      <c r="J58" s="286">
        <f t="shared" si="21"/>
        <v>73741.128063656943</v>
      </c>
    </row>
    <row r="59" spans="1:10">
      <c r="A59" s="278" t="s">
        <v>232</v>
      </c>
      <c r="B59" s="252">
        <f t="shared" si="22"/>
        <v>56474.503723987924</v>
      </c>
      <c r="C59" s="252">
        <f t="shared" si="23"/>
        <v>4416.457188081642</v>
      </c>
      <c r="D59" s="252">
        <f t="shared" si="24"/>
        <v>562.75440500000002</v>
      </c>
      <c r="E59" s="252">
        <f t="shared" si="25"/>
        <v>1</v>
      </c>
      <c r="F59" s="252">
        <f t="shared" si="26"/>
        <v>12.38059691</v>
      </c>
      <c r="G59" s="252">
        <f t="shared" si="27"/>
        <v>14159.761237695095</v>
      </c>
      <c r="H59" s="252">
        <f t="shared" ref="H59:I59" si="30">+H49</f>
        <v>20.017383749479173</v>
      </c>
      <c r="I59" s="252">
        <f t="shared" si="30"/>
        <v>296.51153850356894</v>
      </c>
      <c r="J59" s="286">
        <f t="shared" si="21"/>
        <v>75943.386073927715</v>
      </c>
    </row>
    <row r="60" spans="1:10" ht="13.8" thickBot="1">
      <c r="A60" s="279" t="s">
        <v>233</v>
      </c>
      <c r="B60" s="265">
        <f t="shared" si="22"/>
        <v>58168.738835707562</v>
      </c>
      <c r="C60" s="265">
        <f t="shared" si="23"/>
        <v>4548.9509037240914</v>
      </c>
      <c r="D60" s="265">
        <f t="shared" si="24"/>
        <v>579.63703715000008</v>
      </c>
      <c r="E60" s="265">
        <f t="shared" si="25"/>
        <v>1</v>
      </c>
      <c r="F60" s="265">
        <f t="shared" si="26"/>
        <v>12.752014817299999</v>
      </c>
      <c r="G60" s="265">
        <f t="shared" si="27"/>
        <v>14584.554074825948</v>
      </c>
      <c r="H60" s="265">
        <f t="shared" ref="H60:I60" si="31">+H50</f>
        <v>19.303965365018076</v>
      </c>
      <c r="I60" s="265">
        <f t="shared" si="31"/>
        <v>296.81477432660017</v>
      </c>
      <c r="J60" s="287">
        <f t="shared" si="21"/>
        <v>78211.751605916521</v>
      </c>
    </row>
    <row r="61" spans="1:10" ht="13.8" thickBot="1"/>
    <row r="62" spans="1:10" ht="23.4" thickBot="1">
      <c r="A62" s="257" t="s">
        <v>112</v>
      </c>
      <c r="B62" s="250" t="s">
        <v>71</v>
      </c>
      <c r="C62" s="250" t="s">
        <v>236</v>
      </c>
      <c r="D62" s="250" t="s">
        <v>235</v>
      </c>
      <c r="E62" s="250" t="s">
        <v>74</v>
      </c>
      <c r="F62" s="250" t="s">
        <v>237</v>
      </c>
      <c r="G62" s="250" t="s">
        <v>238</v>
      </c>
      <c r="H62" s="250" t="s">
        <v>239</v>
      </c>
      <c r="I62" s="250" t="s">
        <v>76</v>
      </c>
      <c r="J62" s="251" t="s">
        <v>9</v>
      </c>
    </row>
    <row r="63" spans="1:10">
      <c r="A63" s="280" t="s">
        <v>277</v>
      </c>
      <c r="B63" s="281"/>
      <c r="C63" s="281"/>
      <c r="D63" s="281"/>
      <c r="E63" s="281"/>
      <c r="F63" s="281"/>
      <c r="G63" s="281"/>
      <c r="H63" s="281"/>
      <c r="I63" s="281"/>
      <c r="J63" s="282"/>
    </row>
    <row r="64" spans="1:10">
      <c r="A64" s="277">
        <v>2013</v>
      </c>
      <c r="B64" s="252">
        <f>+B44+ROUND(+B54-B34,1)</f>
        <v>0</v>
      </c>
      <c r="C64" s="252">
        <f t="shared" ref="C64:I64" si="32">+C44+ROUND(+C54-C34,1)</f>
        <v>0</v>
      </c>
      <c r="D64" s="252">
        <f t="shared" si="32"/>
        <v>0</v>
      </c>
      <c r="E64" s="252">
        <f t="shared" si="32"/>
        <v>0</v>
      </c>
      <c r="F64" s="252">
        <f t="shared" si="32"/>
        <v>0</v>
      </c>
      <c r="G64" s="252">
        <f t="shared" si="32"/>
        <v>0</v>
      </c>
      <c r="H64" s="252">
        <f t="shared" si="32"/>
        <v>0</v>
      </c>
      <c r="I64" s="252">
        <f t="shared" si="32"/>
        <v>0</v>
      </c>
      <c r="J64" s="286">
        <f>SUM(B64:I64)</f>
        <v>0</v>
      </c>
    </row>
    <row r="65" spans="1:10">
      <c r="A65" s="278" t="s">
        <v>228</v>
      </c>
      <c r="B65" s="252">
        <f t="shared" ref="B65:B70" si="33">ROUND(+B55-B45,1)</f>
        <v>0</v>
      </c>
      <c r="C65" s="252">
        <f t="shared" ref="C65:I70" si="34">ROUND(+C55-C45,1)</f>
        <v>0</v>
      </c>
      <c r="D65" s="252">
        <f t="shared" si="34"/>
        <v>0</v>
      </c>
      <c r="E65" s="252">
        <f t="shared" si="34"/>
        <v>0</v>
      </c>
      <c r="F65" s="252">
        <f t="shared" si="34"/>
        <v>0</v>
      </c>
      <c r="G65" s="252">
        <f t="shared" si="34"/>
        <v>0</v>
      </c>
      <c r="H65" s="252">
        <f t="shared" si="34"/>
        <v>0</v>
      </c>
      <c r="I65" s="252">
        <f t="shared" si="34"/>
        <v>0</v>
      </c>
      <c r="J65" s="286">
        <f t="shared" ref="J65:J70" si="35">SUM(B65:I65)</f>
        <v>0</v>
      </c>
    </row>
    <row r="66" spans="1:10">
      <c r="A66" s="278" t="s">
        <v>229</v>
      </c>
      <c r="B66" s="252">
        <f t="shared" si="33"/>
        <v>830.5</v>
      </c>
      <c r="C66" s="252">
        <f t="shared" si="34"/>
        <v>95.6</v>
      </c>
      <c r="D66" s="252">
        <f t="shared" si="34"/>
        <v>15</v>
      </c>
      <c r="E66" s="252">
        <f t="shared" si="34"/>
        <v>0</v>
      </c>
      <c r="F66" s="252">
        <f t="shared" si="34"/>
        <v>0.3</v>
      </c>
      <c r="G66" s="252">
        <f t="shared" si="34"/>
        <v>119</v>
      </c>
      <c r="H66" s="252">
        <f t="shared" si="34"/>
        <v>0</v>
      </c>
      <c r="I66" s="252">
        <f t="shared" si="34"/>
        <v>0</v>
      </c>
      <c r="J66" s="286">
        <f t="shared" si="35"/>
        <v>1060.4000000000001</v>
      </c>
    </row>
    <row r="67" spans="1:10">
      <c r="A67" s="278" t="s">
        <v>230</v>
      </c>
      <c r="B67" s="252">
        <f t="shared" si="33"/>
        <v>1697.1</v>
      </c>
      <c r="C67" s="252">
        <f t="shared" si="34"/>
        <v>194.7</v>
      </c>
      <c r="D67" s="252">
        <f t="shared" si="34"/>
        <v>30.5</v>
      </c>
      <c r="E67" s="252">
        <f t="shared" si="34"/>
        <v>0</v>
      </c>
      <c r="F67" s="252">
        <f t="shared" si="34"/>
        <v>0.7</v>
      </c>
      <c r="G67" s="252">
        <f t="shared" si="34"/>
        <v>243.9</v>
      </c>
      <c r="H67" s="252">
        <f t="shared" si="34"/>
        <v>0</v>
      </c>
      <c r="I67" s="252">
        <f t="shared" si="34"/>
        <v>0</v>
      </c>
      <c r="J67" s="286">
        <f t="shared" si="35"/>
        <v>2166.9</v>
      </c>
    </row>
    <row r="68" spans="1:10">
      <c r="A68" s="278" t="s">
        <v>231</v>
      </c>
      <c r="B68" s="252">
        <f t="shared" si="33"/>
        <v>2600.9</v>
      </c>
      <c r="C68" s="252">
        <f t="shared" si="34"/>
        <v>297.2</v>
      </c>
      <c r="D68" s="252">
        <f t="shared" si="34"/>
        <v>46.4</v>
      </c>
      <c r="E68" s="252">
        <f t="shared" si="34"/>
        <v>0</v>
      </c>
      <c r="F68" s="252">
        <f t="shared" si="34"/>
        <v>1</v>
      </c>
      <c r="G68" s="252">
        <f t="shared" si="34"/>
        <v>375.1</v>
      </c>
      <c r="H68" s="252">
        <f t="shared" si="34"/>
        <v>0</v>
      </c>
      <c r="I68" s="252">
        <f t="shared" si="34"/>
        <v>0</v>
      </c>
      <c r="J68" s="286">
        <f t="shared" si="35"/>
        <v>3320.6</v>
      </c>
    </row>
    <row r="69" spans="1:10">
      <c r="A69" s="278" t="s">
        <v>232</v>
      </c>
      <c r="B69" s="252">
        <f t="shared" si="33"/>
        <v>3543.4</v>
      </c>
      <c r="C69" s="252">
        <f t="shared" si="34"/>
        <v>403.4</v>
      </c>
      <c r="D69" s="252">
        <f t="shared" si="34"/>
        <v>62.8</v>
      </c>
      <c r="E69" s="252">
        <f t="shared" si="34"/>
        <v>0</v>
      </c>
      <c r="F69" s="252">
        <f t="shared" si="34"/>
        <v>1.4</v>
      </c>
      <c r="G69" s="252">
        <f t="shared" si="34"/>
        <v>512.79999999999995</v>
      </c>
      <c r="H69" s="252">
        <f t="shared" si="34"/>
        <v>0</v>
      </c>
      <c r="I69" s="252">
        <f t="shared" si="34"/>
        <v>0</v>
      </c>
      <c r="J69" s="286">
        <f t="shared" si="35"/>
        <v>4523.8</v>
      </c>
    </row>
    <row r="70" spans="1:10" ht="13.8" thickBot="1">
      <c r="A70" s="279" t="s">
        <v>233</v>
      </c>
      <c r="B70" s="265">
        <f t="shared" si="33"/>
        <v>4525.8</v>
      </c>
      <c r="C70" s="265">
        <f t="shared" si="34"/>
        <v>513.29999999999995</v>
      </c>
      <c r="D70" s="265">
        <f t="shared" si="34"/>
        <v>79.599999999999994</v>
      </c>
      <c r="E70" s="265">
        <f t="shared" si="34"/>
        <v>0</v>
      </c>
      <c r="F70" s="265">
        <f t="shared" si="34"/>
        <v>1.8</v>
      </c>
      <c r="G70" s="265">
        <f t="shared" si="34"/>
        <v>657.2</v>
      </c>
      <c r="H70" s="265">
        <f t="shared" si="34"/>
        <v>0</v>
      </c>
      <c r="I70" s="265">
        <f t="shared" si="34"/>
        <v>0</v>
      </c>
      <c r="J70" s="287">
        <f t="shared" si="35"/>
        <v>5777.7000000000007</v>
      </c>
    </row>
    <row r="71" spans="1:10" ht="13.8" thickBot="1"/>
    <row r="72" spans="1:10" ht="23.4" thickBot="1">
      <c r="A72" s="257" t="s">
        <v>112</v>
      </c>
      <c r="B72" s="250" t="s">
        <v>71</v>
      </c>
      <c r="C72" s="250" t="s">
        <v>236</v>
      </c>
      <c r="D72" s="250" t="s">
        <v>235</v>
      </c>
      <c r="E72" s="250" t="s">
        <v>74</v>
      </c>
      <c r="F72" s="250" t="s">
        <v>237</v>
      </c>
      <c r="G72" s="250" t="s">
        <v>238</v>
      </c>
      <c r="H72" s="250" t="s">
        <v>239</v>
      </c>
      <c r="I72" s="250" t="s">
        <v>76</v>
      </c>
      <c r="J72" s="251" t="s">
        <v>9</v>
      </c>
    </row>
    <row r="73" spans="1:10">
      <c r="A73" s="280" t="s">
        <v>293</v>
      </c>
      <c r="B73" s="281"/>
      <c r="C73" s="281"/>
      <c r="D73" s="281"/>
      <c r="E73" s="281"/>
      <c r="F73" s="281"/>
      <c r="G73" s="281"/>
      <c r="H73" s="281"/>
      <c r="I73" s="281"/>
      <c r="J73" s="282"/>
    </row>
    <row r="74" spans="1:10">
      <c r="A74" s="278" t="s">
        <v>228</v>
      </c>
      <c r="B74" s="252">
        <f>+'Chart II'!B218</f>
        <v>9508.0887020472655</v>
      </c>
      <c r="C74" s="252">
        <f>+'Chart II'!C218</f>
        <v>34035.181643015916</v>
      </c>
      <c r="D74" s="252">
        <f>+'Chart II'!D218</f>
        <v>694278.94989987242</v>
      </c>
      <c r="E74" s="252">
        <f>+'Chart II'!E218</f>
        <v>43895826.316082679</v>
      </c>
      <c r="F74" s="252">
        <f>+'Chart II'!F218</f>
        <v>6524007.6214979915</v>
      </c>
      <c r="G74" s="252">
        <f ca="1">+'Chart II'!G218</f>
        <v>0</v>
      </c>
      <c r="H74" s="252">
        <f>+'Chart II'!H218</f>
        <v>1510.5695319005463</v>
      </c>
      <c r="I74" s="252">
        <f>+'Chart II'!I218</f>
        <v>9265.764620592272</v>
      </c>
      <c r="J74" s="286">
        <f ca="1">+'Chart II'!J218</f>
        <v>0</v>
      </c>
    </row>
    <row r="75" spans="1:10">
      <c r="A75" s="278" t="s">
        <v>229</v>
      </c>
      <c r="B75" s="252">
        <f>+'Chart II'!B219</f>
        <v>9417.5160761624702</v>
      </c>
      <c r="C75" s="252">
        <f>+'Chart II'!C219</f>
        <v>34143.972864101321</v>
      </c>
      <c r="D75" s="252">
        <f>+'Chart II'!D219</f>
        <v>714905.69489483244</v>
      </c>
      <c r="E75" s="252">
        <f>+'Chart II'!E219</f>
        <v>45523640.275350288</v>
      </c>
      <c r="F75" s="252">
        <f>+'Chart II'!F219</f>
        <v>5913257.2005415149</v>
      </c>
      <c r="G75" s="252">
        <f ca="1">+'Chart II'!G219</f>
        <v>0</v>
      </c>
      <c r="H75" s="252">
        <f>+'Chart II'!H219</f>
        <v>1529.1993593474156</v>
      </c>
      <c r="I75" s="252">
        <f>+'Chart II'!I219</f>
        <v>9201.7508368083654</v>
      </c>
      <c r="J75" s="286">
        <f ca="1">+'Chart II'!J219</f>
        <v>0</v>
      </c>
    </row>
    <row r="76" spans="1:10">
      <c r="A76" s="278" t="s">
        <v>230</v>
      </c>
      <c r="B76" s="252">
        <f>+'Chart II'!B220</f>
        <v>9327.8062315175994</v>
      </c>
      <c r="C76" s="252">
        <f>+'Chart II'!C220</f>
        <v>34253.111829174384</v>
      </c>
      <c r="D76" s="252">
        <f>+'Chart II'!D220</f>
        <v>736145.25208746665</v>
      </c>
      <c r="E76" s="252">
        <f>+'Chart II'!E220</f>
        <v>47211819.387944914</v>
      </c>
      <c r="F76" s="252">
        <f>+'Chart II'!F220</f>
        <v>5359682.6902123261</v>
      </c>
      <c r="G76" s="252">
        <f ca="1">+'Chart II'!G220</f>
        <v>0</v>
      </c>
      <c r="H76" s="252">
        <f>+'Chart II'!H220</f>
        <v>1548.0589481282525</v>
      </c>
      <c r="I76" s="252">
        <f>+'Chart II'!I220</f>
        <v>9138.1793008779423</v>
      </c>
      <c r="J76" s="286">
        <f ca="1">+'Chart II'!J220</f>
        <v>0</v>
      </c>
    </row>
    <row r="77" spans="1:10">
      <c r="A77" s="278" t="s">
        <v>231</v>
      </c>
      <c r="B77" s="252">
        <f>+'Chart II'!B221</f>
        <v>9238.9509493880578</v>
      </c>
      <c r="C77" s="252">
        <f>+'Chart II'!C221</f>
        <v>34362.599649775904</v>
      </c>
      <c r="D77" s="252">
        <f>+'Chart II'!D221</f>
        <v>758015.82787872257</v>
      </c>
      <c r="E77" s="252">
        <f>+'Chart II'!E221</f>
        <v>48962602.209271155</v>
      </c>
      <c r="F77" s="252">
        <f>+'Chart II'!F221</f>
        <v>4857931.5198958358</v>
      </c>
      <c r="G77" s="252">
        <f ca="1">+'Chart II'!G221</f>
        <v>0</v>
      </c>
      <c r="H77" s="252">
        <f>+'Chart II'!H221</f>
        <v>1567.1511318855441</v>
      </c>
      <c r="I77" s="252">
        <f>+'Chart II'!I221</f>
        <v>9075.0469574720973</v>
      </c>
      <c r="J77" s="286">
        <f ca="1">+'Chart II'!J221</f>
        <v>0</v>
      </c>
    </row>
    <row r="78" spans="1:10">
      <c r="A78" s="278" t="s">
        <v>232</v>
      </c>
      <c r="B78" s="252">
        <f>+'Chart II'!B222</f>
        <v>9150.9420893395891</v>
      </c>
      <c r="C78" s="252">
        <f>+'Chart II'!C222</f>
        <v>34472.437440999653</v>
      </c>
      <c r="D78" s="252">
        <f>+'Chart II'!D222</f>
        <v>780536.16957430879</v>
      </c>
      <c r="E78" s="252">
        <f>+'Chart II'!E222</f>
        <v>50778310.308360226</v>
      </c>
      <c r="F78" s="252">
        <f>+'Chart II'!F222</f>
        <v>4403152.2043448733</v>
      </c>
      <c r="G78" s="252">
        <f ca="1">+'Chart II'!G222</f>
        <v>0</v>
      </c>
      <c r="H78" s="252">
        <f>+'Chart II'!H222</f>
        <v>1586.478779209041</v>
      </c>
      <c r="I78" s="252">
        <f>+'Chart II'!I222</f>
        <v>9012.3507723700768</v>
      </c>
      <c r="J78" s="286">
        <f ca="1">+'Chart II'!J222</f>
        <v>0</v>
      </c>
    </row>
    <row r="79" spans="1:10" ht="13.8" thickBot="1">
      <c r="A79" s="279" t="s">
        <v>233</v>
      </c>
      <c r="B79" s="265">
        <f>+'Chart II'!B223</f>
        <v>9063.7715884824902</v>
      </c>
      <c r="C79" s="265">
        <f>+'Chart II'!C223</f>
        <v>34582.626321503718</v>
      </c>
      <c r="D79" s="265">
        <f>+'Chart II'!D223</f>
        <v>803725.58145475539</v>
      </c>
      <c r="E79" s="265">
        <f>+'Chart II'!E223</f>
        <v>52661351.346311636</v>
      </c>
      <c r="F79" s="265">
        <f>+'Chart II'!F223</f>
        <v>3990947.4341546157</v>
      </c>
      <c r="G79" s="265">
        <f ca="1">+'Chart II'!G223</f>
        <v>0</v>
      </c>
      <c r="H79" s="265">
        <f>+'Chart II'!H223</f>
        <v>1606.0447940667605</v>
      </c>
      <c r="I79" s="265">
        <f>+'Chart II'!I223</f>
        <v>8950.08773231345</v>
      </c>
      <c r="J79" s="287">
        <f ca="1">+'Chart II'!J223</f>
        <v>0</v>
      </c>
    </row>
    <row r="80" spans="1:10" ht="13.8" thickBot="1"/>
    <row r="81" spans="1:10" ht="23.4" thickBot="1">
      <c r="A81" s="257" t="s">
        <v>112</v>
      </c>
      <c r="B81" s="250" t="s">
        <v>71</v>
      </c>
      <c r="C81" s="250" t="s">
        <v>236</v>
      </c>
      <c r="D81" s="250" t="s">
        <v>235</v>
      </c>
      <c r="E81" s="250" t="s">
        <v>74</v>
      </c>
      <c r="F81" s="250" t="s">
        <v>237</v>
      </c>
      <c r="G81" s="250" t="s">
        <v>238</v>
      </c>
      <c r="H81" s="250" t="s">
        <v>239</v>
      </c>
      <c r="I81" s="250" t="s">
        <v>76</v>
      </c>
      <c r="J81" s="251" t="s">
        <v>9</v>
      </c>
    </row>
    <row r="82" spans="1:10">
      <c r="A82" s="280" t="s">
        <v>278</v>
      </c>
      <c r="B82" s="281"/>
      <c r="C82" s="281"/>
      <c r="D82" s="281"/>
      <c r="E82" s="281"/>
      <c r="F82" s="281"/>
      <c r="G82" s="281"/>
      <c r="H82" s="281"/>
      <c r="I82" s="281"/>
      <c r="J82" s="282"/>
    </row>
    <row r="83" spans="1:10">
      <c r="A83" s="283" t="s">
        <v>114</v>
      </c>
      <c r="B83" s="255">
        <f>+'Chart II'!B80</f>
        <v>10312.478017907415</v>
      </c>
      <c r="C83" s="255">
        <f>+'Chart II'!C80</f>
        <v>36436.199739921976</v>
      </c>
      <c r="D83" s="255">
        <f>+'Chart II'!D80</f>
        <v>687468.15134099615</v>
      </c>
      <c r="E83" s="255">
        <f>+'Chart II'!E80</f>
        <v>30069991</v>
      </c>
      <c r="F83" s="255">
        <f>+'Chart II'!F80</f>
        <v>8995177.8888888881</v>
      </c>
      <c r="G83" s="255">
        <f>+'Chart II'!G80</f>
        <v>864.62257510729614</v>
      </c>
      <c r="H83" s="255">
        <f>+'Chart II'!H80</f>
        <v>530.03896103896102</v>
      </c>
      <c r="I83" s="255">
        <f>+'Chart II'!I80</f>
        <v>12596.537704918033</v>
      </c>
      <c r="J83" s="262">
        <f>+'Chart II'!J80</f>
        <v>17928.45828162066</v>
      </c>
    </row>
    <row r="84" spans="1:10">
      <c r="A84" s="283" t="s">
        <v>227</v>
      </c>
      <c r="B84" s="255">
        <f>+'Chart II'!B81</f>
        <v>9944.9139784448562</v>
      </c>
      <c r="C84" s="255">
        <f>+'Chart II'!C81</f>
        <v>33405.607674829589</v>
      </c>
      <c r="D84" s="255">
        <f>+'Chart II'!D81</f>
        <v>693751.11969111965</v>
      </c>
      <c r="E84" s="255">
        <f>+'Chart II'!E81</f>
        <v>33402763</v>
      </c>
      <c r="F84" s="255">
        <f>+'Chart II'!F81</f>
        <v>7817530.5999999996</v>
      </c>
      <c r="G84" s="255">
        <f>+'Chart II'!G81</f>
        <v>865.45077050694306</v>
      </c>
      <c r="H84" s="255">
        <f>+'Chart II'!H81</f>
        <v>1728.868207968671</v>
      </c>
      <c r="I84" s="255">
        <f>+'Chart II'!I81</f>
        <v>10248.202720726738</v>
      </c>
      <c r="J84" s="262">
        <f>+'Chart II'!J81</f>
        <v>16501.989395957142</v>
      </c>
    </row>
    <row r="85" spans="1:10">
      <c r="A85" s="277"/>
      <c r="B85" s="254"/>
      <c r="C85" s="284"/>
      <c r="D85" s="284"/>
      <c r="E85" s="284"/>
      <c r="F85" s="284"/>
      <c r="G85" s="284"/>
      <c r="H85" s="284"/>
      <c r="I85" s="284"/>
      <c r="J85" s="285">
        <f>+'Chart II'!J82</f>
        <v>0</v>
      </c>
    </row>
    <row r="86" spans="1:10">
      <c r="A86" s="278" t="s">
        <v>228</v>
      </c>
      <c r="B86" s="252">
        <f ca="1">+'Chart II'!B231</f>
        <v>9643.1710277521433</v>
      </c>
      <c r="C86" s="252">
        <f ca="1">+'Chart II'!C231</f>
        <v>34518.722724320367</v>
      </c>
      <c r="D86" s="252">
        <f ca="1">+'Chart II'!D231</f>
        <v>703539.87570937187</v>
      </c>
      <c r="E86" s="252">
        <f ca="1">+'Chart II'!E231</f>
        <v>43895826.316082679</v>
      </c>
      <c r="F86" s="252">
        <f ca="1">+'Chart II'!F231</f>
        <v>6604144.7678431859</v>
      </c>
      <c r="G86" s="252">
        <f ca="1">+'Chart II'!G231</f>
        <v>727.92739975156644</v>
      </c>
      <c r="H86" s="252">
        <f ca="1">+'Chart II'!H231</f>
        <v>1510.5695319005461</v>
      </c>
      <c r="I86" s="252">
        <f ca="1">+'Chart II'!I231</f>
        <v>9265.764620592272</v>
      </c>
      <c r="J86" s="286">
        <f ca="1">+'Chart II'!J231</f>
        <v>16286.794690044848</v>
      </c>
    </row>
    <row r="87" spans="1:10">
      <c r="A87" s="278" t="s">
        <v>229</v>
      </c>
      <c r="B87" s="252">
        <f ca="1">+'Chart II'!B232</f>
        <v>9467.4288054646386</v>
      </c>
      <c r="C87" s="252">
        <f ca="1">+'Chart II'!C232</f>
        <v>34324.935536326557</v>
      </c>
      <c r="D87" s="252">
        <f ca="1">+'Chart II'!D232</f>
        <v>718463.14491541521</v>
      </c>
      <c r="E87" s="252">
        <f ca="1">+'Chart II'!E232</f>
        <v>45523640.275350288</v>
      </c>
      <c r="F87" s="252">
        <f ca="1">+'Chart II'!F232</f>
        <v>5940353.86456264</v>
      </c>
      <c r="G87" s="252">
        <f ca="1">+'Chart II'!G232</f>
        <v>719.21057904957013</v>
      </c>
      <c r="H87" s="252">
        <f ca="1">+'Chart II'!H232</f>
        <v>1529.1993593474156</v>
      </c>
      <c r="I87" s="252">
        <f ca="1">+'Chart II'!I232</f>
        <v>9201.7508368083654</v>
      </c>
      <c r="J87" s="286">
        <f ca="1">+'Chart II'!J232</f>
        <v>16051.117467935126</v>
      </c>
    </row>
    <row r="88" spans="1:10">
      <c r="A88" s="278" t="s">
        <v>230</v>
      </c>
      <c r="B88" s="252">
        <f ca="1">+'Chart II'!B233</f>
        <v>9310.867064749822</v>
      </c>
      <c r="C88" s="252">
        <f ca="1">+'Chart II'!C233</f>
        <v>34190.908653080398</v>
      </c>
      <c r="D88" s="252">
        <f ca="1">+'Chart II'!D233</f>
        <v>734890.11504844704</v>
      </c>
      <c r="E88" s="252">
        <f ca="1">+'Chart II'!E233</f>
        <v>47211819.387944914</v>
      </c>
      <c r="F88" s="252">
        <f ca="1">+'Chart II'!F233</f>
        <v>5351267.4655329874</v>
      </c>
      <c r="G88" s="252">
        <f ca="1">+'Chart II'!G233</f>
        <v>710.59814095932404</v>
      </c>
      <c r="H88" s="252">
        <f ca="1">+'Chart II'!H233</f>
        <v>1548.0589481282527</v>
      </c>
      <c r="I88" s="252">
        <f ca="1">+'Chart II'!I233</f>
        <v>9138.1793008779423</v>
      </c>
      <c r="J88" s="286">
        <f ca="1">+'Chart II'!J233</f>
        <v>15857.540423416298</v>
      </c>
    </row>
    <row r="89" spans="1:10">
      <c r="A89" s="278" t="s">
        <v>231</v>
      </c>
      <c r="B89" s="252">
        <f ca="1">+'Chart II'!B234</f>
        <v>9099.8614976196932</v>
      </c>
      <c r="C89" s="252">
        <f ca="1">+'Chart II'!C234</f>
        <v>33845.281701796142</v>
      </c>
      <c r="D89" s="252">
        <f ca="1">+'Chart II'!D234</f>
        <v>747301.50054156897</v>
      </c>
      <c r="E89" s="252">
        <f ca="1">+'Chart II'!E234</f>
        <v>48962602.209271155</v>
      </c>
      <c r="F89" s="252">
        <f ca="1">+'Chart II'!F234</f>
        <v>4794699.5034730071</v>
      </c>
      <c r="G89" s="252">
        <f ca="1">+'Chart II'!G234</f>
        <v>702.08883551481347</v>
      </c>
      <c r="H89" s="252">
        <f ca="1">+'Chart II'!H234</f>
        <v>1567.1511318855441</v>
      </c>
      <c r="I89" s="252">
        <f ca="1">+'Chart II'!I234</f>
        <v>9075.0469574720973</v>
      </c>
      <c r="J89" s="286">
        <f ca="1">+'Chart II'!J234</f>
        <v>15589.235432134275</v>
      </c>
    </row>
    <row r="90" spans="1:10">
      <c r="A90" s="278" t="s">
        <v>232</v>
      </c>
      <c r="B90" s="252">
        <f ca="1">+'Chart II'!B235</f>
        <v>8910.0110093481708</v>
      </c>
      <c r="C90" s="252">
        <f ca="1">+'Chart II'!C235</f>
        <v>33564.827983797193</v>
      </c>
      <c r="D90" s="252">
        <f ca="1">+'Chart II'!D235</f>
        <v>761241.59728951741</v>
      </c>
      <c r="E90" s="252">
        <f ca="1">+'Chart II'!E235</f>
        <v>50778310.308360226</v>
      </c>
      <c r="F90" s="252">
        <f ca="1">+'Chart II'!F235</f>
        <v>4302920.5664114067</v>
      </c>
      <c r="G90" s="252">
        <f ca="1">+'Chart II'!G235</f>
        <v>693.6814277181777</v>
      </c>
      <c r="H90" s="252">
        <f ca="1">+'Chart II'!H235</f>
        <v>1586.478779209041</v>
      </c>
      <c r="I90" s="252">
        <f ca="1">+'Chart II'!I235</f>
        <v>9012.3507723700768</v>
      </c>
      <c r="J90" s="286">
        <f ca="1">+'Chart II'!J235</f>
        <v>15362.954962401291</v>
      </c>
    </row>
    <row r="91" spans="1:10" ht="13.8" thickBot="1">
      <c r="A91" s="279" t="s">
        <v>233</v>
      </c>
      <c r="B91" s="265">
        <f ca="1">+'Chart II'!B236</f>
        <v>8717.2799982299784</v>
      </c>
      <c r="C91" s="265">
        <f ca="1">+'Chart II'!C236</f>
        <v>33260.595081829415</v>
      </c>
      <c r="D91" s="265">
        <f ca="1">+'Chart II'!D236</f>
        <v>774878.18389934313</v>
      </c>
      <c r="E91" s="265">
        <f ca="1">+'Chart II'!E236</f>
        <v>52661351.346311636</v>
      </c>
      <c r="F91" s="265">
        <f ca="1">+'Chart II'!F236</f>
        <v>3859038.6059692935</v>
      </c>
      <c r="G91" s="265">
        <f ca="1">+'Chart II'!G236</f>
        <v>685.37469736046921</v>
      </c>
      <c r="H91" s="265">
        <f ca="1">+'Chart II'!H236</f>
        <v>1606.0447940667605</v>
      </c>
      <c r="I91" s="265">
        <f ca="1">+'Chart II'!I236</f>
        <v>8950.08773231345</v>
      </c>
      <c r="J91" s="287">
        <f ca="1">+'Chart II'!J236</f>
        <v>15139.731645066589</v>
      </c>
    </row>
    <row r="92" spans="1:10" ht="13.8" thickBot="1"/>
    <row r="93" spans="1:10" ht="23.4" thickBot="1">
      <c r="A93" s="257" t="s">
        <v>112</v>
      </c>
      <c r="B93" s="250" t="s">
        <v>71</v>
      </c>
      <c r="C93" s="250" t="s">
        <v>236</v>
      </c>
      <c r="D93" s="250" t="s">
        <v>235</v>
      </c>
      <c r="E93" s="250" t="s">
        <v>74</v>
      </c>
      <c r="F93" s="250" t="s">
        <v>237</v>
      </c>
      <c r="G93" s="250" t="s">
        <v>238</v>
      </c>
      <c r="H93" s="250" t="s">
        <v>239</v>
      </c>
      <c r="I93" s="250" t="s">
        <v>76</v>
      </c>
      <c r="J93" s="251" t="s">
        <v>9</v>
      </c>
    </row>
    <row r="94" spans="1:10">
      <c r="A94" s="280" t="s">
        <v>277</v>
      </c>
      <c r="B94" s="281"/>
      <c r="C94" s="281"/>
      <c r="D94" s="281"/>
      <c r="E94" s="281"/>
      <c r="F94" s="281"/>
      <c r="G94" s="281"/>
      <c r="H94" s="281"/>
      <c r="I94" s="281"/>
      <c r="J94" s="282"/>
    </row>
    <row r="95" spans="1:10">
      <c r="A95" s="278" t="s">
        <v>228</v>
      </c>
      <c r="B95" s="252">
        <f t="shared" ref="B95:I100" ca="1" si="36">+B86*B65</f>
        <v>0</v>
      </c>
      <c r="C95" s="252">
        <f t="shared" ca="1" si="36"/>
        <v>0</v>
      </c>
      <c r="D95" s="252">
        <f t="shared" ca="1" si="36"/>
        <v>0</v>
      </c>
      <c r="E95" s="252">
        <f t="shared" ca="1" si="36"/>
        <v>0</v>
      </c>
      <c r="F95" s="252">
        <f t="shared" ca="1" si="36"/>
        <v>0</v>
      </c>
      <c r="G95" s="252">
        <f t="shared" ca="1" si="36"/>
        <v>0</v>
      </c>
      <c r="H95" s="252">
        <f t="shared" ca="1" si="36"/>
        <v>0</v>
      </c>
      <c r="I95" s="252">
        <f t="shared" ca="1" si="36"/>
        <v>0</v>
      </c>
      <c r="J95" s="286">
        <f ca="1">SUM(B95:I95)</f>
        <v>0</v>
      </c>
    </row>
    <row r="96" spans="1:10">
      <c r="A96" s="278" t="s">
        <v>229</v>
      </c>
      <c r="B96" s="252">
        <f t="shared" ca="1" si="36"/>
        <v>7862699.6229383824</v>
      </c>
      <c r="C96" s="252">
        <f t="shared" ca="1" si="36"/>
        <v>3281463.8372728187</v>
      </c>
      <c r="D96" s="252">
        <f t="shared" ca="1" si="36"/>
        <v>10776947.173731228</v>
      </c>
      <c r="E96" s="252">
        <f t="shared" ca="1" si="36"/>
        <v>0</v>
      </c>
      <c r="F96" s="252">
        <f t="shared" ca="1" si="36"/>
        <v>1782106.1593687919</v>
      </c>
      <c r="G96" s="252">
        <f t="shared" ca="1" si="36"/>
        <v>85586.058906898848</v>
      </c>
      <c r="H96" s="252">
        <f t="shared" ca="1" si="36"/>
        <v>0</v>
      </c>
      <c r="I96" s="252">
        <f t="shared" ca="1" si="36"/>
        <v>0</v>
      </c>
      <c r="J96" s="286">
        <f t="shared" ref="J96:J100" ca="1" si="37">SUM(B96:I96)</f>
        <v>23788802.852218118</v>
      </c>
    </row>
    <row r="97" spans="1:13">
      <c r="A97" s="278" t="s">
        <v>230</v>
      </c>
      <c r="B97" s="252">
        <f t="shared" ca="1" si="36"/>
        <v>15801472.495586922</v>
      </c>
      <c r="C97" s="252">
        <f t="shared" ca="1" si="36"/>
        <v>6656969.914754753</v>
      </c>
      <c r="D97" s="252">
        <f t="shared" ca="1" si="36"/>
        <v>22414148.508977633</v>
      </c>
      <c r="E97" s="252">
        <f t="shared" ca="1" si="36"/>
        <v>0</v>
      </c>
      <c r="F97" s="252">
        <f t="shared" ca="1" si="36"/>
        <v>3745887.2258730908</v>
      </c>
      <c r="G97" s="252">
        <f t="shared" ca="1" si="36"/>
        <v>173314.88657997912</v>
      </c>
      <c r="H97" s="252">
        <f t="shared" ca="1" si="36"/>
        <v>0</v>
      </c>
      <c r="I97" s="252">
        <f t="shared" ca="1" si="36"/>
        <v>0</v>
      </c>
      <c r="J97" s="286">
        <f t="shared" ca="1" si="37"/>
        <v>48791793.031772375</v>
      </c>
    </row>
    <row r="98" spans="1:13">
      <c r="A98" s="278" t="s">
        <v>231</v>
      </c>
      <c r="B98" s="252">
        <f t="shared" ca="1" si="36"/>
        <v>23667829.76915906</v>
      </c>
      <c r="C98" s="252">
        <f t="shared" ca="1" si="36"/>
        <v>10058817.721773813</v>
      </c>
      <c r="D98" s="252">
        <f t="shared" ca="1" si="36"/>
        <v>34674789.625128798</v>
      </c>
      <c r="E98" s="252">
        <f t="shared" ca="1" si="36"/>
        <v>0</v>
      </c>
      <c r="F98" s="252">
        <f t="shared" ca="1" si="36"/>
        <v>4794699.5034730071</v>
      </c>
      <c r="G98" s="252">
        <f t="shared" ca="1" si="36"/>
        <v>263353.52220160654</v>
      </c>
      <c r="H98" s="252">
        <f t="shared" ca="1" si="36"/>
        <v>0</v>
      </c>
      <c r="I98" s="252">
        <f t="shared" ca="1" si="36"/>
        <v>0</v>
      </c>
      <c r="J98" s="286">
        <f t="shared" ca="1" si="37"/>
        <v>73459490.141736299</v>
      </c>
    </row>
    <row r="99" spans="1:13">
      <c r="A99" s="278" t="s">
        <v>232</v>
      </c>
      <c r="B99" s="252">
        <f t="shared" ca="1" si="36"/>
        <v>31571733.01052431</v>
      </c>
      <c r="C99" s="252">
        <f t="shared" ca="1" si="36"/>
        <v>13540051.608663786</v>
      </c>
      <c r="D99" s="252">
        <f t="shared" ca="1" si="36"/>
        <v>47805972.309781693</v>
      </c>
      <c r="E99" s="252">
        <f t="shared" ca="1" si="36"/>
        <v>0</v>
      </c>
      <c r="F99" s="252">
        <f t="shared" ca="1" si="36"/>
        <v>6024088.7929759687</v>
      </c>
      <c r="G99" s="252">
        <f t="shared" ca="1" si="36"/>
        <v>355719.83613388147</v>
      </c>
      <c r="H99" s="252">
        <f t="shared" ca="1" si="36"/>
        <v>0</v>
      </c>
      <c r="I99" s="252">
        <f t="shared" ca="1" si="36"/>
        <v>0</v>
      </c>
      <c r="J99" s="286">
        <f t="shared" ca="1" si="37"/>
        <v>99297565.558079645</v>
      </c>
    </row>
    <row r="100" spans="1:13" ht="13.8" thickBot="1">
      <c r="A100" s="279" t="s">
        <v>233</v>
      </c>
      <c r="B100" s="265">
        <f t="shared" ca="1" si="36"/>
        <v>39452665.815989241</v>
      </c>
      <c r="C100" s="265">
        <f t="shared" ca="1" si="36"/>
        <v>17072663.455503039</v>
      </c>
      <c r="D100" s="265">
        <f t="shared" ca="1" si="36"/>
        <v>61680303.438387707</v>
      </c>
      <c r="E100" s="265">
        <f t="shared" ca="1" si="36"/>
        <v>0</v>
      </c>
      <c r="F100" s="265">
        <f t="shared" ca="1" si="36"/>
        <v>6946269.4907447286</v>
      </c>
      <c r="G100" s="265">
        <f t="shared" ca="1" si="36"/>
        <v>450428.25110530038</v>
      </c>
      <c r="H100" s="265">
        <f t="shared" ca="1" si="36"/>
        <v>0</v>
      </c>
      <c r="I100" s="265">
        <f t="shared" ca="1" si="36"/>
        <v>0</v>
      </c>
      <c r="J100" s="287">
        <f t="shared" ca="1" si="37"/>
        <v>125602330.45173001</v>
      </c>
    </row>
    <row r="101" spans="1:13" ht="13.8" thickBot="1"/>
    <row r="102" spans="1:13" ht="23.4" thickBot="1">
      <c r="A102" s="257" t="s">
        <v>112</v>
      </c>
      <c r="B102" s="250" t="s">
        <v>2</v>
      </c>
      <c r="C102" s="251" t="s">
        <v>279</v>
      </c>
    </row>
    <row r="103" spans="1:13">
      <c r="A103" s="280" t="s">
        <v>277</v>
      </c>
      <c r="B103" s="281"/>
      <c r="C103" s="282"/>
      <c r="E103" s="416"/>
      <c r="F103" s="416"/>
      <c r="G103" s="416"/>
      <c r="H103" s="416"/>
      <c r="I103" s="416"/>
      <c r="J103" s="416"/>
      <c r="K103" s="416"/>
      <c r="L103" s="416"/>
      <c r="M103" s="416"/>
    </row>
    <row r="104" spans="1:13">
      <c r="A104" s="278" t="s">
        <v>228</v>
      </c>
      <c r="B104" s="252">
        <f ca="1">+J95</f>
        <v>0</v>
      </c>
      <c r="C104" s="263">
        <f ca="1">+B104*'Rate Class Energy Model'!$F$25</f>
        <v>0</v>
      </c>
      <c r="E104" s="416"/>
      <c r="F104" s="416"/>
      <c r="G104" s="416"/>
      <c r="H104" s="416"/>
      <c r="I104" s="416"/>
      <c r="J104" s="416"/>
      <c r="K104" s="416"/>
      <c r="L104" s="416"/>
      <c r="M104" s="416"/>
    </row>
    <row r="105" spans="1:13">
      <c r="A105" s="278" t="s">
        <v>229</v>
      </c>
      <c r="B105" s="252">
        <f t="shared" ref="B105:B109" ca="1" si="38">+J96</f>
        <v>23788802.852218118</v>
      </c>
      <c r="C105" s="263">
        <f ca="1">+B105*'Rate Class Energy Model'!$F$25</f>
        <v>24944938.670835916</v>
      </c>
      <c r="E105" s="416"/>
      <c r="F105" s="416"/>
      <c r="G105" s="416"/>
      <c r="H105" s="416"/>
      <c r="I105" s="416"/>
      <c r="J105" s="416"/>
      <c r="K105" s="416"/>
      <c r="L105" s="416"/>
      <c r="M105" s="416"/>
    </row>
    <row r="106" spans="1:13">
      <c r="A106" s="278" t="s">
        <v>230</v>
      </c>
      <c r="B106" s="252">
        <f t="shared" ca="1" si="38"/>
        <v>48791793.031772375</v>
      </c>
      <c r="C106" s="263">
        <f ca="1">+B106*'Rate Class Energy Model'!$F$25</f>
        <v>51163074.173116513</v>
      </c>
      <c r="E106" s="416"/>
      <c r="F106" s="416"/>
      <c r="G106" s="416"/>
      <c r="H106" s="416"/>
      <c r="I106" s="416"/>
      <c r="J106" s="416"/>
      <c r="K106" s="416"/>
      <c r="L106" s="416"/>
      <c r="M106" s="416"/>
    </row>
    <row r="107" spans="1:13">
      <c r="A107" s="278" t="s">
        <v>231</v>
      </c>
      <c r="B107" s="252">
        <f t="shared" ca="1" si="38"/>
        <v>73459490.141736299</v>
      </c>
      <c r="C107" s="263">
        <f ca="1">+B107*'Rate Class Energy Model'!$F$25</f>
        <v>77029621.362624675</v>
      </c>
      <c r="E107" s="416"/>
      <c r="F107" s="416"/>
      <c r="G107" s="416"/>
      <c r="H107" s="416"/>
      <c r="I107" s="416"/>
      <c r="J107" s="416"/>
      <c r="K107" s="416"/>
      <c r="L107" s="416"/>
      <c r="M107" s="416"/>
    </row>
    <row r="108" spans="1:13">
      <c r="A108" s="278" t="s">
        <v>232</v>
      </c>
      <c r="B108" s="252">
        <f t="shared" ca="1" si="38"/>
        <v>99297565.558079645</v>
      </c>
      <c r="C108" s="263">
        <f ca="1">+B108*'Rate Class Energy Model'!$F$25</f>
        <v>104123427.24420232</v>
      </c>
      <c r="E108" s="416"/>
      <c r="F108" s="416"/>
      <c r="G108" s="416"/>
      <c r="H108" s="416"/>
      <c r="I108" s="416"/>
      <c r="J108" s="416"/>
      <c r="K108" s="416"/>
      <c r="L108" s="416"/>
      <c r="M108" s="416"/>
    </row>
    <row r="109" spans="1:13" ht="13.8" thickBot="1">
      <c r="A109" s="279" t="s">
        <v>233</v>
      </c>
      <c r="B109" s="265">
        <f t="shared" ca="1" si="38"/>
        <v>125602330.45173001</v>
      </c>
      <c r="C109" s="347">
        <f ca="1">+B109*'Rate Class Energy Model'!$F$25</f>
        <v>131706603.71168409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3">
      <c r="E110" s="416"/>
      <c r="F110" s="416"/>
      <c r="G110" s="416"/>
      <c r="H110" s="416"/>
      <c r="I110" s="416"/>
      <c r="J110" s="416"/>
      <c r="K110" s="416"/>
      <c r="L110" s="416"/>
      <c r="M110" s="416"/>
    </row>
    <row r="111" spans="1:13">
      <c r="E111" s="416"/>
      <c r="F111" s="416"/>
      <c r="G111" s="416"/>
      <c r="H111" s="416"/>
      <c r="I111" s="416"/>
      <c r="J111" s="416"/>
      <c r="K111" s="416"/>
      <c r="L111" s="416"/>
      <c r="M111" s="416"/>
    </row>
    <row r="112" spans="1:13">
      <c r="E112" s="416"/>
      <c r="F112" s="416"/>
      <c r="G112" s="416"/>
      <c r="H112" s="416"/>
      <c r="I112" s="416"/>
      <c r="J112" s="416"/>
      <c r="K112" s="416"/>
      <c r="L112" s="416"/>
      <c r="M112" s="416"/>
    </row>
    <row r="113" spans="5:13">
      <c r="E113" s="416"/>
      <c r="F113" s="416"/>
      <c r="G113" s="416"/>
      <c r="H113" s="416"/>
      <c r="I113" s="416"/>
      <c r="J113" s="416"/>
      <c r="K113" s="416"/>
      <c r="L113" s="416"/>
      <c r="M113" s="416"/>
    </row>
    <row r="114" spans="5:13">
      <c r="E114" s="416"/>
      <c r="F114" s="416"/>
      <c r="G114" s="416"/>
      <c r="H114" s="416"/>
      <c r="I114" s="416"/>
      <c r="J114" s="416"/>
      <c r="K114" s="416"/>
      <c r="L114" s="416"/>
      <c r="M114" s="416"/>
    </row>
    <row r="115" spans="5:13">
      <c r="E115" s="416"/>
      <c r="F115" s="416"/>
      <c r="G115" s="416"/>
      <c r="H115" s="416"/>
      <c r="I115" s="416"/>
      <c r="J115" s="416"/>
      <c r="K115" s="416"/>
      <c r="L115" s="416"/>
      <c r="M115" s="416"/>
    </row>
    <row r="116" spans="5:13">
      <c r="E116" s="416"/>
      <c r="F116" s="416"/>
      <c r="G116" s="416"/>
      <c r="H116" s="416"/>
      <c r="I116" s="416"/>
      <c r="J116" s="416"/>
      <c r="K116" s="416"/>
      <c r="L116" s="416"/>
      <c r="M116" s="416"/>
    </row>
    <row r="117" spans="5:13">
      <c r="E117" s="416"/>
      <c r="F117" s="416"/>
      <c r="G117" s="416"/>
      <c r="H117" s="416"/>
      <c r="I117" s="416"/>
      <c r="J117" s="416"/>
      <c r="K117" s="416"/>
      <c r="L117" s="416"/>
      <c r="M117" s="416"/>
    </row>
    <row r="118" spans="5:13">
      <c r="E118" s="416"/>
      <c r="F118" s="416"/>
      <c r="G118" s="416"/>
      <c r="H118" s="416"/>
      <c r="I118" s="416"/>
      <c r="J118" s="416"/>
      <c r="K118" s="416"/>
      <c r="L118" s="416"/>
      <c r="M118" s="416"/>
    </row>
    <row r="119" spans="5:13">
      <c r="E119" s="416"/>
      <c r="F119" s="416"/>
      <c r="G119" s="416"/>
      <c r="H119" s="416"/>
      <c r="I119" s="416"/>
      <c r="J119" s="416"/>
      <c r="K119" s="416"/>
      <c r="L119" s="416"/>
      <c r="M119" s="416"/>
    </row>
    <row r="120" spans="5:13">
      <c r="E120" s="416"/>
      <c r="F120" s="416"/>
      <c r="G120" s="416"/>
      <c r="H120" s="416"/>
      <c r="I120" s="416"/>
      <c r="J120" s="416"/>
      <c r="K120" s="416"/>
      <c r="L120" s="416"/>
      <c r="M120" s="416"/>
    </row>
    <row r="121" spans="5:13">
      <c r="E121" s="416"/>
      <c r="F121" s="416"/>
      <c r="G121" s="416"/>
      <c r="H121" s="416"/>
      <c r="I121" s="416"/>
      <c r="J121" s="416"/>
      <c r="K121" s="416"/>
      <c r="L121" s="416"/>
      <c r="M121" s="416"/>
    </row>
    <row r="122" spans="5:13">
      <c r="E122" s="416"/>
      <c r="F122" s="416"/>
      <c r="G122" s="416"/>
      <c r="H122" s="416"/>
      <c r="I122" s="416"/>
      <c r="J122" s="416"/>
      <c r="K122" s="416"/>
      <c r="L122" s="416"/>
      <c r="M122" s="416"/>
    </row>
    <row r="123" spans="5:13">
      <c r="E123" s="416"/>
      <c r="F123" s="416"/>
      <c r="G123" s="416"/>
      <c r="H123" s="416"/>
      <c r="I123" s="416"/>
      <c r="J123" s="416"/>
      <c r="K123" s="416"/>
      <c r="L123" s="416"/>
      <c r="M123" s="416"/>
    </row>
    <row r="124" spans="5:13">
      <c r="E124" s="416"/>
      <c r="F124" s="416"/>
      <c r="G124" s="416"/>
      <c r="H124" s="416"/>
      <c r="I124" s="416"/>
      <c r="J124" s="416"/>
      <c r="K124" s="416"/>
      <c r="L124" s="416"/>
      <c r="M124" s="416"/>
    </row>
    <row r="125" spans="5:13">
      <c r="E125" s="416"/>
      <c r="F125" s="416"/>
      <c r="G125" s="416"/>
      <c r="H125" s="416"/>
      <c r="I125" s="416"/>
      <c r="J125" s="416"/>
      <c r="K125" s="416"/>
      <c r="L125" s="416"/>
      <c r="M125" s="416"/>
    </row>
    <row r="126" spans="5:13">
      <c r="E126" s="416"/>
      <c r="F126" s="416"/>
      <c r="G126" s="416"/>
      <c r="H126" s="416"/>
      <c r="I126" s="416"/>
      <c r="J126" s="416"/>
      <c r="K126" s="416"/>
      <c r="L126" s="416"/>
      <c r="M126" s="416"/>
    </row>
    <row r="127" spans="5:13">
      <c r="E127" s="416"/>
      <c r="F127" s="416"/>
      <c r="G127" s="416"/>
      <c r="H127" s="416"/>
      <c r="I127" s="416"/>
      <c r="J127" s="416"/>
      <c r="K127" s="416"/>
      <c r="L127" s="416"/>
      <c r="M127" s="416"/>
    </row>
    <row r="128" spans="5:13">
      <c r="E128" s="416"/>
      <c r="F128" s="416"/>
      <c r="G128" s="416"/>
      <c r="H128" s="416"/>
      <c r="I128" s="416"/>
      <c r="J128" s="416"/>
      <c r="K128" s="416"/>
      <c r="L128" s="416"/>
      <c r="M128" s="416"/>
    </row>
    <row r="129" spans="5:13">
      <c r="E129" s="416"/>
      <c r="F129" s="416"/>
      <c r="G129" s="416"/>
      <c r="H129" s="416"/>
      <c r="I129" s="416"/>
      <c r="J129" s="416"/>
      <c r="K129" s="416"/>
      <c r="L129" s="416"/>
      <c r="M129" s="416"/>
    </row>
    <row r="130" spans="5:13">
      <c r="E130" s="416"/>
      <c r="F130" s="416"/>
      <c r="G130" s="416"/>
      <c r="H130" s="416"/>
      <c r="I130" s="416"/>
      <c r="J130" s="416"/>
      <c r="K130" s="416"/>
      <c r="L130" s="416"/>
      <c r="M130" s="416"/>
    </row>
    <row r="131" spans="5:13">
      <c r="E131" s="416"/>
      <c r="F131" s="416"/>
      <c r="G131" s="416"/>
      <c r="H131" s="416"/>
      <c r="I131" s="416"/>
      <c r="J131" s="416"/>
      <c r="K131" s="416"/>
      <c r="L131" s="416"/>
      <c r="M131" s="416"/>
    </row>
    <row r="132" spans="5:13">
      <c r="E132" s="416"/>
      <c r="F132" s="416"/>
      <c r="G132" s="416"/>
      <c r="H132" s="416"/>
      <c r="I132" s="416"/>
      <c r="J132" s="416"/>
      <c r="K132" s="416"/>
      <c r="L132" s="416"/>
      <c r="M132" s="416"/>
    </row>
    <row r="133" spans="5:13">
      <c r="E133" s="416"/>
      <c r="F133" s="416"/>
      <c r="G133" s="416"/>
      <c r="H133" s="416"/>
      <c r="I133" s="416"/>
      <c r="J133" s="416"/>
      <c r="K133" s="416"/>
      <c r="L133" s="416"/>
      <c r="M133" s="416"/>
    </row>
    <row r="134" spans="5:13">
      <c r="E134" s="416"/>
      <c r="F134" s="416"/>
      <c r="G134" s="416"/>
      <c r="H134" s="416"/>
      <c r="I134" s="416"/>
      <c r="J134" s="416"/>
      <c r="K134" s="416"/>
      <c r="L134" s="416"/>
      <c r="M134" s="416"/>
    </row>
    <row r="135" spans="5:13">
      <c r="E135" s="416"/>
      <c r="F135" s="416"/>
      <c r="G135" s="416"/>
      <c r="H135" s="416"/>
      <c r="I135" s="416"/>
      <c r="J135" s="416"/>
      <c r="K135" s="416"/>
      <c r="L135" s="416"/>
      <c r="M135" s="416"/>
    </row>
    <row r="136" spans="5:13">
      <c r="E136" s="416"/>
      <c r="F136" s="416"/>
      <c r="G136" s="416"/>
      <c r="H136" s="416"/>
      <c r="I136" s="416"/>
      <c r="J136" s="416"/>
      <c r="K136" s="416"/>
      <c r="L136" s="416"/>
      <c r="M136" s="416"/>
    </row>
    <row r="137" spans="5:13">
      <c r="E137" s="416"/>
      <c r="F137" s="416"/>
      <c r="G137" s="416"/>
      <c r="H137" s="416"/>
      <c r="I137" s="416"/>
      <c r="J137" s="416"/>
      <c r="K137" s="416"/>
      <c r="L137" s="416"/>
      <c r="M137" s="416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I7"/>
  <sheetViews>
    <sheetView workbookViewId="0"/>
  </sheetViews>
  <sheetFormatPr defaultRowHeight="13.2"/>
  <cols>
    <col min="1" max="1" width="25.88671875" customWidth="1"/>
    <col min="2" max="2" width="11.6640625" bestFit="1" customWidth="1"/>
    <col min="3" max="3" width="10.6640625" bestFit="1" customWidth="1"/>
    <col min="4" max="4" width="9.5546875" bestFit="1" customWidth="1"/>
    <col min="5" max="5" width="10" customWidth="1"/>
    <col min="6" max="9" width="11.109375" customWidth="1"/>
  </cols>
  <sheetData>
    <row r="1" spans="1:9" ht="23.4" thickBot="1">
      <c r="A1" s="257" t="s">
        <v>112</v>
      </c>
      <c r="B1" s="250" t="s">
        <v>267</v>
      </c>
      <c r="C1" s="250" t="s">
        <v>105</v>
      </c>
      <c r="D1" s="250" t="s">
        <v>106</v>
      </c>
      <c r="E1" s="250" t="s">
        <v>105</v>
      </c>
      <c r="F1" s="250" t="s">
        <v>106</v>
      </c>
      <c r="G1" s="250" t="s">
        <v>6</v>
      </c>
      <c r="H1" s="250" t="s">
        <v>268</v>
      </c>
      <c r="I1" s="251" t="s">
        <v>268</v>
      </c>
    </row>
    <row r="2" spans="1:9">
      <c r="A2" s="278" t="s">
        <v>228</v>
      </c>
      <c r="B2" s="252">
        <f>+'Chart II'!G44</f>
        <v>12580.764461270714</v>
      </c>
      <c r="C2" s="252">
        <f ca="1">+'Rate Class Energy Model'!M18</f>
        <v>9157883.1611797065</v>
      </c>
      <c r="D2" s="252">
        <f ca="1">+'Rate Class Load Model'!E13</f>
        <v>24692.191175639095</v>
      </c>
      <c r="E2" s="252">
        <f ca="1">+C2</f>
        <v>9157883.1611797065</v>
      </c>
      <c r="F2" s="252">
        <f ca="1">+D2</f>
        <v>24692.191175639095</v>
      </c>
      <c r="G2" s="252">
        <f ca="1">+C2*'Rate Class Energy Model'!$F$25</f>
        <v>9602956.2828130405</v>
      </c>
      <c r="H2" s="252">
        <f ca="1">+E2*'Rate Class Energy Model'!$F$25</f>
        <v>9602956.2828130405</v>
      </c>
      <c r="I2" s="263">
        <f t="shared" ref="I2:I7" ca="1" si="0">+G2-H2</f>
        <v>0</v>
      </c>
    </row>
    <row r="3" spans="1:9">
      <c r="A3" s="278" t="s">
        <v>229</v>
      </c>
      <c r="B3" s="252">
        <f>+'Chart II'!G45</f>
        <v>12958.232158180668</v>
      </c>
      <c r="C3" s="252">
        <f ca="1">+'Rate Class Energy Model'!M19</f>
        <v>9234111.5950369798</v>
      </c>
      <c r="D3" s="252">
        <f ca="1">+'Rate Class Load Model'!E14</f>
        <v>24897.72416057629</v>
      </c>
      <c r="E3" s="252">
        <f ca="1">+C3-(C3*(0.5/2))</f>
        <v>6925583.6962777348</v>
      </c>
      <c r="F3" s="252">
        <f ca="1">+D3-(D3*(0.5/2))</f>
        <v>18673.293120432216</v>
      </c>
      <c r="G3" s="252">
        <f ca="1">+C3*'Rate Class Energy Model'!$F$25</f>
        <v>9682889.4185557775</v>
      </c>
      <c r="H3" s="252">
        <f ca="1">+E3*'Rate Class Energy Model'!$F$25</f>
        <v>7262167.0639168322</v>
      </c>
      <c r="I3" s="263">
        <f t="shared" ca="1" si="0"/>
        <v>2420722.3546389453</v>
      </c>
    </row>
    <row r="4" spans="1:9">
      <c r="A4" s="278" t="s">
        <v>230</v>
      </c>
      <c r="B4" s="252">
        <f>+'Chart II'!G46</f>
        <v>13346.909989506667</v>
      </c>
      <c r="C4" s="252">
        <f ca="1">+'Rate Class Energy Model'!M20</f>
        <v>9310974.5395148899</v>
      </c>
      <c r="D4" s="252">
        <f ca="1">+'Rate Class Load Model'!E15</f>
        <v>25104.9679620059</v>
      </c>
      <c r="E4" s="252">
        <f ca="1">+C4-(C4*(0.5))</f>
        <v>4655487.269757445</v>
      </c>
      <c r="F4" s="252">
        <f ca="1">+D4-(D4*(0.5))</f>
        <v>12552.48398100295</v>
      </c>
      <c r="G4" s="252">
        <f ca="1">+C4*'Rate Class Energy Model'!$F$25</f>
        <v>9763487.9021353126</v>
      </c>
      <c r="H4" s="252">
        <f ca="1">+E4*'Rate Class Energy Model'!$F$25</f>
        <v>4881743.9510676563</v>
      </c>
      <c r="I4" s="263">
        <f t="shared" ca="1" si="0"/>
        <v>4881743.9510676563</v>
      </c>
    </row>
    <row r="5" spans="1:9">
      <c r="A5" s="278" t="s">
        <v>231</v>
      </c>
      <c r="B5" s="252">
        <f>+'Chart II'!G47</f>
        <v>13747.307050225967</v>
      </c>
      <c r="C5" s="252">
        <f ca="1">+'Rate Class Energy Model'!M21</f>
        <v>9388477.2761561275</v>
      </c>
      <c r="D5" s="252">
        <f ca="1">+'Rate Class Load Model'!E16</f>
        <v>25313.936820430834</v>
      </c>
      <c r="E5" s="252">
        <f t="shared" ref="E5:F7" ca="1" si="1">+C5-(C5*(0.5))</f>
        <v>4694238.6380780637</v>
      </c>
      <c r="F5" s="252">
        <f t="shared" ca="1" si="1"/>
        <v>12656.968410215417</v>
      </c>
      <c r="G5" s="252">
        <f ca="1">+C5*'Rate Class Energy Model'!$F$25</f>
        <v>9844757.2717773151</v>
      </c>
      <c r="H5" s="252">
        <f ca="1">+E5*'Rate Class Energy Model'!$F$25</f>
        <v>4922378.6358886575</v>
      </c>
      <c r="I5" s="263">
        <f t="shared" ca="1" si="0"/>
        <v>4922378.6358886575</v>
      </c>
    </row>
    <row r="6" spans="1:9">
      <c r="A6" s="278" t="s">
        <v>232</v>
      </c>
      <c r="B6" s="252">
        <f>+'Chart II'!G48</f>
        <v>14159.734676636504</v>
      </c>
      <c r="C6" s="252">
        <f ca="1">+'Rate Class Energy Model'!M22</f>
        <v>9466625.1304659192</v>
      </c>
      <c r="D6" s="252">
        <f ca="1">+'Rate Class Load Model'!E17</f>
        <v>25524.645094889183</v>
      </c>
      <c r="E6" s="252">
        <f t="shared" ca="1" si="1"/>
        <v>4733312.5652329596</v>
      </c>
      <c r="F6" s="252">
        <f t="shared" ca="1" si="1"/>
        <v>12762.322547444592</v>
      </c>
      <c r="G6" s="252">
        <f ca="1">+C6*'Rate Class Energy Model'!$F$25</f>
        <v>9926703.1118065622</v>
      </c>
      <c r="H6" s="252">
        <f ca="1">+E6*'Rate Class Energy Model'!$F$25</f>
        <v>4963351.5559032811</v>
      </c>
      <c r="I6" s="263">
        <f t="shared" ca="1" si="0"/>
        <v>4963351.5559032811</v>
      </c>
    </row>
    <row r="7" spans="1:9" ht="13.8" thickBot="1">
      <c r="A7" s="279" t="s">
        <v>233</v>
      </c>
      <c r="B7" s="265">
        <f>+'Chart II'!G49</f>
        <v>14584.506492404096</v>
      </c>
      <c r="C7" s="265">
        <f ca="1">+'Rate Class Energy Model'!M23</f>
        <v>9545423.4722779542</v>
      </c>
      <c r="D7" s="265">
        <f ca="1">+'Rate Class Load Model'!E18</f>
        <v>25737.107263940867</v>
      </c>
      <c r="E7" s="265">
        <f t="shared" ca="1" si="1"/>
        <v>4772711.7361389771</v>
      </c>
      <c r="F7" s="265">
        <f t="shared" ca="1" si="1"/>
        <v>12868.553631970433</v>
      </c>
      <c r="G7" s="265">
        <f ca="1">+C7*'Rate Class Energy Model'!$F$25</f>
        <v>10009331.053030662</v>
      </c>
      <c r="H7" s="265">
        <f ca="1">+E7*'Rate Class Energy Model'!$F$25</f>
        <v>5004665.5265153311</v>
      </c>
      <c r="I7" s="347">
        <f t="shared" ca="1" si="0"/>
        <v>5004665.5265153311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T60"/>
  <sheetViews>
    <sheetView workbookViewId="0"/>
  </sheetViews>
  <sheetFormatPr defaultRowHeight="13.2"/>
  <cols>
    <col min="1" max="1" width="5.88671875" customWidth="1"/>
    <col min="2" max="2" width="13.6640625" customWidth="1"/>
    <col min="3" max="3" width="10.44140625" customWidth="1"/>
    <col min="4" max="4" width="1.6640625" customWidth="1"/>
    <col min="5" max="5" width="12" customWidth="1"/>
    <col min="6" max="6" width="13.33203125" customWidth="1"/>
    <col min="7" max="7" width="12.6640625" customWidth="1"/>
    <col min="8" max="8" width="13.33203125" customWidth="1"/>
    <col min="9" max="9" width="12.6640625" customWidth="1"/>
    <col min="10" max="11" width="13.33203125" customWidth="1"/>
    <col min="12" max="14" width="12.6640625" customWidth="1"/>
    <col min="15" max="15" width="12.33203125" customWidth="1"/>
    <col min="16" max="18" width="13.33203125" customWidth="1"/>
    <col min="19" max="19" width="13.88671875" bestFit="1" customWidth="1"/>
    <col min="20" max="20" width="13.33203125" customWidth="1"/>
    <col min="21" max="21" width="10.109375" bestFit="1" customWidth="1"/>
  </cols>
  <sheetData>
    <row r="1" spans="1:15">
      <c r="A1" t="s">
        <v>82</v>
      </c>
    </row>
    <row r="2" spans="1:15">
      <c r="A2" t="s">
        <v>83</v>
      </c>
    </row>
    <row r="3" spans="1:15">
      <c r="A3" s="66" t="s">
        <v>95</v>
      </c>
    </row>
    <row r="4" spans="1:15" ht="13.8" thickBot="1"/>
    <row r="5" spans="1:15" ht="12.75" customHeight="1">
      <c r="E5" s="451" t="s">
        <v>286</v>
      </c>
      <c r="F5" s="453" t="s">
        <v>266</v>
      </c>
      <c r="G5" s="454"/>
      <c r="H5" s="454"/>
      <c r="I5" s="454"/>
      <c r="J5" s="454"/>
      <c r="K5" s="454"/>
      <c r="L5" s="454"/>
      <c r="M5" s="454"/>
      <c r="N5" s="454"/>
      <c r="O5" s="455"/>
    </row>
    <row r="6" spans="1:15" ht="13.8" thickBot="1">
      <c r="E6" s="452"/>
      <c r="F6" s="358">
        <v>2010</v>
      </c>
      <c r="G6" s="358">
        <v>2011</v>
      </c>
      <c r="H6" s="358">
        <v>2012</v>
      </c>
      <c r="I6" s="358">
        <v>2013</v>
      </c>
      <c r="J6" s="358">
        <v>2014</v>
      </c>
      <c r="K6" s="359">
        <v>2015</v>
      </c>
      <c r="L6" s="359">
        <v>2016</v>
      </c>
      <c r="M6" s="359">
        <v>2017</v>
      </c>
      <c r="N6" s="359">
        <v>2018</v>
      </c>
      <c r="O6" s="360">
        <v>2019</v>
      </c>
    </row>
    <row r="7" spans="1:15">
      <c r="E7" s="392" t="s">
        <v>285</v>
      </c>
      <c r="F7" s="393">
        <f>+I40</f>
        <v>23940408.65980842</v>
      </c>
      <c r="G7" s="252">
        <f t="shared" ref="G7:O7" si="0">+J40</f>
        <v>22739420.388500731</v>
      </c>
      <c r="H7" s="252">
        <f t="shared" si="0"/>
        <v>22381805.621150054</v>
      </c>
      <c r="I7" s="252">
        <f t="shared" si="0"/>
        <v>22309529.373889752</v>
      </c>
      <c r="J7" s="252">
        <f t="shared" si="0"/>
        <v>21747880.640079182</v>
      </c>
      <c r="K7" s="252">
        <f t="shared" si="0"/>
        <v>19730014.398549568</v>
      </c>
      <c r="L7" s="252">
        <f t="shared" si="0"/>
        <v>18946289.991510943</v>
      </c>
      <c r="M7" s="252">
        <f t="shared" si="0"/>
        <v>16748951.473723039</v>
      </c>
      <c r="N7" s="252">
        <f t="shared" si="0"/>
        <v>14366129.408459488</v>
      </c>
      <c r="O7" s="397">
        <f t="shared" si="0"/>
        <v>13626335.602470325</v>
      </c>
    </row>
    <row r="8" spans="1:15">
      <c r="E8" s="392">
        <v>2011</v>
      </c>
      <c r="F8" s="393"/>
      <c r="G8" s="252">
        <f>+J45/2</f>
        <v>1292000</v>
      </c>
      <c r="H8" s="252">
        <f t="shared" ref="H8:O8" si="1">+K45</f>
        <v>2584000</v>
      </c>
      <c r="I8" s="252">
        <f t="shared" si="1"/>
        <v>2584000</v>
      </c>
      <c r="J8" s="252">
        <f t="shared" si="1"/>
        <v>2584000</v>
      </c>
      <c r="K8" s="252">
        <f t="shared" si="1"/>
        <v>2584000</v>
      </c>
      <c r="L8" s="252">
        <f t="shared" si="1"/>
        <v>2584000</v>
      </c>
      <c r="M8" s="252">
        <f t="shared" si="1"/>
        <v>2584000</v>
      </c>
      <c r="N8" s="252">
        <f t="shared" si="1"/>
        <v>2584000</v>
      </c>
      <c r="O8" s="397">
        <f t="shared" si="1"/>
        <v>2584000</v>
      </c>
    </row>
    <row r="9" spans="1:15">
      <c r="E9" s="392">
        <v>2012</v>
      </c>
      <c r="F9" s="393"/>
      <c r="G9" s="252"/>
      <c r="H9" s="252">
        <f>+K46/2</f>
        <v>1997500</v>
      </c>
      <c r="I9" s="252">
        <f t="shared" ref="I9:O9" si="2">+L46</f>
        <v>3995000</v>
      </c>
      <c r="J9" s="252">
        <f t="shared" si="2"/>
        <v>3995000</v>
      </c>
      <c r="K9" s="252">
        <f t="shared" si="2"/>
        <v>3995000</v>
      </c>
      <c r="L9" s="252">
        <f t="shared" si="2"/>
        <v>3995000</v>
      </c>
      <c r="M9" s="252">
        <f t="shared" si="2"/>
        <v>3995000</v>
      </c>
      <c r="N9" s="252">
        <f t="shared" si="2"/>
        <v>3995000</v>
      </c>
      <c r="O9" s="397">
        <f t="shared" si="2"/>
        <v>3995000</v>
      </c>
    </row>
    <row r="10" spans="1:15">
      <c r="E10" s="392">
        <v>2013</v>
      </c>
      <c r="F10" s="393"/>
      <c r="G10" s="252"/>
      <c r="H10" s="252"/>
      <c r="I10" s="252">
        <f>+L47/2</f>
        <v>2624000</v>
      </c>
      <c r="J10" s="252">
        <f t="shared" ref="J10:O10" si="3">+M47</f>
        <v>5248000</v>
      </c>
      <c r="K10" s="252">
        <f t="shared" si="3"/>
        <v>5248000</v>
      </c>
      <c r="L10" s="252">
        <f t="shared" si="3"/>
        <v>5248000</v>
      </c>
      <c r="M10" s="252">
        <f t="shared" si="3"/>
        <v>5248000</v>
      </c>
      <c r="N10" s="252">
        <f t="shared" si="3"/>
        <v>5248000</v>
      </c>
      <c r="O10" s="397">
        <f t="shared" si="3"/>
        <v>5248000</v>
      </c>
    </row>
    <row r="11" spans="1:15">
      <c r="E11" s="392">
        <v>2014</v>
      </c>
      <c r="F11" s="393"/>
      <c r="G11" s="252"/>
      <c r="H11" s="252"/>
      <c r="I11" s="252"/>
      <c r="J11" s="252">
        <f>+M48/2</f>
        <v>3713000</v>
      </c>
      <c r="K11" s="252">
        <f t="shared" ref="K11:O11" si="4">+N48</f>
        <v>7426000</v>
      </c>
      <c r="L11" s="252">
        <f t="shared" si="4"/>
        <v>7426000</v>
      </c>
      <c r="M11" s="252">
        <f t="shared" si="4"/>
        <v>7426000</v>
      </c>
      <c r="N11" s="252">
        <f t="shared" si="4"/>
        <v>7426000</v>
      </c>
      <c r="O11" s="397">
        <f t="shared" si="4"/>
        <v>7426000</v>
      </c>
    </row>
    <row r="12" spans="1:15">
      <c r="E12" s="392">
        <v>2015</v>
      </c>
      <c r="F12" s="393"/>
      <c r="G12" s="252"/>
      <c r="H12" s="252"/>
      <c r="I12" s="252"/>
      <c r="J12" s="252"/>
      <c r="K12" s="252">
        <f>+N56/2</f>
        <v>5128000</v>
      </c>
      <c r="L12" s="252">
        <f t="shared" ref="L12:O12" si="5">+O56</f>
        <v>10256000</v>
      </c>
      <c r="M12" s="252">
        <f t="shared" si="5"/>
        <v>10256000</v>
      </c>
      <c r="N12" s="252">
        <f t="shared" si="5"/>
        <v>10256000</v>
      </c>
      <c r="O12" s="397">
        <f t="shared" si="5"/>
        <v>10256000</v>
      </c>
    </row>
    <row r="13" spans="1:15">
      <c r="E13" s="392">
        <v>2016</v>
      </c>
      <c r="F13" s="393"/>
      <c r="G13" s="252"/>
      <c r="H13" s="252"/>
      <c r="I13" s="252"/>
      <c r="J13" s="252"/>
      <c r="K13" s="252"/>
      <c r="L13" s="252">
        <f>+O57/2</f>
        <v>4786000</v>
      </c>
      <c r="M13" s="252">
        <f t="shared" ref="M13:O13" si="6">+P57</f>
        <v>9572000</v>
      </c>
      <c r="N13" s="252">
        <f t="shared" si="6"/>
        <v>9572000</v>
      </c>
      <c r="O13" s="397">
        <f t="shared" si="6"/>
        <v>9572000</v>
      </c>
    </row>
    <row r="14" spans="1:15">
      <c r="E14" s="392">
        <v>2017</v>
      </c>
      <c r="F14" s="393"/>
      <c r="G14" s="252"/>
      <c r="H14" s="252"/>
      <c r="I14" s="252"/>
      <c r="J14" s="252"/>
      <c r="K14" s="252"/>
      <c r="L14" s="252"/>
      <c r="M14" s="252">
        <f>+P58/2</f>
        <v>5470000</v>
      </c>
      <c r="N14" s="252">
        <f t="shared" ref="N14:O14" si="7">+Q58</f>
        <v>10940000</v>
      </c>
      <c r="O14" s="397">
        <f t="shared" si="7"/>
        <v>10940000</v>
      </c>
    </row>
    <row r="15" spans="1:15">
      <c r="E15" s="392">
        <v>2018</v>
      </c>
      <c r="F15" s="393"/>
      <c r="G15" s="252"/>
      <c r="H15" s="252"/>
      <c r="I15" s="252"/>
      <c r="J15" s="252"/>
      <c r="K15" s="252"/>
      <c r="L15" s="252"/>
      <c r="M15" s="252"/>
      <c r="N15" s="252">
        <f>+Q59/2</f>
        <v>5811500</v>
      </c>
      <c r="O15" s="397">
        <f>+R59</f>
        <v>11623000</v>
      </c>
    </row>
    <row r="16" spans="1:15" ht="13.8" thickBot="1">
      <c r="E16" s="394">
        <v>2019</v>
      </c>
      <c r="F16" s="395"/>
      <c r="G16" s="292"/>
      <c r="H16" s="292"/>
      <c r="I16" s="292"/>
      <c r="J16" s="292"/>
      <c r="K16" s="292"/>
      <c r="L16" s="292"/>
      <c r="M16" s="292"/>
      <c r="N16" s="292"/>
      <c r="O16" s="398">
        <f>+R60/2</f>
        <v>6153500</v>
      </c>
    </row>
    <row r="17" spans="1:20" ht="13.8" thickBot="1">
      <c r="E17" s="396" t="s">
        <v>288</v>
      </c>
      <c r="F17" s="399">
        <f>SUM(F7:F16)</f>
        <v>23940408.65980842</v>
      </c>
      <c r="G17" s="400">
        <f t="shared" ref="G17:O17" si="8">SUM(G7:G16)</f>
        <v>24031420.388500731</v>
      </c>
      <c r="H17" s="400">
        <f t="shared" si="8"/>
        <v>26963305.621150054</v>
      </c>
      <c r="I17" s="400">
        <f t="shared" si="8"/>
        <v>31512529.373889752</v>
      </c>
      <c r="J17" s="400">
        <f t="shared" si="8"/>
        <v>37287880.640079185</v>
      </c>
      <c r="K17" s="400">
        <f t="shared" si="8"/>
        <v>44111014.398549572</v>
      </c>
      <c r="L17" s="400">
        <f t="shared" si="8"/>
        <v>53241289.991510943</v>
      </c>
      <c r="M17" s="400">
        <f t="shared" si="8"/>
        <v>61299951.473723039</v>
      </c>
      <c r="N17" s="400">
        <f t="shared" si="8"/>
        <v>70198629.408459485</v>
      </c>
      <c r="O17" s="402">
        <f t="shared" si="8"/>
        <v>81423835.602470323</v>
      </c>
    </row>
    <row r="18" spans="1:20" ht="13.8" thickBot="1">
      <c r="E18" s="396" t="s">
        <v>289</v>
      </c>
      <c r="F18" s="393"/>
      <c r="G18" s="252"/>
      <c r="H18" s="252"/>
      <c r="I18" s="252"/>
      <c r="J18" s="252"/>
      <c r="K18" s="252">
        <f ca="1">+LED!I3</f>
        <v>2420722.3546389453</v>
      </c>
      <c r="L18" s="252">
        <f ca="1">+LED!I4</f>
        <v>4881743.9510676563</v>
      </c>
      <c r="M18" s="252">
        <f ca="1">+LED!I5</f>
        <v>4922378.6358886575</v>
      </c>
      <c r="N18" s="252">
        <f ca="1">+LED!I6</f>
        <v>4963351.5559032811</v>
      </c>
      <c r="O18" s="397">
        <f ca="1">+LED!I7</f>
        <v>5004665.5265153311</v>
      </c>
    </row>
    <row r="19" spans="1:20" ht="13.8" thickBot="1">
      <c r="E19" s="396" t="s">
        <v>290</v>
      </c>
      <c r="F19" s="401">
        <f>+F17-F18</f>
        <v>23940408.65980842</v>
      </c>
      <c r="G19" s="265">
        <f t="shared" ref="G19:O19" si="9">+G17-G18</f>
        <v>24031420.388500731</v>
      </c>
      <c r="H19" s="265">
        <f t="shared" si="9"/>
        <v>26963305.621150054</v>
      </c>
      <c r="I19" s="265">
        <f t="shared" si="9"/>
        <v>31512529.373889752</v>
      </c>
      <c r="J19" s="265">
        <f t="shared" si="9"/>
        <v>37287880.640079185</v>
      </c>
      <c r="K19" s="265">
        <f ca="1">+K17-K18</f>
        <v>41690292.043910623</v>
      </c>
      <c r="L19" s="265">
        <f t="shared" ca="1" si="9"/>
        <v>48359546.040443286</v>
      </c>
      <c r="M19" s="265">
        <f t="shared" ca="1" si="9"/>
        <v>56377572.837834381</v>
      </c>
      <c r="N19" s="265">
        <f t="shared" ca="1" si="9"/>
        <v>65235277.852556206</v>
      </c>
      <c r="O19" s="403">
        <f t="shared" ca="1" si="9"/>
        <v>76419170.075954989</v>
      </c>
    </row>
    <row r="20" spans="1:20" ht="13.8" thickBot="1"/>
    <row r="21" spans="1:20">
      <c r="J21" s="425">
        <f>J10*0.5 + SUM(J11:J16)</f>
        <v>6337000</v>
      </c>
      <c r="K21" s="425">
        <f t="shared" ref="K21:O21" si="10">K10*0.5 + SUM(K11:K16)</f>
        <v>15178000</v>
      </c>
      <c r="L21" s="425">
        <f t="shared" si="10"/>
        <v>25092000</v>
      </c>
      <c r="M21" s="425">
        <f t="shared" si="10"/>
        <v>35348000</v>
      </c>
      <c r="N21" s="425">
        <f t="shared" si="10"/>
        <v>46629500</v>
      </c>
      <c r="O21" s="425">
        <f t="shared" si="10"/>
        <v>58594500</v>
      </c>
    </row>
    <row r="23" spans="1:20" ht="16.2" thickBot="1">
      <c r="A23" s="73" t="s">
        <v>84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spans="1:20" ht="26.4">
      <c r="A24" s="361" t="s">
        <v>85</v>
      </c>
      <c r="B24" s="362" t="s">
        <v>86</v>
      </c>
      <c r="C24" s="362" t="s">
        <v>87</v>
      </c>
      <c r="D24" s="363"/>
      <c r="E24" s="364">
        <v>2006</v>
      </c>
      <c r="F24" s="364">
        <f>E24+1</f>
        <v>2007</v>
      </c>
      <c r="G24" s="364">
        <f t="shared" ref="G24:T24" si="11">F24+1</f>
        <v>2008</v>
      </c>
      <c r="H24" s="364">
        <f t="shared" si="11"/>
        <v>2009</v>
      </c>
      <c r="I24" s="364">
        <f t="shared" si="11"/>
        <v>2010</v>
      </c>
      <c r="J24" s="364">
        <f t="shared" si="11"/>
        <v>2011</v>
      </c>
      <c r="K24" s="364">
        <f t="shared" si="11"/>
        <v>2012</v>
      </c>
      <c r="L24" s="364">
        <f t="shared" si="11"/>
        <v>2013</v>
      </c>
      <c r="M24" s="364">
        <f t="shared" si="11"/>
        <v>2014</v>
      </c>
      <c r="N24" s="364">
        <f t="shared" si="11"/>
        <v>2015</v>
      </c>
      <c r="O24" s="364">
        <f t="shared" si="11"/>
        <v>2016</v>
      </c>
      <c r="P24" s="364">
        <f t="shared" si="11"/>
        <v>2017</v>
      </c>
      <c r="Q24" s="364">
        <f t="shared" si="11"/>
        <v>2018</v>
      </c>
      <c r="R24" s="364">
        <f t="shared" si="11"/>
        <v>2019</v>
      </c>
      <c r="S24" s="364">
        <f t="shared" si="11"/>
        <v>2020</v>
      </c>
      <c r="T24" s="365">
        <f t="shared" si="11"/>
        <v>2021</v>
      </c>
    </row>
    <row r="25" spans="1:20">
      <c r="A25" s="373"/>
      <c r="B25" s="75"/>
      <c r="C25" s="75"/>
      <c r="D25" s="75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374"/>
    </row>
    <row r="26" spans="1:20">
      <c r="A26" s="366">
        <v>1</v>
      </c>
      <c r="B26" s="76" t="s">
        <v>88</v>
      </c>
      <c r="C26" s="77" t="s">
        <v>89</v>
      </c>
      <c r="D26" s="75"/>
      <c r="E26" s="78">
        <v>4361.6262111155238</v>
      </c>
      <c r="F26" s="79">
        <v>4361.6262111155238</v>
      </c>
      <c r="G26" s="79">
        <v>4361.6262111155238</v>
      </c>
      <c r="H26" s="79">
        <v>4361.6262111155238</v>
      </c>
      <c r="I26" s="79">
        <v>757.51789534210593</v>
      </c>
      <c r="J26" s="79">
        <v>757.51789534210593</v>
      </c>
      <c r="K26" s="79">
        <v>692.92263556019986</v>
      </c>
      <c r="L26" s="79">
        <v>692.92263556019986</v>
      </c>
      <c r="M26" s="79">
        <v>651.10757751410972</v>
      </c>
      <c r="N26" s="79">
        <v>651.10757751410972</v>
      </c>
      <c r="O26" s="79">
        <v>615.15304069904016</v>
      </c>
      <c r="P26" s="79">
        <v>615.15304069904016</v>
      </c>
      <c r="Q26" s="79">
        <v>615.15304069904016</v>
      </c>
      <c r="R26" s="79">
        <v>615.15304069904016</v>
      </c>
      <c r="S26" s="79">
        <v>556.82900059720487</v>
      </c>
      <c r="T26" s="375">
        <v>484.00425723934239</v>
      </c>
    </row>
    <row r="27" spans="1:20">
      <c r="A27" s="368">
        <f>A26+1</f>
        <v>2</v>
      </c>
      <c r="B27" s="80" t="s">
        <v>90</v>
      </c>
      <c r="C27" s="81" t="s">
        <v>89</v>
      </c>
      <c r="D27" s="75"/>
      <c r="E27" s="82">
        <v>0</v>
      </c>
      <c r="F27" s="83">
        <v>2127.1429349556674</v>
      </c>
      <c r="G27" s="83">
        <v>2107.866777260087</v>
      </c>
      <c r="H27" s="83">
        <v>2107.866777260087</v>
      </c>
      <c r="I27" s="83">
        <v>2107.866777260087</v>
      </c>
      <c r="J27" s="83">
        <v>2107.7115059523994</v>
      </c>
      <c r="K27" s="83">
        <v>2041.9241361636698</v>
      </c>
      <c r="L27" s="83">
        <v>2041.9241361636698</v>
      </c>
      <c r="M27" s="83">
        <v>2041.9241361636698</v>
      </c>
      <c r="N27" s="83">
        <v>623.74141071566078</v>
      </c>
      <c r="O27" s="83">
        <v>515.84576550932638</v>
      </c>
      <c r="P27" s="83">
        <v>273.48108927619552</v>
      </c>
      <c r="Q27" s="83">
        <v>273.48108927619552</v>
      </c>
      <c r="R27" s="83">
        <v>273.48108927619552</v>
      </c>
      <c r="S27" s="83">
        <v>273.48108927619552</v>
      </c>
      <c r="T27" s="376">
        <v>273.48108927619552</v>
      </c>
    </row>
    <row r="28" spans="1:20">
      <c r="A28" s="370">
        <f>A27+1</f>
        <v>3</v>
      </c>
      <c r="B28" s="84" t="s">
        <v>91</v>
      </c>
      <c r="C28" s="85" t="s">
        <v>89</v>
      </c>
      <c r="D28" s="75"/>
      <c r="E28" s="86">
        <v>0</v>
      </c>
      <c r="F28" s="87">
        <v>0</v>
      </c>
      <c r="G28" s="87">
        <v>12530.058480092956</v>
      </c>
      <c r="H28" s="87">
        <v>11855.51168622548</v>
      </c>
      <c r="I28" s="87">
        <v>11843.974199225479</v>
      </c>
      <c r="J28" s="87">
        <v>11843.974199225479</v>
      </c>
      <c r="K28" s="87">
        <v>11626.537302265524</v>
      </c>
      <c r="L28" s="87">
        <v>11626.076322265524</v>
      </c>
      <c r="M28" s="87">
        <v>11400.133673868217</v>
      </c>
      <c r="N28" s="87">
        <v>11231.335382708021</v>
      </c>
      <c r="O28" s="87">
        <v>10617.989690133236</v>
      </c>
      <c r="P28" s="87">
        <v>10371.387888842775</v>
      </c>
      <c r="Q28" s="87">
        <v>10228.972576730534</v>
      </c>
      <c r="R28" s="87">
        <v>10228.972576730534</v>
      </c>
      <c r="S28" s="87">
        <v>10207.341549654349</v>
      </c>
      <c r="T28" s="377">
        <v>10186.812614035698</v>
      </c>
    </row>
    <row r="29" spans="1:20">
      <c r="A29" s="163">
        <f>A28+1</f>
        <v>4</v>
      </c>
      <c r="B29" s="88" t="s">
        <v>92</v>
      </c>
      <c r="C29" s="89" t="s">
        <v>89</v>
      </c>
      <c r="D29" s="75"/>
      <c r="E29" s="90">
        <v>0</v>
      </c>
      <c r="F29" s="91">
        <v>0</v>
      </c>
      <c r="G29" s="91">
        <v>0</v>
      </c>
      <c r="H29" s="91">
        <v>6169.1855876229893</v>
      </c>
      <c r="I29" s="91">
        <v>5473.3517879807496</v>
      </c>
      <c r="J29" s="91">
        <v>5473.3517879807496</v>
      </c>
      <c r="K29" s="91">
        <v>5470.4215471606612</v>
      </c>
      <c r="L29" s="91">
        <v>5399.6062799003594</v>
      </c>
      <c r="M29" s="91">
        <v>5174.7152525331849</v>
      </c>
      <c r="N29" s="91">
        <v>5058.830027611778</v>
      </c>
      <c r="O29" s="91">
        <v>5056.3014951693413</v>
      </c>
      <c r="P29" s="91">
        <v>3659.9294549050305</v>
      </c>
      <c r="Q29" s="91">
        <v>2068.522701753719</v>
      </c>
      <c r="R29" s="91">
        <v>1723.728895764556</v>
      </c>
      <c r="S29" s="91">
        <v>625.4707410176112</v>
      </c>
      <c r="T29" s="378">
        <v>563.13381735360963</v>
      </c>
    </row>
    <row r="30" spans="1:20" ht="13.8" thickBot="1">
      <c r="A30" s="166" t="s">
        <v>9</v>
      </c>
      <c r="B30" s="167"/>
      <c r="C30" s="168"/>
      <c r="D30" s="169"/>
      <c r="E30" s="170">
        <f t="shared" ref="E30:T30" si="12">SUM(E26:E29)</f>
        <v>4361.6262111155238</v>
      </c>
      <c r="F30" s="170">
        <f t="shared" si="12"/>
        <v>6488.7691460711912</v>
      </c>
      <c r="G30" s="170">
        <f t="shared" si="12"/>
        <v>18999.551468468566</v>
      </c>
      <c r="H30" s="170">
        <f t="shared" si="12"/>
        <v>24494.190262224081</v>
      </c>
      <c r="I30" s="170">
        <f t="shared" si="12"/>
        <v>20182.710659808421</v>
      </c>
      <c r="J30" s="170">
        <f t="shared" si="12"/>
        <v>20182.555388500732</v>
      </c>
      <c r="K30" s="170">
        <f t="shared" si="12"/>
        <v>19831.805621150055</v>
      </c>
      <c r="L30" s="170">
        <f t="shared" si="12"/>
        <v>19760.529373889753</v>
      </c>
      <c r="M30" s="170">
        <f t="shared" si="12"/>
        <v>19267.88064007918</v>
      </c>
      <c r="N30" s="170">
        <f t="shared" si="12"/>
        <v>17565.014398549571</v>
      </c>
      <c r="O30" s="170">
        <f t="shared" si="12"/>
        <v>16805.289991510945</v>
      </c>
      <c r="P30" s="170">
        <f t="shared" si="12"/>
        <v>14919.95147372304</v>
      </c>
      <c r="Q30" s="170">
        <f t="shared" si="12"/>
        <v>13186.129408459488</v>
      </c>
      <c r="R30" s="170">
        <f t="shared" si="12"/>
        <v>12841.335602470326</v>
      </c>
      <c r="S30" s="170">
        <f t="shared" si="12"/>
        <v>11663.122380545361</v>
      </c>
      <c r="T30" s="171">
        <f t="shared" si="12"/>
        <v>11507.431777904845</v>
      </c>
    </row>
    <row r="33" spans="1:20" ht="16.2" thickBot="1">
      <c r="A33" s="73" t="s">
        <v>93</v>
      </c>
    </row>
    <row r="34" spans="1:20" ht="26.4">
      <c r="A34" s="361" t="s">
        <v>85</v>
      </c>
      <c r="B34" s="362" t="s">
        <v>86</v>
      </c>
      <c r="C34" s="362" t="s">
        <v>87</v>
      </c>
      <c r="D34" s="363"/>
      <c r="E34" s="364">
        <v>2006</v>
      </c>
      <c r="F34" s="364">
        <f>E34+1</f>
        <v>2007</v>
      </c>
      <c r="G34" s="364">
        <f t="shared" ref="G34:T34" si="13">F34+1</f>
        <v>2008</v>
      </c>
      <c r="H34" s="364">
        <f t="shared" si="13"/>
        <v>2009</v>
      </c>
      <c r="I34" s="364">
        <f t="shared" si="13"/>
        <v>2010</v>
      </c>
      <c r="J34" s="364">
        <f t="shared" si="13"/>
        <v>2011</v>
      </c>
      <c r="K34" s="364">
        <f t="shared" si="13"/>
        <v>2012</v>
      </c>
      <c r="L34" s="364">
        <f t="shared" si="13"/>
        <v>2013</v>
      </c>
      <c r="M34" s="364">
        <f t="shared" si="13"/>
        <v>2014</v>
      </c>
      <c r="N34" s="364">
        <f t="shared" si="13"/>
        <v>2015</v>
      </c>
      <c r="O34" s="364">
        <f t="shared" si="13"/>
        <v>2016</v>
      </c>
      <c r="P34" s="364">
        <f t="shared" si="13"/>
        <v>2017</v>
      </c>
      <c r="Q34" s="364">
        <f t="shared" si="13"/>
        <v>2018</v>
      </c>
      <c r="R34" s="364">
        <f t="shared" si="13"/>
        <v>2019</v>
      </c>
      <c r="S34" s="364">
        <f t="shared" si="13"/>
        <v>2020</v>
      </c>
      <c r="T34" s="365">
        <f t="shared" si="13"/>
        <v>2021</v>
      </c>
    </row>
    <row r="35" spans="1:20">
      <c r="A35" s="366">
        <v>1</v>
      </c>
      <c r="B35" s="76" t="s">
        <v>88</v>
      </c>
      <c r="C35" s="77" t="s">
        <v>89</v>
      </c>
      <c r="D35" s="164"/>
      <c r="E35" s="78">
        <f>+E26*1000</f>
        <v>4361626.2111155242</v>
      </c>
      <c r="F35" s="78">
        <f t="shared" ref="F35:T38" si="14">+F26*1000</f>
        <v>4361626.2111155242</v>
      </c>
      <c r="G35" s="78">
        <f t="shared" si="14"/>
        <v>4361626.2111155242</v>
      </c>
      <c r="H35" s="78">
        <f t="shared" si="14"/>
        <v>4361626.2111155242</v>
      </c>
      <c r="I35" s="78">
        <f t="shared" si="14"/>
        <v>757517.89534210588</v>
      </c>
      <c r="J35" s="78">
        <f t="shared" si="14"/>
        <v>757517.89534210588</v>
      </c>
      <c r="K35" s="78">
        <f t="shared" si="14"/>
        <v>692922.63556019985</v>
      </c>
      <c r="L35" s="78">
        <f t="shared" si="14"/>
        <v>692922.63556019985</v>
      </c>
      <c r="M35" s="78">
        <f t="shared" si="14"/>
        <v>651107.57751410967</v>
      </c>
      <c r="N35" s="78">
        <f t="shared" si="14"/>
        <v>651107.57751410967</v>
      </c>
      <c r="O35" s="78">
        <f t="shared" si="14"/>
        <v>615153.04069904017</v>
      </c>
      <c r="P35" s="78">
        <f t="shared" si="14"/>
        <v>615153.04069904017</v>
      </c>
      <c r="Q35" s="78">
        <f t="shared" si="14"/>
        <v>615153.04069904017</v>
      </c>
      <c r="R35" s="78">
        <f t="shared" si="14"/>
        <v>615153.04069904017</v>
      </c>
      <c r="S35" s="78">
        <f t="shared" si="14"/>
        <v>556829.0005972049</v>
      </c>
      <c r="T35" s="367">
        <f t="shared" si="14"/>
        <v>484004.25723934238</v>
      </c>
    </row>
    <row r="36" spans="1:20">
      <c r="A36" s="368">
        <f>A35+1</f>
        <v>2</v>
      </c>
      <c r="B36" s="80" t="s">
        <v>90</v>
      </c>
      <c r="C36" s="81" t="s">
        <v>89</v>
      </c>
      <c r="D36" s="164"/>
      <c r="E36" s="82">
        <f>+E27*1000</f>
        <v>0</v>
      </c>
      <c r="F36" s="82">
        <f t="shared" si="14"/>
        <v>2127142.9349556672</v>
      </c>
      <c r="G36" s="82">
        <f t="shared" si="14"/>
        <v>2107866.777260087</v>
      </c>
      <c r="H36" s="82">
        <f t="shared" si="14"/>
        <v>2107866.777260087</v>
      </c>
      <c r="I36" s="82">
        <f t="shared" si="14"/>
        <v>2107866.777260087</v>
      </c>
      <c r="J36" s="82">
        <f t="shared" si="14"/>
        <v>2107711.5059523992</v>
      </c>
      <c r="K36" s="82">
        <f t="shared" si="14"/>
        <v>2041924.1361636699</v>
      </c>
      <c r="L36" s="82">
        <f t="shared" si="14"/>
        <v>2041924.1361636699</v>
      </c>
      <c r="M36" s="82">
        <f t="shared" si="14"/>
        <v>2041924.1361636699</v>
      </c>
      <c r="N36" s="82">
        <f t="shared" si="14"/>
        <v>623741.41071566078</v>
      </c>
      <c r="O36" s="82">
        <f t="shared" si="14"/>
        <v>515845.76550932636</v>
      </c>
      <c r="P36" s="82">
        <f t="shared" si="14"/>
        <v>273481.0892761955</v>
      </c>
      <c r="Q36" s="82">
        <f t="shared" si="14"/>
        <v>273481.0892761955</v>
      </c>
      <c r="R36" s="82">
        <f t="shared" si="14"/>
        <v>273481.0892761955</v>
      </c>
      <c r="S36" s="82">
        <f t="shared" si="14"/>
        <v>273481.0892761955</v>
      </c>
      <c r="T36" s="369">
        <f t="shared" si="14"/>
        <v>273481.0892761955</v>
      </c>
    </row>
    <row r="37" spans="1:20">
      <c r="A37" s="370">
        <f>A36+1</f>
        <v>3</v>
      </c>
      <c r="B37" s="84" t="s">
        <v>91</v>
      </c>
      <c r="C37" s="85" t="s">
        <v>89</v>
      </c>
      <c r="D37" s="164"/>
      <c r="E37" s="86">
        <f>+E28*1000</f>
        <v>0</v>
      </c>
      <c r="F37" s="86">
        <f t="shared" si="14"/>
        <v>0</v>
      </c>
      <c r="G37" s="86">
        <f t="shared" si="14"/>
        <v>12530058.480092956</v>
      </c>
      <c r="H37" s="86">
        <f t="shared" si="14"/>
        <v>11855511.686225479</v>
      </c>
      <c r="I37" s="86">
        <f t="shared" si="14"/>
        <v>11843974.199225478</v>
      </c>
      <c r="J37" s="86">
        <f t="shared" si="14"/>
        <v>11843974.199225478</v>
      </c>
      <c r="K37" s="86">
        <f t="shared" si="14"/>
        <v>11626537.302265525</v>
      </c>
      <c r="L37" s="86">
        <f t="shared" si="14"/>
        <v>11626076.322265524</v>
      </c>
      <c r="M37" s="86">
        <f t="shared" si="14"/>
        <v>11400133.673868217</v>
      </c>
      <c r="N37" s="86">
        <f t="shared" si="14"/>
        <v>11231335.382708021</v>
      </c>
      <c r="O37" s="86">
        <f t="shared" si="14"/>
        <v>10617989.690133236</v>
      </c>
      <c r="P37" s="86">
        <f t="shared" si="14"/>
        <v>10371387.888842775</v>
      </c>
      <c r="Q37" s="86">
        <f t="shared" si="14"/>
        <v>10228972.576730534</v>
      </c>
      <c r="R37" s="86">
        <f t="shared" si="14"/>
        <v>10228972.576730534</v>
      </c>
      <c r="S37" s="86">
        <f t="shared" si="14"/>
        <v>10207341.54965435</v>
      </c>
      <c r="T37" s="371">
        <f t="shared" si="14"/>
        <v>10186812.614035698</v>
      </c>
    </row>
    <row r="38" spans="1:20">
      <c r="A38" s="163">
        <f>A37+1</f>
        <v>4</v>
      </c>
      <c r="B38" s="88" t="s">
        <v>92</v>
      </c>
      <c r="C38" s="89" t="s">
        <v>89</v>
      </c>
      <c r="D38" s="164"/>
      <c r="E38" s="90">
        <f>+E29*1000</f>
        <v>0</v>
      </c>
      <c r="F38" s="90">
        <f t="shared" si="14"/>
        <v>0</v>
      </c>
      <c r="G38" s="90">
        <f t="shared" si="14"/>
        <v>0</v>
      </c>
      <c r="H38" s="90">
        <f t="shared" si="14"/>
        <v>6169185.587622989</v>
      </c>
      <c r="I38" s="90">
        <f t="shared" si="14"/>
        <v>5473351.7879807493</v>
      </c>
      <c r="J38" s="90">
        <f t="shared" si="14"/>
        <v>5473351.7879807493</v>
      </c>
      <c r="K38" s="90">
        <f t="shared" si="14"/>
        <v>5470421.5471606608</v>
      </c>
      <c r="L38" s="90">
        <f t="shared" si="14"/>
        <v>5399606.279900359</v>
      </c>
      <c r="M38" s="90">
        <f t="shared" si="14"/>
        <v>5174715.2525331853</v>
      </c>
      <c r="N38" s="90">
        <f t="shared" si="14"/>
        <v>5058830.0276117781</v>
      </c>
      <c r="O38" s="90">
        <f t="shared" si="14"/>
        <v>5056301.4951693416</v>
      </c>
      <c r="P38" s="90">
        <f t="shared" si="14"/>
        <v>3659929.4549050303</v>
      </c>
      <c r="Q38" s="90">
        <f t="shared" si="14"/>
        <v>2068522.701753719</v>
      </c>
      <c r="R38" s="90">
        <f t="shared" si="14"/>
        <v>1723728.895764556</v>
      </c>
      <c r="S38" s="90">
        <f t="shared" si="14"/>
        <v>625470.74101761123</v>
      </c>
      <c r="T38" s="372">
        <f t="shared" si="14"/>
        <v>563133.8173536096</v>
      </c>
    </row>
    <row r="39" spans="1:20">
      <c r="A39" s="163">
        <f>A38+1</f>
        <v>5</v>
      </c>
      <c r="B39" s="88" t="s">
        <v>94</v>
      </c>
      <c r="C39" s="89" t="s">
        <v>89</v>
      </c>
      <c r="D39" s="164"/>
      <c r="E39" s="90">
        <v>0</v>
      </c>
      <c r="F39" s="90">
        <v>0</v>
      </c>
      <c r="G39" s="90">
        <v>0</v>
      </c>
      <c r="H39" s="90">
        <v>0</v>
      </c>
      <c r="I39" s="90">
        <v>3757698</v>
      </c>
      <c r="J39" s="90">
        <v>2556865</v>
      </c>
      <c r="K39" s="90">
        <v>2550000</v>
      </c>
      <c r="L39" s="90">
        <v>2549000</v>
      </c>
      <c r="M39" s="90">
        <v>2480000</v>
      </c>
      <c r="N39" s="90">
        <v>2165000</v>
      </c>
      <c r="O39" s="90">
        <v>2141000</v>
      </c>
      <c r="P39" s="90">
        <v>1829000</v>
      </c>
      <c r="Q39" s="90">
        <v>1180000</v>
      </c>
      <c r="R39" s="90">
        <v>785000</v>
      </c>
      <c r="S39" s="90">
        <f t="shared" ref="S39:T39" si="15">+R39</f>
        <v>785000</v>
      </c>
      <c r="T39" s="372">
        <f t="shared" si="15"/>
        <v>785000</v>
      </c>
    </row>
    <row r="40" spans="1:20" ht="13.8" thickBot="1">
      <c r="A40" s="166" t="s">
        <v>9</v>
      </c>
      <c r="B40" s="167"/>
      <c r="C40" s="168"/>
      <c r="D40" s="169"/>
      <c r="E40" s="170">
        <f>SUM(E35:E39)</f>
        <v>4361626.2111155242</v>
      </c>
      <c r="F40" s="170">
        <f t="shared" ref="F40:T40" si="16">SUM(F35:F39)</f>
        <v>6488769.1460711919</v>
      </c>
      <c r="G40" s="170">
        <f t="shared" si="16"/>
        <v>18999551.468468569</v>
      </c>
      <c r="H40" s="170">
        <f t="shared" si="16"/>
        <v>24494190.262224082</v>
      </c>
      <c r="I40" s="170">
        <f t="shared" si="16"/>
        <v>23940408.65980842</v>
      </c>
      <c r="J40" s="170">
        <f t="shared" si="16"/>
        <v>22739420.388500731</v>
      </c>
      <c r="K40" s="170">
        <f t="shared" si="16"/>
        <v>22381805.621150054</v>
      </c>
      <c r="L40" s="170">
        <f t="shared" si="16"/>
        <v>22309529.373889752</v>
      </c>
      <c r="M40" s="170">
        <f t="shared" si="16"/>
        <v>21747880.640079182</v>
      </c>
      <c r="N40" s="170">
        <f t="shared" si="16"/>
        <v>19730014.398549568</v>
      </c>
      <c r="O40" s="170">
        <f t="shared" si="16"/>
        <v>18946289.991510943</v>
      </c>
      <c r="P40" s="170">
        <f t="shared" si="16"/>
        <v>16748951.473723039</v>
      </c>
      <c r="Q40" s="170">
        <f t="shared" si="16"/>
        <v>14366129.408459488</v>
      </c>
      <c r="R40" s="170">
        <f t="shared" si="16"/>
        <v>13626335.602470325</v>
      </c>
      <c r="S40" s="170">
        <f t="shared" si="16"/>
        <v>12448122.380545361</v>
      </c>
      <c r="T40" s="171">
        <f t="shared" si="16"/>
        <v>12292431.777904846</v>
      </c>
    </row>
    <row r="43" spans="1:20" ht="16.2" thickBot="1">
      <c r="A43" s="382" t="s">
        <v>96</v>
      </c>
      <c r="B43" s="383"/>
      <c r="C43" s="383"/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4" t="s">
        <v>280</v>
      </c>
      <c r="O43" s="383"/>
      <c r="P43" s="383"/>
      <c r="Q43" s="383"/>
      <c r="R43" s="383"/>
      <c r="S43" s="383"/>
    </row>
    <row r="44" spans="1:20" ht="26.4">
      <c r="A44" s="361" t="s">
        <v>85</v>
      </c>
      <c r="B44" s="362" t="s">
        <v>86</v>
      </c>
      <c r="C44" s="362" t="s">
        <v>87</v>
      </c>
      <c r="D44" s="363"/>
      <c r="E44" s="364">
        <v>2006</v>
      </c>
      <c r="F44" s="364">
        <f>E44+1</f>
        <v>2007</v>
      </c>
      <c r="G44" s="364">
        <f t="shared" ref="G44:N44" si="17">F44+1</f>
        <v>2008</v>
      </c>
      <c r="H44" s="364">
        <f t="shared" si="17"/>
        <v>2009</v>
      </c>
      <c r="I44" s="364">
        <f t="shared" si="17"/>
        <v>2010</v>
      </c>
      <c r="J44" s="380">
        <f t="shared" si="17"/>
        <v>2011</v>
      </c>
      <c r="K44" s="380">
        <f t="shared" si="17"/>
        <v>2012</v>
      </c>
      <c r="L44" s="380">
        <f t="shared" si="17"/>
        <v>2013</v>
      </c>
      <c r="M44" s="380">
        <f t="shared" si="17"/>
        <v>2014</v>
      </c>
      <c r="N44" s="380">
        <f t="shared" si="17"/>
        <v>2015</v>
      </c>
      <c r="O44" s="364">
        <f t="shared" ref="O44" si="18">N44+1</f>
        <v>2016</v>
      </c>
      <c r="P44" s="364">
        <f t="shared" ref="P44" si="19">O44+1</f>
        <v>2017</v>
      </c>
      <c r="Q44" s="364">
        <f t="shared" ref="Q44" si="20">P44+1</f>
        <v>2018</v>
      </c>
      <c r="R44" s="364">
        <f t="shared" ref="R44" si="21">Q44+1</f>
        <v>2019</v>
      </c>
      <c r="S44" s="365" t="s">
        <v>9</v>
      </c>
      <c r="T44" s="379" t="s">
        <v>281</v>
      </c>
    </row>
    <row r="45" spans="1:20">
      <c r="A45" s="163">
        <v>1</v>
      </c>
      <c r="B45" s="92" t="s">
        <v>98</v>
      </c>
      <c r="C45" s="355" t="s">
        <v>220</v>
      </c>
      <c r="D45" s="164"/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356">
        <v>2584000</v>
      </c>
      <c r="K45" s="356">
        <f>J45</f>
        <v>2584000</v>
      </c>
      <c r="L45" s="356">
        <f t="shared" ref="L45:N46" si="22">K45</f>
        <v>2584000</v>
      </c>
      <c r="M45" s="356">
        <f t="shared" si="22"/>
        <v>2584000</v>
      </c>
      <c r="N45" s="356">
        <f t="shared" si="22"/>
        <v>2584000</v>
      </c>
      <c r="O45" s="356">
        <f t="shared" ref="O45:O49" si="23">N45</f>
        <v>2584000</v>
      </c>
      <c r="P45" s="356">
        <f t="shared" ref="P45:P49" si="24">O45</f>
        <v>2584000</v>
      </c>
      <c r="Q45" s="356">
        <f t="shared" ref="Q45:Q49" si="25">P45</f>
        <v>2584000</v>
      </c>
      <c r="R45" s="356">
        <f t="shared" ref="R45:R49" si="26">Q45</f>
        <v>2584000</v>
      </c>
      <c r="S45" s="381">
        <f>SUM(E45:R45)</f>
        <v>23256000</v>
      </c>
      <c r="T45" t="s">
        <v>282</v>
      </c>
    </row>
    <row r="46" spans="1:20">
      <c r="A46" s="163">
        <f t="shared" ref="A46:A49" si="27">A45+1</f>
        <v>2</v>
      </c>
      <c r="B46" s="92" t="s">
        <v>99</v>
      </c>
      <c r="C46" s="355" t="s">
        <v>220</v>
      </c>
      <c r="D46" s="164"/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356">
        <v>3995000</v>
      </c>
      <c r="L46" s="356">
        <f>K46</f>
        <v>3995000</v>
      </c>
      <c r="M46" s="356">
        <f t="shared" si="22"/>
        <v>3995000</v>
      </c>
      <c r="N46" s="356">
        <f t="shared" si="22"/>
        <v>3995000</v>
      </c>
      <c r="O46" s="356">
        <f t="shared" si="23"/>
        <v>3995000</v>
      </c>
      <c r="P46" s="356">
        <f t="shared" si="24"/>
        <v>3995000</v>
      </c>
      <c r="Q46" s="356">
        <f t="shared" si="25"/>
        <v>3995000</v>
      </c>
      <c r="R46" s="356">
        <f t="shared" si="26"/>
        <v>3995000</v>
      </c>
      <c r="S46" s="381">
        <f t="shared" ref="S46:S49" si="28">SUM(E46:R46)</f>
        <v>31960000</v>
      </c>
      <c r="T46" t="s">
        <v>282</v>
      </c>
    </row>
    <row r="47" spans="1:20">
      <c r="A47" s="163">
        <f t="shared" si="27"/>
        <v>3</v>
      </c>
      <c r="B47" s="92" t="s">
        <v>100</v>
      </c>
      <c r="C47" s="355" t="s">
        <v>283</v>
      </c>
      <c r="D47" s="164"/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356">
        <v>5248000</v>
      </c>
      <c r="M47" s="356">
        <f>L47</f>
        <v>5248000</v>
      </c>
      <c r="N47" s="356">
        <f>M47</f>
        <v>5248000</v>
      </c>
      <c r="O47" s="356">
        <f t="shared" si="23"/>
        <v>5248000</v>
      </c>
      <c r="P47" s="356">
        <f t="shared" si="24"/>
        <v>5248000</v>
      </c>
      <c r="Q47" s="356">
        <f t="shared" si="25"/>
        <v>5248000</v>
      </c>
      <c r="R47" s="356">
        <f t="shared" si="26"/>
        <v>5248000</v>
      </c>
      <c r="S47" s="381">
        <f t="shared" si="28"/>
        <v>36736000</v>
      </c>
      <c r="T47" t="s">
        <v>282</v>
      </c>
    </row>
    <row r="48" spans="1:20">
      <c r="A48" s="163">
        <f t="shared" si="27"/>
        <v>4</v>
      </c>
      <c r="B48" s="92" t="s">
        <v>101</v>
      </c>
      <c r="C48" s="93" t="s">
        <v>97</v>
      </c>
      <c r="D48" s="164"/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356">
        <v>7426000</v>
      </c>
      <c r="N48" s="356">
        <f>+M48</f>
        <v>7426000</v>
      </c>
      <c r="O48" s="356">
        <f t="shared" si="23"/>
        <v>7426000</v>
      </c>
      <c r="P48" s="356">
        <f t="shared" si="24"/>
        <v>7426000</v>
      </c>
      <c r="Q48" s="356">
        <f t="shared" si="25"/>
        <v>7426000</v>
      </c>
      <c r="R48" s="356">
        <f t="shared" si="26"/>
        <v>7426000</v>
      </c>
      <c r="S48" s="381">
        <f t="shared" si="28"/>
        <v>44556000</v>
      </c>
      <c r="T48" t="s">
        <v>282</v>
      </c>
    </row>
    <row r="49" spans="1:20">
      <c r="A49" s="163">
        <f t="shared" si="27"/>
        <v>5</v>
      </c>
      <c r="B49" s="92" t="s">
        <v>102</v>
      </c>
      <c r="C49" s="355" t="s">
        <v>97</v>
      </c>
      <c r="D49" s="164"/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356">
        <v>10256000</v>
      </c>
      <c r="O49" s="356">
        <f t="shared" si="23"/>
        <v>10256000</v>
      </c>
      <c r="P49" s="356">
        <f t="shared" si="24"/>
        <v>10256000</v>
      </c>
      <c r="Q49" s="356">
        <f t="shared" si="25"/>
        <v>10256000</v>
      </c>
      <c r="R49" s="356">
        <f t="shared" si="26"/>
        <v>10256000</v>
      </c>
      <c r="S49" s="381">
        <f t="shared" si="28"/>
        <v>51280000</v>
      </c>
      <c r="T49" t="s">
        <v>282</v>
      </c>
    </row>
    <row r="50" spans="1:20" ht="13.8" thickBot="1">
      <c r="A50" s="166" t="s">
        <v>9</v>
      </c>
      <c r="B50" s="167"/>
      <c r="C50" s="168"/>
      <c r="D50" s="169"/>
      <c r="E50" s="170">
        <f t="shared" ref="E50:S50" si="29">SUM(E45:E49)</f>
        <v>0</v>
      </c>
      <c r="F50" s="170">
        <f t="shared" si="29"/>
        <v>0</v>
      </c>
      <c r="G50" s="170">
        <f t="shared" si="29"/>
        <v>0</v>
      </c>
      <c r="H50" s="170">
        <f t="shared" si="29"/>
        <v>0</v>
      </c>
      <c r="I50" s="170">
        <f t="shared" si="29"/>
        <v>0</v>
      </c>
      <c r="J50" s="170">
        <f t="shared" si="29"/>
        <v>2584000</v>
      </c>
      <c r="K50" s="170">
        <f t="shared" si="29"/>
        <v>6579000</v>
      </c>
      <c r="L50" s="170">
        <f t="shared" si="29"/>
        <v>11827000</v>
      </c>
      <c r="M50" s="170">
        <f t="shared" si="29"/>
        <v>19253000</v>
      </c>
      <c r="N50" s="170">
        <f>SUM(N45:N49)</f>
        <v>29509000</v>
      </c>
      <c r="O50" s="170">
        <f t="shared" si="29"/>
        <v>29509000</v>
      </c>
      <c r="P50" s="170">
        <f t="shared" si="29"/>
        <v>29509000</v>
      </c>
      <c r="Q50" s="170">
        <f t="shared" si="29"/>
        <v>29509000</v>
      </c>
      <c r="R50" s="170">
        <f t="shared" si="29"/>
        <v>29509000</v>
      </c>
      <c r="S50" s="171">
        <f t="shared" si="29"/>
        <v>187788000</v>
      </c>
    </row>
    <row r="51" spans="1:20" ht="14.4">
      <c r="N51" s="357" t="s">
        <v>287</v>
      </c>
    </row>
    <row r="53" spans="1:20" ht="16.2" thickBot="1">
      <c r="A53" s="237" t="s">
        <v>96</v>
      </c>
      <c r="B53" s="383"/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4" t="s">
        <v>284</v>
      </c>
      <c r="O53" s="383"/>
      <c r="P53" s="383"/>
      <c r="Q53" s="383"/>
      <c r="R53" s="383"/>
      <c r="S53" s="383"/>
    </row>
    <row r="54" spans="1:20" ht="26.4">
      <c r="A54" s="361" t="s">
        <v>85</v>
      </c>
      <c r="B54" s="362" t="s">
        <v>86</v>
      </c>
      <c r="C54" s="362" t="s">
        <v>87</v>
      </c>
      <c r="D54" s="363"/>
      <c r="E54" s="364">
        <v>2006</v>
      </c>
      <c r="F54" s="364">
        <f>E54+1</f>
        <v>2007</v>
      </c>
      <c r="G54" s="364">
        <f t="shared" ref="G54:R54" si="30">F54+1</f>
        <v>2008</v>
      </c>
      <c r="H54" s="364">
        <f t="shared" si="30"/>
        <v>2009</v>
      </c>
      <c r="I54" s="364">
        <f t="shared" si="30"/>
        <v>2010</v>
      </c>
      <c r="J54" s="380">
        <f t="shared" si="30"/>
        <v>2011</v>
      </c>
      <c r="K54" s="380">
        <f t="shared" si="30"/>
        <v>2012</v>
      </c>
      <c r="L54" s="380">
        <f t="shared" si="30"/>
        <v>2013</v>
      </c>
      <c r="M54" s="380">
        <f>L54+1</f>
        <v>2014</v>
      </c>
      <c r="N54" s="380">
        <f t="shared" si="30"/>
        <v>2015</v>
      </c>
      <c r="O54" s="380">
        <f t="shared" si="30"/>
        <v>2016</v>
      </c>
      <c r="P54" s="380">
        <f t="shared" si="30"/>
        <v>2017</v>
      </c>
      <c r="Q54" s="380">
        <f t="shared" si="30"/>
        <v>2018</v>
      </c>
      <c r="R54" s="380">
        <f t="shared" si="30"/>
        <v>2019</v>
      </c>
      <c r="S54" s="391" t="s">
        <v>9</v>
      </c>
      <c r="T54" s="354" t="str">
        <f>T44</f>
        <v>Source:</v>
      </c>
    </row>
    <row r="55" spans="1:20">
      <c r="A55" s="163">
        <v>1</v>
      </c>
      <c r="B55" s="92" t="s">
        <v>101</v>
      </c>
      <c r="C55" s="93" t="s">
        <v>97</v>
      </c>
      <c r="D55" s="164"/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356">
        <f>+M48</f>
        <v>7426000</v>
      </c>
      <c r="N55" s="356">
        <f>+M55</f>
        <v>7426000</v>
      </c>
      <c r="O55" s="356">
        <f t="shared" ref="O55:R56" si="31">+N55</f>
        <v>7426000</v>
      </c>
      <c r="P55" s="356">
        <f t="shared" si="31"/>
        <v>7426000</v>
      </c>
      <c r="Q55" s="356">
        <f t="shared" si="31"/>
        <v>7426000</v>
      </c>
      <c r="R55" s="356">
        <f t="shared" si="31"/>
        <v>7426000</v>
      </c>
      <c r="S55" s="165">
        <f>SUM(E55:R55)</f>
        <v>44556000</v>
      </c>
    </row>
    <row r="56" spans="1:20">
      <c r="A56" s="163">
        <f t="shared" ref="A56:A60" si="32">A55+1</f>
        <v>2</v>
      </c>
      <c r="B56" s="92" t="s">
        <v>102</v>
      </c>
      <c r="C56" s="93" t="s">
        <v>97</v>
      </c>
      <c r="D56" s="164"/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356">
        <f>+N49</f>
        <v>10256000</v>
      </c>
      <c r="O56" s="356">
        <f>+N56</f>
        <v>10256000</v>
      </c>
      <c r="P56" s="356">
        <f t="shared" si="31"/>
        <v>10256000</v>
      </c>
      <c r="Q56" s="356">
        <f t="shared" si="31"/>
        <v>10256000</v>
      </c>
      <c r="R56" s="356">
        <f t="shared" si="31"/>
        <v>10256000</v>
      </c>
      <c r="S56" s="165">
        <f t="shared" ref="S56:S60" si="33">SUM(E56:R56)</f>
        <v>51280000</v>
      </c>
      <c r="T56" t="s">
        <v>282</v>
      </c>
    </row>
    <row r="57" spans="1:20">
      <c r="A57" s="163">
        <f>A56+1</f>
        <v>3</v>
      </c>
      <c r="B57" s="92" t="s">
        <v>219</v>
      </c>
      <c r="C57" s="93" t="s">
        <v>97</v>
      </c>
      <c r="D57" s="164"/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356">
        <v>9572000</v>
      </c>
      <c r="P57" s="356">
        <f>O57</f>
        <v>9572000</v>
      </c>
      <c r="Q57" s="356">
        <f t="shared" ref="Q57:R57" si="34">P57</f>
        <v>9572000</v>
      </c>
      <c r="R57" s="356">
        <f t="shared" si="34"/>
        <v>9572000</v>
      </c>
      <c r="S57" s="165">
        <f t="shared" si="33"/>
        <v>38288000</v>
      </c>
      <c r="T57" t="s">
        <v>282</v>
      </c>
    </row>
    <row r="58" spans="1:20">
      <c r="A58" s="163">
        <f t="shared" si="32"/>
        <v>4</v>
      </c>
      <c r="B58" s="92" t="s">
        <v>221</v>
      </c>
      <c r="C58" s="93" t="s">
        <v>97</v>
      </c>
      <c r="D58" s="164"/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356">
        <v>10940000</v>
      </c>
      <c r="Q58" s="356">
        <f>P58</f>
        <v>10940000</v>
      </c>
      <c r="R58" s="356">
        <f>Q58</f>
        <v>10940000</v>
      </c>
      <c r="S58" s="165">
        <f t="shared" si="33"/>
        <v>32820000</v>
      </c>
      <c r="T58" t="s">
        <v>282</v>
      </c>
    </row>
    <row r="59" spans="1:20">
      <c r="A59" s="163">
        <f t="shared" si="32"/>
        <v>5</v>
      </c>
      <c r="B59" s="92" t="s">
        <v>222</v>
      </c>
      <c r="C59" s="93" t="s">
        <v>97</v>
      </c>
      <c r="D59" s="164"/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356">
        <v>11623000</v>
      </c>
      <c r="R59" s="356">
        <f>Q59</f>
        <v>11623000</v>
      </c>
      <c r="S59" s="165">
        <f t="shared" si="33"/>
        <v>23246000</v>
      </c>
      <c r="T59" t="s">
        <v>282</v>
      </c>
    </row>
    <row r="60" spans="1:20" ht="13.8" thickBot="1">
      <c r="A60" s="385">
        <f t="shared" si="32"/>
        <v>6</v>
      </c>
      <c r="B60" s="386" t="s">
        <v>223</v>
      </c>
      <c r="C60" s="387" t="s">
        <v>97</v>
      </c>
      <c r="D60" s="383"/>
      <c r="E60" s="388">
        <v>0</v>
      </c>
      <c r="F60" s="388">
        <v>0</v>
      </c>
      <c r="G60" s="388">
        <v>0</v>
      </c>
      <c r="H60" s="388">
        <v>0</v>
      </c>
      <c r="I60" s="388">
        <v>0</v>
      </c>
      <c r="J60" s="388">
        <v>0</v>
      </c>
      <c r="K60" s="388">
        <v>0</v>
      </c>
      <c r="L60" s="388">
        <v>0</v>
      </c>
      <c r="M60" s="388">
        <v>0</v>
      </c>
      <c r="N60" s="388">
        <v>0</v>
      </c>
      <c r="O60" s="388">
        <v>0</v>
      </c>
      <c r="P60" s="388">
        <v>0</v>
      </c>
      <c r="Q60" s="388">
        <v>0</v>
      </c>
      <c r="R60" s="389">
        <v>12307000</v>
      </c>
      <c r="S60" s="390">
        <f t="shared" si="33"/>
        <v>12307000</v>
      </c>
      <c r="T60" t="s">
        <v>282</v>
      </c>
    </row>
  </sheetData>
  <mergeCells count="2">
    <mergeCell ref="E5:E6"/>
    <mergeCell ref="F5:O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8"/>
  <sheetViews>
    <sheetView workbookViewId="0">
      <pane xSplit="1" ySplit="4" topLeftCell="H5" activePane="bottomRight" state="frozen"/>
      <selection pane="topRight"/>
      <selection pane="bottomLeft"/>
      <selection pane="bottomRight"/>
    </sheetView>
  </sheetViews>
  <sheetFormatPr defaultRowHeight="13.2"/>
  <cols>
    <col min="1" max="1" width="32.6640625" customWidth="1"/>
    <col min="2" max="2" width="13.44140625" style="1" bestFit="1" customWidth="1"/>
    <col min="3" max="3" width="12.6640625" style="1" bestFit="1" customWidth="1"/>
    <col min="4" max="4" width="13.5546875" style="1" customWidth="1"/>
    <col min="5" max="5" width="12.6640625" style="1" customWidth="1"/>
    <col min="6" max="6" width="13" style="1" customWidth="1"/>
    <col min="7" max="7" width="12.6640625" style="1" bestFit="1" customWidth="1"/>
    <col min="8" max="9" width="12.88671875" style="1" customWidth="1"/>
    <col min="10" max="16" width="12.88671875" style="183" customWidth="1"/>
    <col min="17" max="17" width="13.44140625" style="23" bestFit="1" customWidth="1"/>
    <col min="18" max="18" width="14.109375" style="1" bestFit="1" customWidth="1"/>
    <col min="19" max="19" width="2.44140625" customWidth="1"/>
    <col min="20" max="20" width="3" customWidth="1"/>
    <col min="21" max="21" width="32.6640625" customWidth="1"/>
    <col min="22" max="22" width="13" style="4" customWidth="1"/>
    <col min="23" max="23" width="12.6640625" style="4" bestFit="1" customWidth="1"/>
    <col min="24" max="25" width="12.88671875" style="4" customWidth="1"/>
    <col min="26" max="26" width="13.44140625" style="133" bestFit="1" customWidth="1"/>
    <col min="27" max="27" width="14.109375" style="4" bestFit="1" customWidth="1"/>
  </cols>
  <sheetData>
    <row r="1" spans="1:27" ht="15.6">
      <c r="A1" s="40" t="s">
        <v>217</v>
      </c>
      <c r="U1" s="40" t="s">
        <v>113</v>
      </c>
    </row>
    <row r="2" spans="1:27" ht="13.8" thickBot="1"/>
    <row r="3" spans="1:27">
      <c r="A3" s="228"/>
      <c r="B3" s="445" t="s">
        <v>206</v>
      </c>
      <c r="C3" s="443"/>
      <c r="D3" s="443"/>
      <c r="E3" s="443"/>
      <c r="F3" s="443"/>
      <c r="G3" s="443"/>
      <c r="H3" s="443"/>
      <c r="I3" s="443"/>
      <c r="J3" s="443"/>
      <c r="K3" s="443"/>
      <c r="L3" s="444"/>
      <c r="M3" s="445" t="s">
        <v>207</v>
      </c>
      <c r="N3" s="443"/>
      <c r="O3" s="443"/>
      <c r="P3" s="443"/>
      <c r="Q3" s="443"/>
      <c r="R3" s="446"/>
    </row>
    <row r="4" spans="1:27" ht="26.4">
      <c r="A4" s="229" t="s">
        <v>112</v>
      </c>
      <c r="B4" s="206">
        <v>2003</v>
      </c>
      <c r="C4" s="207">
        <v>2004</v>
      </c>
      <c r="D4" s="207">
        <v>2005</v>
      </c>
      <c r="E4" s="207">
        <v>2006</v>
      </c>
      <c r="F4" s="207">
        <v>2007</v>
      </c>
      <c r="G4" s="207">
        <v>2008</v>
      </c>
      <c r="H4" s="207">
        <v>2009</v>
      </c>
      <c r="I4" s="207">
        <v>2010</v>
      </c>
      <c r="J4" s="207">
        <v>2011</v>
      </c>
      <c r="K4" s="207">
        <v>2012</v>
      </c>
      <c r="L4" s="208">
        <v>2013</v>
      </c>
      <c r="M4" s="206">
        <v>2014</v>
      </c>
      <c r="N4" s="207">
        <v>2015</v>
      </c>
      <c r="O4" s="207">
        <v>2016</v>
      </c>
      <c r="P4" s="207">
        <v>2017</v>
      </c>
      <c r="Q4" s="207">
        <v>2018</v>
      </c>
      <c r="R4" s="230">
        <v>2019</v>
      </c>
      <c r="U4" s="160" t="s">
        <v>112</v>
      </c>
      <c r="V4" s="161" t="s">
        <v>114</v>
      </c>
      <c r="W4" s="161" t="s">
        <v>58</v>
      </c>
      <c r="X4" s="161" t="s">
        <v>61</v>
      </c>
      <c r="Y4" s="161" t="s">
        <v>67</v>
      </c>
      <c r="Z4" s="161" t="s">
        <v>62</v>
      </c>
      <c r="AA4" s="161" t="s">
        <v>68</v>
      </c>
    </row>
    <row r="5" spans="1:27">
      <c r="A5" s="231" t="s">
        <v>52</v>
      </c>
      <c r="B5" s="215">
        <f>+'Chart III'!B5</f>
        <v>1232724170</v>
      </c>
      <c r="C5" s="215">
        <f>+'Chart III'!C5</f>
        <v>1178441190</v>
      </c>
      <c r="D5" s="215">
        <f>+'Chart III'!D5</f>
        <v>1174501350</v>
      </c>
      <c r="E5" s="215">
        <f>+'Chart III'!E5</f>
        <v>1151360440</v>
      </c>
      <c r="F5" s="215">
        <f>+'Chart III'!F5</f>
        <v>1191153590</v>
      </c>
      <c r="G5" s="215">
        <f>+'Chart III'!G5</f>
        <v>1158881926</v>
      </c>
      <c r="H5" s="215">
        <f>+'Chart III'!H5</f>
        <v>1128390784.5107694</v>
      </c>
      <c r="I5" s="215">
        <f>+'Chart III'!I5</f>
        <v>1148489331.8146157</v>
      </c>
      <c r="J5" s="215">
        <f>+'Chart III'!J5</f>
        <v>1148632387.3953846</v>
      </c>
      <c r="K5" s="215">
        <f>+'Chart III'!K5</f>
        <v>1136211952.670979</v>
      </c>
      <c r="L5" s="215">
        <f>+'Chart III'!L5</f>
        <v>1130407041.6666667</v>
      </c>
      <c r="M5" s="212"/>
      <c r="N5" s="213"/>
      <c r="O5" s="213"/>
      <c r="P5" s="213"/>
      <c r="Q5" s="213"/>
      <c r="R5" s="232"/>
      <c r="U5" s="141" t="s">
        <v>52</v>
      </c>
      <c r="V5" s="142">
        <v>1192455603</v>
      </c>
      <c r="W5" s="142">
        <f t="shared" ref="W5:Y7" si="0">G5</f>
        <v>1158881926</v>
      </c>
      <c r="X5" s="142">
        <f t="shared" si="0"/>
        <v>1128390784.5107694</v>
      </c>
      <c r="Y5" s="142">
        <f t="shared" si="0"/>
        <v>1148489331.8146157</v>
      </c>
      <c r="Z5" s="143"/>
      <c r="AA5" s="144"/>
    </row>
    <row r="6" spans="1:27">
      <c r="A6" s="231" t="s">
        <v>53</v>
      </c>
      <c r="B6" s="215">
        <f>+'Chart III'!B6</f>
        <v>1214096286.5571823</v>
      </c>
      <c r="C6" s="215">
        <f>+'Chart III'!C6</f>
        <v>1198833047.1489887</v>
      </c>
      <c r="D6" s="215">
        <f>+'Chart III'!D6</f>
        <v>1207050039.1496041</v>
      </c>
      <c r="E6" s="215">
        <f>+'Chart III'!E6</f>
        <v>1170881307.9356413</v>
      </c>
      <c r="F6" s="215">
        <f>+'Chart III'!F6</f>
        <v>1147471680.5230298</v>
      </c>
      <c r="G6" s="215">
        <f>+'Chart III'!G6</f>
        <v>1110172412.3567979</v>
      </c>
      <c r="H6" s="215">
        <f>+'Chart III'!H6</f>
        <v>1126724653.6746798</v>
      </c>
      <c r="I6" s="215">
        <f>+'Chart III'!I6</f>
        <v>1129720236.440757</v>
      </c>
      <c r="J6" s="215">
        <f>+'Chart III'!J6</f>
        <v>1164987379.8152349</v>
      </c>
      <c r="K6" s="215">
        <f>+'Chart III'!K6</f>
        <v>1150628519.5562067</v>
      </c>
      <c r="L6" s="215">
        <f ca="1">+'Chart III'!L6</f>
        <v>1158628600.9002914</v>
      </c>
      <c r="M6" s="214">
        <f ca="1">+'Chart III'!M6</f>
        <v>1146348131.8266783</v>
      </c>
      <c r="N6" s="215">
        <f ca="1">+'Chart III'!N6</f>
        <v>1161409405.5438561</v>
      </c>
      <c r="O6" s="215">
        <f ca="1">+'Chart III'!O6</f>
        <v>1179453259.4483292</v>
      </c>
      <c r="P6" s="215">
        <f ca="1">+'Chart III'!P6</f>
        <v>1191117841.5283267</v>
      </c>
      <c r="Q6" s="215">
        <f ca="1">+'Chart III'!Q6</f>
        <v>1205768874.1562457</v>
      </c>
      <c r="R6" s="233">
        <f ca="1">+'Chart III'!R6</f>
        <v>1220192559.2700689</v>
      </c>
      <c r="U6" s="141" t="s">
        <v>53</v>
      </c>
      <c r="V6" s="142">
        <v>1119320117</v>
      </c>
      <c r="W6" s="142">
        <f t="shared" si="0"/>
        <v>1110172412.3567979</v>
      </c>
      <c r="X6" s="142">
        <f t="shared" si="0"/>
        <v>1126724653.6746798</v>
      </c>
      <c r="Y6" s="142">
        <f t="shared" si="0"/>
        <v>1129720236.440757</v>
      </c>
      <c r="Z6" s="143">
        <f ca="1">Q6</f>
        <v>1205768874.1562457</v>
      </c>
      <c r="AA6" s="142">
        <f ca="1">R6</f>
        <v>1220192559.2700689</v>
      </c>
    </row>
    <row r="7" spans="1:27">
      <c r="A7" s="231" t="s">
        <v>8</v>
      </c>
      <c r="B7" s="217">
        <f t="shared" ref="B7:I7" si="1">(B6-B5)/B5</f>
        <v>-1.5111152921433908E-2</v>
      </c>
      <c r="C7" s="217">
        <f t="shared" si="1"/>
        <v>1.7304094020159567E-2</v>
      </c>
      <c r="D7" s="217">
        <f t="shared" si="1"/>
        <v>2.7712772871316054E-2</v>
      </c>
      <c r="E7" s="217">
        <f t="shared" si="1"/>
        <v>1.6954610613198841E-2</v>
      </c>
      <c r="F7" s="217">
        <f t="shared" si="1"/>
        <v>-3.667193705638766E-2</v>
      </c>
      <c r="G7" s="217">
        <f t="shared" si="1"/>
        <v>-4.2031472361751261E-2</v>
      </c>
      <c r="H7" s="217">
        <f t="shared" si="1"/>
        <v>-1.4765548061543119E-3</v>
      </c>
      <c r="I7" s="217">
        <f t="shared" si="1"/>
        <v>-1.6342420302854252E-2</v>
      </c>
      <c r="J7" s="217">
        <f t="shared" ref="J7:L7" si="2">(J6-J5)/J5</f>
        <v>1.4238665563781113E-2</v>
      </c>
      <c r="K7" s="217">
        <f t="shared" si="2"/>
        <v>1.268827251054486E-2</v>
      </c>
      <c r="L7" s="217">
        <f t="shared" ca="1" si="2"/>
        <v>2.4965838139167078E-2</v>
      </c>
      <c r="M7" s="216"/>
      <c r="N7" s="217"/>
      <c r="O7" s="217"/>
      <c r="P7" s="217"/>
      <c r="Q7" s="217"/>
      <c r="R7" s="234"/>
      <c r="S7" s="48"/>
      <c r="T7" s="31"/>
      <c r="U7" s="141" t="s">
        <v>8</v>
      </c>
      <c r="V7" s="145">
        <f t="shared" ref="V7" si="3">(V6-V5)/V5</f>
        <v>-6.1331831404040964E-2</v>
      </c>
      <c r="W7" s="145">
        <f t="shared" si="0"/>
        <v>-4.2031472361751261E-2</v>
      </c>
      <c r="X7" s="145">
        <f t="shared" si="0"/>
        <v>-1.4765548061543119E-3</v>
      </c>
      <c r="Y7" s="145">
        <f t="shared" si="0"/>
        <v>-1.6342420302854252E-2</v>
      </c>
      <c r="Z7" s="146"/>
      <c r="AA7" s="147"/>
    </row>
    <row r="8" spans="1:27">
      <c r="A8" s="231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8"/>
      <c r="N8" s="219"/>
      <c r="O8" s="219"/>
      <c r="P8" s="219"/>
      <c r="Q8" s="219"/>
      <c r="R8" s="235"/>
      <c r="U8" s="141"/>
      <c r="V8" s="148"/>
      <c r="W8" s="142"/>
      <c r="X8" s="142"/>
      <c r="Y8" s="142"/>
      <c r="Z8" s="143"/>
      <c r="AA8" s="144"/>
    </row>
    <row r="9" spans="1:27">
      <c r="A9" s="231" t="s">
        <v>55</v>
      </c>
      <c r="B9" s="215">
        <f>+'Chart III'!B9</f>
        <v>1136840307.5</v>
      </c>
      <c r="C9" s="215">
        <f>+'Chart III'!C9</f>
        <v>1128300513.0634735</v>
      </c>
      <c r="D9" s="215">
        <f>+'Chart III'!D9</f>
        <v>1125931170</v>
      </c>
      <c r="E9" s="215">
        <f>+'Chart III'!E9</f>
        <v>1109463247</v>
      </c>
      <c r="F9" s="215">
        <f>+'Chart III'!F9</f>
        <v>1143760516</v>
      </c>
      <c r="G9" s="215">
        <f>+'Chart III'!G9</f>
        <v>1117251257</v>
      </c>
      <c r="H9" s="215">
        <f>+'Chart III'!H9</f>
        <v>1082664508</v>
      </c>
      <c r="I9" s="215">
        <f>+'Chart III'!I9</f>
        <v>1090938483</v>
      </c>
      <c r="J9" s="215">
        <f>+'Chart III'!J9</f>
        <v>1110518847</v>
      </c>
      <c r="K9" s="215">
        <f>+'Chart III'!K9</f>
        <v>1073783871</v>
      </c>
      <c r="L9" s="215">
        <f>+'Chart III'!L9</f>
        <v>1078161209</v>
      </c>
      <c r="M9" s="214">
        <f ca="1">+'Chart III'!M9</f>
        <v>1093217749.2148373</v>
      </c>
      <c r="N9" s="215">
        <f ca="1">+'Chart III'!N9</f>
        <v>1107580970.3832314</v>
      </c>
      <c r="O9" s="215">
        <f ca="1">+'Chart III'!O9</f>
        <v>1124788536.5709801</v>
      </c>
      <c r="P9" s="215">
        <f ca="1">+'Chart III'!P9</f>
        <v>1135912494.3050995</v>
      </c>
      <c r="Q9" s="215">
        <f ca="1">+'Chart III'!Q9</f>
        <v>1149884488.0376174</v>
      </c>
      <c r="R9" s="233">
        <f ca="1">+'Chart III'!R9</f>
        <v>1163639671.2474432</v>
      </c>
      <c r="U9" s="141" t="s">
        <v>55</v>
      </c>
      <c r="V9" s="142">
        <v>1141200155</v>
      </c>
      <c r="W9" s="142">
        <f>G9</f>
        <v>1117251257</v>
      </c>
      <c r="X9" s="142">
        <f>H9</f>
        <v>1082664508</v>
      </c>
      <c r="Y9" s="142">
        <f>I9</f>
        <v>1090938483</v>
      </c>
      <c r="Z9" s="143">
        <f ca="1">Q9</f>
        <v>1149884488.0376174</v>
      </c>
      <c r="AA9" s="142">
        <f ca="1">R9</f>
        <v>1163639671.2474432</v>
      </c>
    </row>
    <row r="10" spans="1:27">
      <c r="A10" s="231" t="s">
        <v>269</v>
      </c>
      <c r="B10" s="215">
        <f>+'Chart III'!B10</f>
        <v>1376310.4427777778</v>
      </c>
      <c r="C10" s="215">
        <f>+'Chart III'!C10</f>
        <v>1359503.3072222222</v>
      </c>
      <c r="D10" s="215">
        <f>+'Chart III'!D10</f>
        <v>1235025.9316666666</v>
      </c>
      <c r="E10" s="215">
        <f>+'Chart III'!E10</f>
        <v>1231537.3194444445</v>
      </c>
      <c r="F10" s="215">
        <f>+'Chart III'!F10</f>
        <v>1262855.0222222223</v>
      </c>
      <c r="G10" s="215">
        <f>+'Chart III'!G10</f>
        <v>1231679.9805555556</v>
      </c>
      <c r="H10" s="215">
        <f>+'Chart III'!H10</f>
        <v>1167952.2</v>
      </c>
      <c r="I10" s="215">
        <f>+'Chart III'!I10</f>
        <v>1165174.4777777777</v>
      </c>
      <c r="J10" s="215">
        <f>+'Chart III'!J10</f>
        <v>1171404</v>
      </c>
      <c r="K10" s="215">
        <f>+'Chart III'!K10</f>
        <v>1146022</v>
      </c>
      <c r="L10" s="215">
        <f>+'Chart III'!L10</f>
        <v>1151235</v>
      </c>
      <c r="M10" s="214">
        <f ca="1">+'Chart III'!M10</f>
        <v>1168317.2150943705</v>
      </c>
      <c r="N10" s="215">
        <f ca="1">+'Chart III'!N10</f>
        <v>1193060.6631732266</v>
      </c>
      <c r="O10" s="215">
        <f ca="1">+'Chart III'!O10</f>
        <v>1222934.1373928364</v>
      </c>
      <c r="P10" s="215">
        <f ca="1">+'Chart III'!P10</f>
        <v>1251649.1488065664</v>
      </c>
      <c r="Q10" s="215">
        <f ca="1">+'Chart III'!Q10</f>
        <v>1285319.5692610343</v>
      </c>
      <c r="R10" s="233">
        <f ca="1">+'Chart III'!R10</f>
        <v>1320148.1598380981</v>
      </c>
      <c r="U10" s="141"/>
      <c r="V10" s="142"/>
      <c r="W10" s="142"/>
      <c r="X10" s="142"/>
      <c r="Y10" s="142"/>
      <c r="Z10" s="143"/>
      <c r="AA10" s="142"/>
    </row>
    <row r="11" spans="1:27">
      <c r="A11" s="231"/>
      <c r="B11" s="219"/>
      <c r="C11" s="219"/>
      <c r="D11" s="219"/>
      <c r="E11" s="219"/>
      <c r="F11" s="219"/>
      <c r="G11" s="223"/>
      <c r="H11" s="221"/>
      <c r="I11" s="221"/>
      <c r="J11" s="221"/>
      <c r="K11" s="221"/>
      <c r="L11" s="221"/>
      <c r="M11" s="220"/>
      <c r="N11" s="221"/>
      <c r="O11" s="221"/>
      <c r="P11" s="221"/>
      <c r="Q11" s="221"/>
      <c r="R11" s="236"/>
      <c r="U11" s="141"/>
      <c r="V11" s="148"/>
      <c r="W11" s="144"/>
      <c r="X11" s="149"/>
      <c r="Y11" s="149"/>
      <c r="Z11" s="149"/>
      <c r="AA11" s="144"/>
    </row>
    <row r="12" spans="1:27" ht="15.6">
      <c r="A12" s="237" t="s">
        <v>54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2"/>
      <c r="N12" s="223"/>
      <c r="O12" s="223"/>
      <c r="P12" s="223"/>
      <c r="Q12" s="223"/>
      <c r="R12" s="238"/>
      <c r="U12" s="150" t="s">
        <v>54</v>
      </c>
      <c r="V12" s="151"/>
      <c r="W12" s="144"/>
      <c r="X12" s="144"/>
      <c r="Y12" s="144"/>
      <c r="Z12" s="149"/>
      <c r="AA12" s="144"/>
    </row>
    <row r="13" spans="1:27">
      <c r="A13" s="239" t="str">
        <f>'Rate Class Energy Model'!H2</f>
        <v>Residential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2"/>
      <c r="N13" s="223"/>
      <c r="O13" s="223"/>
      <c r="P13" s="223"/>
      <c r="Q13" s="223"/>
      <c r="R13" s="238"/>
      <c r="U13" s="152" t="s">
        <v>71</v>
      </c>
      <c r="V13" s="151"/>
      <c r="W13" s="144"/>
      <c r="X13" s="144"/>
      <c r="Y13" s="144"/>
      <c r="Z13" s="149"/>
      <c r="AA13" s="144"/>
    </row>
    <row r="14" spans="1:27">
      <c r="A14" s="240" t="s">
        <v>47</v>
      </c>
      <c r="B14" s="225">
        <f>+'Chart III'!B14</f>
        <v>43319.5</v>
      </c>
      <c r="C14" s="225">
        <f>+'Chart III'!C14</f>
        <v>43979.5</v>
      </c>
      <c r="D14" s="225">
        <f>+'Chart III'!D14</f>
        <v>44598.5</v>
      </c>
      <c r="E14" s="225">
        <f>+'Chart III'!E14</f>
        <v>45439</v>
      </c>
      <c r="F14" s="225">
        <f>+'Chart III'!F14</f>
        <v>46320</v>
      </c>
      <c r="G14" s="225">
        <f>+'Chart III'!G14</f>
        <v>47057.5</v>
      </c>
      <c r="H14" s="225">
        <f>+'Chart III'!H14</f>
        <v>47602.5</v>
      </c>
      <c r="I14" s="225">
        <f>+'Chart III'!I14</f>
        <v>48114.5</v>
      </c>
      <c r="J14" s="225">
        <f>+'Chart III'!J14</f>
        <v>48650.5</v>
      </c>
      <c r="K14" s="225">
        <f>+'Chart III'!K14</f>
        <v>49021</v>
      </c>
      <c r="L14" s="225">
        <f>+'Chart III'!L14</f>
        <v>49511</v>
      </c>
      <c r="M14" s="224">
        <f>+'Chart III'!M14</f>
        <v>50176.865096229601</v>
      </c>
      <c r="N14" s="225">
        <f>+'Chart III'!N14</f>
        <v>51682.185299937883</v>
      </c>
      <c r="O14" s="225">
        <f>+'Chart III'!O14</f>
        <v>53232.681046856349</v>
      </c>
      <c r="P14" s="225">
        <f>+'Chart III'!P14</f>
        <v>54829.574392436392</v>
      </c>
      <c r="Q14" s="225">
        <f>+'Chart III'!Q14</f>
        <v>56474.48903363257</v>
      </c>
      <c r="R14" s="241">
        <f>+'Chart III'!R14</f>
        <v>58168.750330978961</v>
      </c>
      <c r="U14" s="153" t="s">
        <v>47</v>
      </c>
      <c r="V14" s="144">
        <v>47243</v>
      </c>
      <c r="W14" s="144">
        <f t="shared" ref="W14:Y15" si="4">G14</f>
        <v>47057.5</v>
      </c>
      <c r="X14" s="144">
        <f t="shared" si="4"/>
        <v>47602.5</v>
      </c>
      <c r="Y14" s="144">
        <f t="shared" si="4"/>
        <v>48114.5</v>
      </c>
      <c r="Z14" s="149">
        <f t="shared" ref="Z14:AA15" si="5">Q14</f>
        <v>56474.48903363257</v>
      </c>
      <c r="AA14" s="144">
        <f t="shared" si="5"/>
        <v>58168.750330978961</v>
      </c>
    </row>
    <row r="15" spans="1:27">
      <c r="A15" s="240" t="s">
        <v>48</v>
      </c>
      <c r="B15" s="225">
        <f>+'Chart III'!B15</f>
        <v>457616904</v>
      </c>
      <c r="C15" s="225">
        <f>+'Chart III'!C15</f>
        <v>448138859</v>
      </c>
      <c r="D15" s="225">
        <f>+'Chart III'!D15</f>
        <v>485961504</v>
      </c>
      <c r="E15" s="225">
        <f>+'Chart III'!E15</f>
        <v>466401366</v>
      </c>
      <c r="F15" s="225">
        <f>+'Chart III'!F15</f>
        <v>473023155</v>
      </c>
      <c r="G15" s="225">
        <f>+'Chart III'!G15</f>
        <v>470718851</v>
      </c>
      <c r="H15" s="225">
        <f>+'Chart III'!H15</f>
        <v>467977819</v>
      </c>
      <c r="I15" s="225">
        <f>+'Chart III'!I15</f>
        <v>476941035</v>
      </c>
      <c r="J15" s="225">
        <f>+'Chart III'!J15</f>
        <v>484582022</v>
      </c>
      <c r="K15" s="225">
        <f>+'Chart III'!K15</f>
        <v>473288468</v>
      </c>
      <c r="L15" s="225">
        <f>+'Chart III'!L15</f>
        <v>475282449</v>
      </c>
      <c r="M15" s="224">
        <f ca="1">+'Chart III'!M15</f>
        <v>481054885.42264152</v>
      </c>
      <c r="N15" s="225">
        <f ca="1">+'Chart III'!N15</f>
        <v>483663532.29648578</v>
      </c>
      <c r="O15" s="225">
        <f ca="1">+'Chart III'!O15</f>
        <v>486758735.37501377</v>
      </c>
      <c r="P15" s="225">
        <f ca="1">+'Chart III'!P15</f>
        <v>485640571.09087658</v>
      </c>
      <c r="Q15" s="225">
        <f ca="1">+'Chart III'!Q15</f>
        <v>485086336.06007928</v>
      </c>
      <c r="R15" s="241">
        <f ca="1">+'Chart III'!R15</f>
        <v>483951298.77224517</v>
      </c>
      <c r="U15" s="153" t="s">
        <v>48</v>
      </c>
      <c r="V15" s="144">
        <v>487192399</v>
      </c>
      <c r="W15" s="144">
        <f t="shared" si="4"/>
        <v>470718851</v>
      </c>
      <c r="X15" s="144">
        <f t="shared" si="4"/>
        <v>467977819</v>
      </c>
      <c r="Y15" s="144">
        <f t="shared" si="4"/>
        <v>476941035</v>
      </c>
      <c r="Z15" s="149">
        <f t="shared" ca="1" si="5"/>
        <v>485086336.06007928</v>
      </c>
      <c r="AA15" s="144">
        <f t="shared" ca="1" si="5"/>
        <v>483951298.77224517</v>
      </c>
    </row>
    <row r="16" spans="1:27">
      <c r="A16" s="240"/>
      <c r="B16" s="223"/>
      <c r="C16" s="223"/>
      <c r="D16" s="223"/>
      <c r="E16" s="223"/>
      <c r="F16" s="223"/>
      <c r="G16" s="242"/>
      <c r="H16" s="221"/>
      <c r="I16" s="221"/>
      <c r="J16" s="221"/>
      <c r="K16" s="221"/>
      <c r="L16" s="221"/>
      <c r="M16" s="220"/>
      <c r="N16" s="221"/>
      <c r="O16" s="221"/>
      <c r="P16" s="221"/>
      <c r="Q16" s="221"/>
      <c r="R16" s="236"/>
      <c r="U16" s="153"/>
      <c r="V16" s="151"/>
      <c r="W16" s="149"/>
      <c r="X16" s="149"/>
      <c r="Y16" s="149"/>
      <c r="Z16" s="149"/>
      <c r="AA16" s="154"/>
    </row>
    <row r="17" spans="1:27">
      <c r="A17" s="239" t="str">
        <f>'Rate Class Energy Model'!I2</f>
        <v>GS&lt;50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2"/>
      <c r="N17" s="223"/>
      <c r="O17" s="223"/>
      <c r="P17" s="223"/>
      <c r="Q17" s="223"/>
      <c r="R17" s="238"/>
      <c r="U17" s="152" t="s">
        <v>72</v>
      </c>
      <c r="V17" s="151"/>
      <c r="W17" s="144"/>
      <c r="X17" s="144"/>
      <c r="Y17" s="144"/>
      <c r="Z17" s="149"/>
      <c r="AA17" s="144"/>
    </row>
    <row r="18" spans="1:27">
      <c r="A18" s="240" t="s">
        <v>47</v>
      </c>
      <c r="B18" s="225">
        <f>+'Chart III'!B18</f>
        <v>3689</v>
      </c>
      <c r="C18" s="225">
        <f>+'Chart III'!C18</f>
        <v>3626.5</v>
      </c>
      <c r="D18" s="225">
        <f>+'Chart III'!D18</f>
        <v>3662</v>
      </c>
      <c r="E18" s="225">
        <f>+'Chart III'!E18</f>
        <v>3740.5</v>
      </c>
      <c r="F18" s="225">
        <f>+'Chart III'!F18</f>
        <v>3749</v>
      </c>
      <c r="G18" s="225">
        <f>+'Chart III'!G18</f>
        <v>3793.5</v>
      </c>
      <c r="H18" s="225">
        <f>+'Chart III'!H18</f>
        <v>3859.5</v>
      </c>
      <c r="I18" s="225">
        <f>+'Chart III'!I18</f>
        <v>3929</v>
      </c>
      <c r="J18" s="225">
        <f>+'Chart III'!J18</f>
        <v>3888.5</v>
      </c>
      <c r="K18" s="225">
        <f>+'Chart III'!K18</f>
        <v>3850.5</v>
      </c>
      <c r="L18" s="225">
        <f>+'Chart III'!L18</f>
        <v>3902</v>
      </c>
      <c r="M18" s="224">
        <f>+'Chart III'!M18</f>
        <v>3923.9650092846832</v>
      </c>
      <c r="N18" s="225">
        <f>+'Chart III'!N18</f>
        <v>4041.6536632728203</v>
      </c>
      <c r="O18" s="225">
        <f>+'Chart III'!O18</f>
        <v>4162.9666579810846</v>
      </c>
      <c r="P18" s="225">
        <f>+'Chart III'!P18</f>
        <v>4287.8046933441428</v>
      </c>
      <c r="Q18" s="225">
        <f>+'Chart III'!Q18</f>
        <v>4416.4684732367114</v>
      </c>
      <c r="R18" s="241">
        <f>+'Chart III'!R18</f>
        <v>4548.9587054957365</v>
      </c>
      <c r="U18" s="153" t="s">
        <v>47</v>
      </c>
      <c r="V18" s="144">
        <v>3845</v>
      </c>
      <c r="W18" s="144">
        <f t="shared" ref="W18:Y19" si="6">G18</f>
        <v>3793.5</v>
      </c>
      <c r="X18" s="144">
        <f t="shared" si="6"/>
        <v>3859.5</v>
      </c>
      <c r="Y18" s="144">
        <f t="shared" si="6"/>
        <v>3929</v>
      </c>
      <c r="Z18" s="149">
        <f t="shared" ref="Z18:AA19" si="7">Q18</f>
        <v>4416.4684732367114</v>
      </c>
      <c r="AA18" s="144">
        <f t="shared" si="7"/>
        <v>4548.9587054957365</v>
      </c>
    </row>
    <row r="19" spans="1:27">
      <c r="A19" s="240" t="s">
        <v>48</v>
      </c>
      <c r="B19" s="225">
        <f>+'Chart III'!B19</f>
        <v>121224653</v>
      </c>
      <c r="C19" s="225">
        <f>+'Chart III'!C19</f>
        <v>129998490</v>
      </c>
      <c r="D19" s="225">
        <f>+'Chart III'!D19</f>
        <v>135909028</v>
      </c>
      <c r="E19" s="225">
        <f>+'Chart III'!E19</f>
        <v>134155770</v>
      </c>
      <c r="F19" s="225">
        <f>+'Chart III'!F19</f>
        <v>132346004</v>
      </c>
      <c r="G19" s="225">
        <f>+'Chart III'!G19</f>
        <v>131868017</v>
      </c>
      <c r="H19" s="225">
        <f>+'Chart III'!H19</f>
        <v>128019505</v>
      </c>
      <c r="I19" s="225">
        <f>+'Chart III'!I19</f>
        <v>131282103</v>
      </c>
      <c r="J19" s="225">
        <f>+'Chart III'!J19</f>
        <v>135695878</v>
      </c>
      <c r="K19" s="225">
        <f>+'Chart III'!K19</f>
        <v>131590801</v>
      </c>
      <c r="L19" s="225">
        <f>+'Chart III'!L19</f>
        <v>132382128</v>
      </c>
      <c r="M19" s="224">
        <f ca="1">+'Chart III'!M19</f>
        <v>134663866.32037863</v>
      </c>
      <c r="N19" s="225">
        <f ca="1">+'Chart III'!N19</f>
        <v>137144452.34571704</v>
      </c>
      <c r="O19" s="225">
        <f ca="1">+'Chart III'!O19</f>
        <v>139823684.88361743</v>
      </c>
      <c r="P19" s="225">
        <f ca="1">+'Chart III'!P19</f>
        <v>141342094.33386183</v>
      </c>
      <c r="Q19" s="225">
        <f ca="1">+'Chart III'!Q19</f>
        <v>143067914.90363961</v>
      </c>
      <c r="R19" s="241">
        <f ca="1">+'Chart III'!R19</f>
        <v>144664011.00824618</v>
      </c>
      <c r="U19" s="153" t="s">
        <v>48</v>
      </c>
      <c r="V19" s="144">
        <v>140097188</v>
      </c>
      <c r="W19" s="144">
        <f t="shared" si="6"/>
        <v>131868017</v>
      </c>
      <c r="X19" s="144">
        <f t="shared" si="6"/>
        <v>128019505</v>
      </c>
      <c r="Y19" s="144">
        <f t="shared" si="6"/>
        <v>131282103</v>
      </c>
      <c r="Z19" s="144">
        <f t="shared" ca="1" si="7"/>
        <v>143067914.90363961</v>
      </c>
      <c r="AA19" s="144">
        <f t="shared" ca="1" si="7"/>
        <v>144664011.00824618</v>
      </c>
    </row>
    <row r="20" spans="1:27">
      <c r="A20" s="240"/>
      <c r="B20" s="223"/>
      <c r="C20" s="223"/>
      <c r="D20" s="223"/>
      <c r="E20" s="223"/>
      <c r="F20" s="223"/>
      <c r="G20" s="242"/>
      <c r="H20" s="221"/>
      <c r="I20" s="221"/>
      <c r="J20" s="221"/>
      <c r="K20" s="221"/>
      <c r="L20" s="221"/>
      <c r="M20" s="220"/>
      <c r="N20" s="221"/>
      <c r="O20" s="221"/>
      <c r="P20" s="221"/>
      <c r="Q20" s="221"/>
      <c r="R20" s="236"/>
      <c r="U20" s="153"/>
      <c r="V20" s="151"/>
      <c r="W20" s="149"/>
      <c r="X20" s="149"/>
      <c r="Y20" s="149"/>
      <c r="Z20" s="149"/>
      <c r="AA20" s="154"/>
    </row>
    <row r="21" spans="1:27">
      <c r="A21" s="239" t="str">
        <f>'Rate Class Energy Model'!J2</f>
        <v>GS&gt;50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2"/>
      <c r="N21" s="223"/>
      <c r="O21" s="223"/>
      <c r="P21" s="223"/>
      <c r="Q21" s="223"/>
      <c r="R21" s="238"/>
      <c r="U21" s="152" t="s">
        <v>73</v>
      </c>
      <c r="V21" s="151"/>
      <c r="W21" s="144"/>
      <c r="X21" s="144"/>
      <c r="Y21" s="144"/>
      <c r="Z21" s="149"/>
      <c r="AA21" s="144"/>
    </row>
    <row r="22" spans="1:27">
      <c r="A22" s="240" t="s">
        <v>47</v>
      </c>
      <c r="B22" s="225">
        <f>+'Chart III'!B22</f>
        <v>559</v>
      </c>
      <c r="C22" s="225">
        <f>+'Chart III'!C22</f>
        <v>530</v>
      </c>
      <c r="D22" s="225">
        <f>+'Chart III'!D22</f>
        <v>521.5</v>
      </c>
      <c r="E22" s="225">
        <f>+'Chart III'!E22</f>
        <v>525</v>
      </c>
      <c r="F22" s="225">
        <f>+'Chart III'!F22</f>
        <v>523</v>
      </c>
      <c r="G22" s="225">
        <f>+'Chart III'!G22</f>
        <v>533.5</v>
      </c>
      <c r="H22" s="225">
        <f>+'Chart III'!H22</f>
        <v>525</v>
      </c>
      <c r="I22" s="225">
        <f>+'Chart III'!I22</f>
        <v>512.5</v>
      </c>
      <c r="J22" s="225">
        <f>+'Chart III'!J22</f>
        <v>520.5</v>
      </c>
      <c r="K22" s="225">
        <f>+'Chart III'!K22</f>
        <v>511.5</v>
      </c>
      <c r="L22" s="225">
        <f>+'Chart III'!L22</f>
        <v>500</v>
      </c>
      <c r="M22" s="224">
        <f>+'Chart III'!M22</f>
        <v>500</v>
      </c>
      <c r="N22" s="225">
        <f>+'Chart III'!N22</f>
        <v>515</v>
      </c>
      <c r="O22" s="225">
        <f>+'Chart III'!O22</f>
        <v>530.5</v>
      </c>
      <c r="P22" s="225">
        <f>+'Chart III'!P22</f>
        <v>546.4</v>
      </c>
      <c r="Q22" s="225">
        <f>+'Chart III'!Q22</f>
        <v>562.79999999999995</v>
      </c>
      <c r="R22" s="241">
        <f>+'Chart III'!R22</f>
        <v>579.6</v>
      </c>
      <c r="U22" s="153" t="s">
        <v>47</v>
      </c>
      <c r="V22" s="144">
        <v>522</v>
      </c>
      <c r="W22" s="144">
        <f t="shared" ref="W22:Y24" si="8">G22</f>
        <v>533.5</v>
      </c>
      <c r="X22" s="144">
        <f t="shared" si="8"/>
        <v>525</v>
      </c>
      <c r="Y22" s="144">
        <f t="shared" si="8"/>
        <v>512.5</v>
      </c>
      <c r="Z22" s="149">
        <f t="shared" ref="Z22:AA24" si="9">Q22</f>
        <v>562.79999999999995</v>
      </c>
      <c r="AA22" s="144">
        <f t="shared" si="9"/>
        <v>579.6</v>
      </c>
    </row>
    <row r="23" spans="1:27">
      <c r="A23" s="240" t="s">
        <v>48</v>
      </c>
      <c r="B23" s="225">
        <f>+'Chart III'!B23</f>
        <v>281244125.5</v>
      </c>
      <c r="C23" s="225">
        <f>+'Chart III'!C23</f>
        <v>360631980</v>
      </c>
      <c r="D23" s="225">
        <f>+'Chart III'!D23</f>
        <v>361962669</v>
      </c>
      <c r="E23" s="225">
        <f>+'Chart III'!E23</f>
        <v>357086593</v>
      </c>
      <c r="F23" s="225">
        <f>+'Chart III'!F23</f>
        <v>359144720</v>
      </c>
      <c r="G23" s="225">
        <f>+'Chart III'!G23</f>
        <v>352632150</v>
      </c>
      <c r="H23" s="225">
        <f>+'Chart III'!H23</f>
        <v>349784301</v>
      </c>
      <c r="I23" s="225">
        <f>+'Chart III'!I23</f>
        <v>355234224</v>
      </c>
      <c r="J23" s="225">
        <f>+'Chart III'!J23</f>
        <v>359534375</v>
      </c>
      <c r="K23" s="225">
        <f>+'Chart III'!K23</f>
        <v>338342507</v>
      </c>
      <c r="L23" s="225">
        <f>+'Chart III'!L23</f>
        <v>337123668</v>
      </c>
      <c r="M23" s="224">
        <f ca="1">+'Chart III'!M23</f>
        <v>349725890.78391075</v>
      </c>
      <c r="N23" s="225">
        <f ca="1">+'Chart III'!N23</f>
        <v>365803341.05727828</v>
      </c>
      <c r="O23" s="225">
        <f ca="1">+'Chart III'!O23</f>
        <v>383057156.35481733</v>
      </c>
      <c r="P23" s="225">
        <f ca="1">+'Chart III'!P23</f>
        <v>397878345.8407315</v>
      </c>
      <c r="Q23" s="225">
        <f ca="1">+'Chart III'!Q23</f>
        <v>413841565.44544375</v>
      </c>
      <c r="R23" s="241">
        <f ca="1">+'Chart III'!R23</f>
        <v>430008488.2230823</v>
      </c>
      <c r="U23" s="153" t="s">
        <v>48</v>
      </c>
      <c r="V23" s="144">
        <v>358858375</v>
      </c>
      <c r="W23" s="144">
        <f t="shared" si="8"/>
        <v>352632150</v>
      </c>
      <c r="X23" s="144">
        <f t="shared" si="8"/>
        <v>349784301</v>
      </c>
      <c r="Y23" s="144">
        <f t="shared" si="8"/>
        <v>355234224</v>
      </c>
      <c r="Z23" s="144">
        <f t="shared" ca="1" si="9"/>
        <v>413841565.44544375</v>
      </c>
      <c r="AA23" s="144">
        <f t="shared" ca="1" si="9"/>
        <v>430008488.2230823</v>
      </c>
    </row>
    <row r="24" spans="1:27">
      <c r="A24" s="240" t="s">
        <v>49</v>
      </c>
      <c r="B24" s="225">
        <f>+'Chart III'!B24</f>
        <v>806199.49000000011</v>
      </c>
      <c r="C24" s="225">
        <f>+'Chart III'!C24</f>
        <v>957450.82</v>
      </c>
      <c r="D24" s="225">
        <f>+'Chart III'!D24</f>
        <v>913899.12999999989</v>
      </c>
      <c r="E24" s="225">
        <f>+'Chart III'!E24</f>
        <v>893943</v>
      </c>
      <c r="F24" s="225">
        <f>+'Chart III'!F24</f>
        <v>887017</v>
      </c>
      <c r="G24" s="225">
        <f>+'Chart III'!G24</f>
        <v>876464</v>
      </c>
      <c r="H24" s="225">
        <f>+'Chart III'!H24</f>
        <v>861503</v>
      </c>
      <c r="I24" s="227">
        <f>+'Chart III'!I24</f>
        <v>871715</v>
      </c>
      <c r="J24" s="227">
        <f>+'Chart III'!J24</f>
        <v>867070</v>
      </c>
      <c r="K24" s="227">
        <f>+'Chart III'!K24</f>
        <v>846459</v>
      </c>
      <c r="L24" s="227">
        <f>+'Chart III'!L24</f>
        <v>844838</v>
      </c>
      <c r="M24" s="226">
        <f ca="1">+'Chart III'!M24</f>
        <v>885167.7583674388</v>
      </c>
      <c r="N24" s="227">
        <f ca="1">+'Chart III'!N24</f>
        <v>925860.31500612909</v>
      </c>
      <c r="O24" s="227">
        <f ca="1">+'Chart III'!O24</f>
        <v>969530.29030013748</v>
      </c>
      <c r="P24" s="227">
        <f ca="1">+'Chart III'!P24</f>
        <v>1007043.2094728614</v>
      </c>
      <c r="Q24" s="227">
        <f ca="1">+'Chart III'!Q24</f>
        <v>1047446.6445235453</v>
      </c>
      <c r="R24" s="243">
        <f ca="1">+'Chart III'!R24</f>
        <v>1088365.6590200269</v>
      </c>
      <c r="U24" s="153" t="s">
        <v>49</v>
      </c>
      <c r="V24" s="144"/>
      <c r="W24" s="144">
        <f t="shared" si="8"/>
        <v>876464</v>
      </c>
      <c r="X24" s="144">
        <f t="shared" si="8"/>
        <v>861503</v>
      </c>
      <c r="Y24" s="149">
        <f t="shared" si="8"/>
        <v>871715</v>
      </c>
      <c r="Z24" s="144">
        <f t="shared" ca="1" si="9"/>
        <v>1047446.6445235453</v>
      </c>
      <c r="AA24" s="144">
        <f t="shared" ca="1" si="9"/>
        <v>1088365.6590200269</v>
      </c>
    </row>
    <row r="25" spans="1:27">
      <c r="A25" s="240"/>
      <c r="B25" s="223"/>
      <c r="C25" s="223"/>
      <c r="D25" s="223"/>
      <c r="E25" s="223"/>
      <c r="F25" s="223"/>
      <c r="G25" s="242"/>
      <c r="H25" s="221"/>
      <c r="I25" s="221"/>
      <c r="J25" s="221"/>
      <c r="K25" s="221"/>
      <c r="L25" s="221"/>
      <c r="M25" s="220"/>
      <c r="N25" s="221"/>
      <c r="O25" s="221"/>
      <c r="P25" s="221"/>
      <c r="Q25" s="221"/>
      <c r="R25" s="236"/>
      <c r="S25" s="23"/>
      <c r="U25" s="153"/>
      <c r="V25" s="151"/>
      <c r="W25" s="149"/>
      <c r="X25" s="149"/>
      <c r="Y25" s="149"/>
      <c r="Z25" s="149"/>
      <c r="AA25" s="149"/>
    </row>
    <row r="26" spans="1:27">
      <c r="A26" s="239" t="str">
        <f>'Rate Class Energy Model'!K2</f>
        <v>Large User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2"/>
      <c r="N26" s="223"/>
      <c r="O26" s="223"/>
      <c r="P26" s="223"/>
      <c r="Q26" s="223"/>
      <c r="R26" s="238"/>
      <c r="U26" s="152" t="s">
        <v>74</v>
      </c>
      <c r="V26" s="151"/>
      <c r="W26" s="144"/>
      <c r="X26" s="144"/>
      <c r="Y26" s="144"/>
      <c r="Z26" s="149"/>
      <c r="AA26" s="144"/>
    </row>
    <row r="27" spans="1:27">
      <c r="A27" s="240" t="s">
        <v>47</v>
      </c>
      <c r="B27" s="225">
        <f>+'Chart III'!B27</f>
        <v>2.5</v>
      </c>
      <c r="C27" s="225">
        <f>+'Chart III'!C27</f>
        <v>2.5</v>
      </c>
      <c r="D27" s="225">
        <f>+'Chart III'!D27</f>
        <v>2</v>
      </c>
      <c r="E27" s="225">
        <f>+'Chart III'!E27</f>
        <v>2</v>
      </c>
      <c r="F27" s="225">
        <f>+'Chart III'!F27</f>
        <v>2</v>
      </c>
      <c r="G27" s="225">
        <f>+'Chart III'!G27</f>
        <v>2.5</v>
      </c>
      <c r="H27" s="225">
        <f>+'Chart III'!H27</f>
        <v>2</v>
      </c>
      <c r="I27" s="227">
        <f>+'Chart III'!I27</f>
        <v>1</v>
      </c>
      <c r="J27" s="225">
        <f>+'Chart III'!J27</f>
        <v>1</v>
      </c>
      <c r="K27" s="225">
        <f>+'Chart III'!K27</f>
        <v>1</v>
      </c>
      <c r="L27" s="225">
        <f>+'Chart III'!L27</f>
        <v>1</v>
      </c>
      <c r="M27" s="224">
        <f>+'Chart III'!M27</f>
        <v>1</v>
      </c>
      <c r="N27" s="225">
        <f>+'Chart III'!N27</f>
        <v>1</v>
      </c>
      <c r="O27" s="225">
        <f>+'Chart III'!O27</f>
        <v>1</v>
      </c>
      <c r="P27" s="225">
        <f>+'Chart III'!P27</f>
        <v>1</v>
      </c>
      <c r="Q27" s="225">
        <f>+'Chart III'!Q27</f>
        <v>1</v>
      </c>
      <c r="R27" s="241">
        <f>+'Chart III'!R27</f>
        <v>1</v>
      </c>
      <c r="U27" s="153" t="s">
        <v>47</v>
      </c>
      <c r="V27" s="144">
        <v>2</v>
      </c>
      <c r="W27" s="144">
        <f t="shared" ref="W27:Y29" si="10">G27</f>
        <v>2.5</v>
      </c>
      <c r="X27" s="144">
        <f t="shared" si="10"/>
        <v>2</v>
      </c>
      <c r="Y27" s="149">
        <f t="shared" si="10"/>
        <v>1</v>
      </c>
      <c r="Z27" s="149">
        <f t="shared" ref="Z27:AA29" si="11">Q27</f>
        <v>1</v>
      </c>
      <c r="AA27" s="149">
        <f t="shared" si="11"/>
        <v>1</v>
      </c>
    </row>
    <row r="28" spans="1:27">
      <c r="A28" s="240" t="s">
        <v>48</v>
      </c>
      <c r="B28" s="225">
        <f>+'Chart III'!B28</f>
        <v>169257212.5</v>
      </c>
      <c r="C28" s="225">
        <f>+'Chart III'!C28</f>
        <v>112144196</v>
      </c>
      <c r="D28" s="225">
        <f>+'Chart III'!D28</f>
        <v>62904833</v>
      </c>
      <c r="E28" s="225">
        <f>+'Chart III'!E28</f>
        <v>59654446</v>
      </c>
      <c r="F28" s="225">
        <f>+'Chart III'!F28</f>
        <v>61811846</v>
      </c>
      <c r="G28" s="225">
        <f>+'Chart III'!G28</f>
        <v>46461021</v>
      </c>
      <c r="H28" s="225">
        <f>+'Chart III'!H28</f>
        <v>36580289</v>
      </c>
      <c r="I28" s="225">
        <f>+'Chart III'!I28</f>
        <v>33402763</v>
      </c>
      <c r="J28" s="225">
        <f>+'Chart III'!J28</f>
        <v>37740699</v>
      </c>
      <c r="K28" s="225">
        <f>+'Chart III'!K28</f>
        <v>40812737</v>
      </c>
      <c r="L28" s="225">
        <f>+'Chart III'!L28</f>
        <v>42326219</v>
      </c>
      <c r="M28" s="224">
        <f ca="1">+'Chart III'!M28</f>
        <v>43637356.33016827</v>
      </c>
      <c r="N28" s="225">
        <f ca="1">+'Chart III'!N28</f>
        <v>44988087.018268302</v>
      </c>
      <c r="O28" s="225">
        <f ca="1">+'Chart III'!O28</f>
        <v>46339336.301290356</v>
      </c>
      <c r="P28" s="225">
        <f ca="1">+'Chart III'!P28</f>
        <v>47612968.631939657</v>
      </c>
      <c r="Q28" s="225">
        <f ca="1">+'Chart III'!Q28</f>
        <v>48880609.419864491</v>
      </c>
      <c r="R28" s="241">
        <f ca="1">+'Chart III'!R28</f>
        <v>50156998.567244969</v>
      </c>
      <c r="U28" s="153" t="s">
        <v>48</v>
      </c>
      <c r="V28" s="144">
        <v>60139982</v>
      </c>
      <c r="W28" s="144">
        <f t="shared" si="10"/>
        <v>46461021</v>
      </c>
      <c r="X28" s="144">
        <f t="shared" si="10"/>
        <v>36580289</v>
      </c>
      <c r="Y28" s="144">
        <f t="shared" si="10"/>
        <v>33402763</v>
      </c>
      <c r="Z28" s="144">
        <f t="shared" ca="1" si="11"/>
        <v>48880609.419864491</v>
      </c>
      <c r="AA28" s="155">
        <f t="shared" ca="1" si="11"/>
        <v>50156998.567244969</v>
      </c>
    </row>
    <row r="29" spans="1:27">
      <c r="A29" s="240" t="s">
        <v>49</v>
      </c>
      <c r="B29" s="225">
        <f>+'Chart III'!B29</f>
        <v>349045.15</v>
      </c>
      <c r="C29" s="225">
        <f>+'Chart III'!C29</f>
        <v>243130.85</v>
      </c>
      <c r="D29" s="225">
        <f>+'Chart III'!D29</f>
        <v>154705.01</v>
      </c>
      <c r="E29" s="225">
        <f>+'Chart III'!E29</f>
        <v>134252</v>
      </c>
      <c r="F29" s="225">
        <f>+'Chart III'!F29</f>
        <v>135954</v>
      </c>
      <c r="G29" s="225">
        <f>+'Chart III'!G29</f>
        <v>124131</v>
      </c>
      <c r="H29" s="225">
        <f>+'Chart III'!H29</f>
        <v>89007</v>
      </c>
      <c r="I29" s="227">
        <f>+'Chart III'!I29</f>
        <v>70585</v>
      </c>
      <c r="J29" s="227">
        <f>+'Chart III'!J29</f>
        <v>83704</v>
      </c>
      <c r="K29" s="227">
        <f>+'Chart III'!K29</f>
        <v>89554</v>
      </c>
      <c r="L29" s="227">
        <f>+'Chart III'!L29</f>
        <v>93930</v>
      </c>
      <c r="M29" s="226">
        <f ca="1">+'Chart III'!M29</f>
        <v>99132.011955871945</v>
      </c>
      <c r="N29" s="227">
        <f ca="1">+'Chart III'!N29</f>
        <v>102200.49872919476</v>
      </c>
      <c r="O29" s="227">
        <f ca="1">+'Chart III'!O29</f>
        <v>105270.16360683765</v>
      </c>
      <c r="P29" s="227">
        <f ca="1">+'Chart III'!P29</f>
        <v>108163.5042224795</v>
      </c>
      <c r="Q29" s="227">
        <f ca="1">+'Chart III'!Q29</f>
        <v>111043.2337091496</v>
      </c>
      <c r="R29" s="243">
        <f ca="1">+'Chart III'!R29</f>
        <v>113942.83705040404</v>
      </c>
      <c r="U29" s="153" t="s">
        <v>49</v>
      </c>
      <c r="V29" s="144"/>
      <c r="W29" s="144">
        <f t="shared" si="10"/>
        <v>124131</v>
      </c>
      <c r="X29" s="144">
        <f t="shared" si="10"/>
        <v>89007</v>
      </c>
      <c r="Y29" s="149">
        <f t="shared" si="10"/>
        <v>70585</v>
      </c>
      <c r="Z29" s="144">
        <f t="shared" ca="1" si="11"/>
        <v>111043.2337091496</v>
      </c>
      <c r="AA29" s="144">
        <f t="shared" ca="1" si="11"/>
        <v>113942.83705040404</v>
      </c>
    </row>
    <row r="30" spans="1:27">
      <c r="A30" s="240"/>
      <c r="B30" s="223"/>
      <c r="C30" s="223"/>
      <c r="D30" s="223"/>
      <c r="E30" s="223"/>
      <c r="F30" s="223"/>
      <c r="G30" s="242"/>
      <c r="H30" s="221"/>
      <c r="I30" s="221"/>
      <c r="J30" s="221"/>
      <c r="K30" s="221"/>
      <c r="L30" s="221"/>
      <c r="M30" s="220"/>
      <c r="N30" s="221"/>
      <c r="O30" s="221"/>
      <c r="P30" s="221"/>
      <c r="Q30" s="221"/>
      <c r="R30" s="236"/>
      <c r="U30" s="153"/>
      <c r="V30" s="151"/>
      <c r="W30" s="149"/>
      <c r="X30" s="149"/>
      <c r="Y30" s="149"/>
      <c r="Z30" s="149"/>
      <c r="AA30" s="154"/>
    </row>
    <row r="31" spans="1:27">
      <c r="A31" s="239" t="str">
        <f>'Rate Class Energy Model'!L2</f>
        <v>I2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2"/>
      <c r="N31" s="223"/>
      <c r="O31" s="223"/>
      <c r="P31" s="223"/>
      <c r="Q31" s="223"/>
      <c r="R31" s="238"/>
      <c r="U31" s="152" t="s">
        <v>77</v>
      </c>
      <c r="V31" s="151"/>
      <c r="W31" s="144"/>
      <c r="X31" s="144"/>
      <c r="Y31" s="144"/>
      <c r="Z31" s="149"/>
      <c r="AA31" s="144"/>
    </row>
    <row r="32" spans="1:27">
      <c r="A32" s="244" t="s">
        <v>47</v>
      </c>
      <c r="B32" s="225">
        <f>+'Chart III'!B32</f>
        <v>5</v>
      </c>
      <c r="C32" s="225">
        <f>+'Chart III'!C32</f>
        <v>6</v>
      </c>
      <c r="D32" s="225">
        <f>+'Chart III'!D32</f>
        <v>7.5</v>
      </c>
      <c r="E32" s="225">
        <f>+'Chart III'!E32</f>
        <v>8.5</v>
      </c>
      <c r="F32" s="225">
        <f>+'Chart III'!F32</f>
        <v>9</v>
      </c>
      <c r="G32" s="225">
        <f>+'Chart III'!G32</f>
        <v>9</v>
      </c>
      <c r="H32" s="225">
        <f>+'Chart III'!H32</f>
        <v>9.5</v>
      </c>
      <c r="I32" s="227">
        <f>+'Chart III'!I32</f>
        <v>10</v>
      </c>
      <c r="J32" s="225">
        <f>+'Chart III'!J32</f>
        <v>10</v>
      </c>
      <c r="K32" s="225">
        <f>+'Chart III'!K32</f>
        <v>10.5</v>
      </c>
      <c r="L32" s="225">
        <f>+'Chart III'!L32</f>
        <v>11</v>
      </c>
      <c r="M32" s="224">
        <f>+'Chart III'!M32</f>
        <v>11</v>
      </c>
      <c r="N32" s="225">
        <f>+'Chart III'!N32</f>
        <v>11.3</v>
      </c>
      <c r="O32" s="225">
        <f>+'Chart III'!O32</f>
        <v>11.7</v>
      </c>
      <c r="P32" s="225">
        <f>+'Chart III'!P32</f>
        <v>12</v>
      </c>
      <c r="Q32" s="225">
        <f>+'Chart III'!Q32</f>
        <v>12.4</v>
      </c>
      <c r="R32" s="241">
        <f>+'Chart III'!R32</f>
        <v>12.8</v>
      </c>
      <c r="U32" s="156" t="s">
        <v>47</v>
      </c>
      <c r="V32" s="144">
        <v>9</v>
      </c>
      <c r="W32" s="144">
        <f t="shared" ref="W32:Y34" si="12">G32</f>
        <v>9</v>
      </c>
      <c r="X32" s="144">
        <f t="shared" si="12"/>
        <v>9.5</v>
      </c>
      <c r="Y32" s="149">
        <f t="shared" si="12"/>
        <v>10</v>
      </c>
      <c r="Z32" s="149">
        <f t="shared" ref="Z32:AA34" si="13">Q32</f>
        <v>12.4</v>
      </c>
      <c r="AA32" s="149">
        <f t="shared" si="13"/>
        <v>12.8</v>
      </c>
    </row>
    <row r="33" spans="1:27">
      <c r="A33" s="240" t="s">
        <v>48</v>
      </c>
      <c r="B33" s="225">
        <f>+'Chart III'!B33</f>
        <v>96172091</v>
      </c>
      <c r="C33" s="225">
        <f>+'Chart III'!C33</f>
        <v>65676068</v>
      </c>
      <c r="D33" s="225">
        <f>+'Chart III'!D33</f>
        <v>67016961</v>
      </c>
      <c r="E33" s="225">
        <f>+'Chart III'!E33</f>
        <v>80518764</v>
      </c>
      <c r="F33" s="225">
        <f>+'Chart III'!F33</f>
        <v>103869997</v>
      </c>
      <c r="G33" s="225">
        <f>+'Chart III'!G33</f>
        <v>102433272</v>
      </c>
      <c r="H33" s="225">
        <f>+'Chart III'!H33</f>
        <v>87237589</v>
      </c>
      <c r="I33" s="225">
        <f>+'Chart III'!I33</f>
        <v>80783141</v>
      </c>
      <c r="J33" s="225">
        <f>+'Chart III'!J33</f>
        <v>79908016</v>
      </c>
      <c r="K33" s="225">
        <f>+'Chart III'!K33</f>
        <v>76828137</v>
      </c>
      <c r="L33" s="225">
        <f>+'Chart III'!L33</f>
        <v>79176233</v>
      </c>
      <c r="M33" s="224">
        <f ca="1">+'Chart III'!M33</f>
        <v>72223026.947568864</v>
      </c>
      <c r="N33" s="225">
        <f ca="1">+'Chart III'!N33</f>
        <v>66360780.741462775</v>
      </c>
      <c r="O33" s="225">
        <f ca="1">+'Chart III'!O33</f>
        <v>61520302.229705706</v>
      </c>
      <c r="P33" s="225">
        <f ca="1">+'Chart III'!P33</f>
        <v>56063418.766717009</v>
      </c>
      <c r="Q33" s="225">
        <f ca="1">+'Chart III'!Q33</f>
        <v>51546101.142281838</v>
      </c>
      <c r="R33" s="241">
        <f ca="1">+'Chart III'!R33</f>
        <v>47307974.406240016</v>
      </c>
      <c r="U33" s="153" t="s">
        <v>48</v>
      </c>
      <c r="V33" s="144">
        <v>80956601</v>
      </c>
      <c r="W33" s="144">
        <f t="shared" si="12"/>
        <v>102433272</v>
      </c>
      <c r="X33" s="144">
        <f t="shared" si="12"/>
        <v>87237589</v>
      </c>
      <c r="Y33" s="144">
        <f t="shared" si="12"/>
        <v>80783141</v>
      </c>
      <c r="Z33" s="144">
        <f t="shared" ca="1" si="13"/>
        <v>51546101.142281838</v>
      </c>
      <c r="AA33" s="155">
        <f t="shared" ca="1" si="13"/>
        <v>47307974.406240016</v>
      </c>
    </row>
    <row r="34" spans="1:27">
      <c r="A34" s="240" t="s">
        <v>49</v>
      </c>
      <c r="B34" s="225">
        <f>+'Chart III'!B34</f>
        <v>197712.36</v>
      </c>
      <c r="C34" s="225">
        <f>+'Chart III'!C34</f>
        <v>135213.89000000001</v>
      </c>
      <c r="D34" s="225">
        <f>+'Chart III'!D34</f>
        <v>142187.47</v>
      </c>
      <c r="E34" s="225">
        <f>+'Chart III'!E34</f>
        <v>178422</v>
      </c>
      <c r="F34" s="225">
        <f>+'Chart III'!F34</f>
        <v>214029</v>
      </c>
      <c r="G34" s="225">
        <f>+'Chart III'!G34</f>
        <v>204487</v>
      </c>
      <c r="H34" s="225">
        <f>+'Chart III'!H34</f>
        <v>190299</v>
      </c>
      <c r="I34" s="227">
        <f>+'Chart III'!I34</f>
        <v>195141</v>
      </c>
      <c r="J34" s="227">
        <f>+'Chart III'!J34</f>
        <v>192700</v>
      </c>
      <c r="K34" s="227">
        <f>+'Chart III'!K34</f>
        <v>182189</v>
      </c>
      <c r="L34" s="227">
        <f>+'Chart III'!L34</f>
        <v>186993</v>
      </c>
      <c r="M34" s="226">
        <f ca="1">+'Chart III'!M34</f>
        <v>159223.35128291009</v>
      </c>
      <c r="N34" s="227">
        <f ca="1">+'Chart III'!N34</f>
        <v>146299.40546630297</v>
      </c>
      <c r="O34" s="227">
        <f ca="1">+'Chart III'!O34</f>
        <v>135628.05530239493</v>
      </c>
      <c r="P34" s="227">
        <f ca="1">+'Chart III'!P34</f>
        <v>123597.77480517743</v>
      </c>
      <c r="Q34" s="227">
        <f ca="1">+'Chart III'!Q34</f>
        <v>113638.86721890194</v>
      </c>
      <c r="R34" s="243">
        <f ca="1">+'Chart III'!R34</f>
        <v>104295.4656668711</v>
      </c>
      <c r="U34" s="153" t="s">
        <v>49</v>
      </c>
      <c r="V34" s="144"/>
      <c r="W34" s="144">
        <f t="shared" si="12"/>
        <v>204487</v>
      </c>
      <c r="X34" s="144">
        <f t="shared" si="12"/>
        <v>190299</v>
      </c>
      <c r="Y34" s="149">
        <f t="shared" si="12"/>
        <v>195141</v>
      </c>
      <c r="Z34" s="144">
        <f t="shared" ca="1" si="13"/>
        <v>113638.86721890194</v>
      </c>
      <c r="AA34" s="144">
        <f t="shared" ca="1" si="13"/>
        <v>104295.4656668711</v>
      </c>
    </row>
    <row r="35" spans="1:27">
      <c r="A35" s="240"/>
      <c r="B35" s="225"/>
      <c r="C35" s="225"/>
      <c r="D35" s="225"/>
      <c r="E35" s="225"/>
      <c r="F35" s="225"/>
      <c r="G35" s="225"/>
      <c r="H35" s="225"/>
      <c r="I35" s="221"/>
      <c r="J35" s="221"/>
      <c r="K35" s="221"/>
      <c r="L35" s="221"/>
      <c r="M35" s="220"/>
      <c r="N35" s="221"/>
      <c r="O35" s="221"/>
      <c r="P35" s="221"/>
      <c r="Q35" s="221"/>
      <c r="R35" s="236"/>
      <c r="S35" s="23"/>
      <c r="U35" s="153"/>
      <c r="V35" s="144"/>
      <c r="W35" s="144"/>
      <c r="X35" s="144"/>
      <c r="Y35" s="149"/>
      <c r="Z35" s="149"/>
      <c r="AA35" s="149"/>
    </row>
    <row r="36" spans="1:27">
      <c r="A36" s="239" t="str">
        <f>'Rate Class Energy Model'!M2</f>
        <v>Streetlights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2"/>
      <c r="N36" s="223"/>
      <c r="O36" s="223"/>
      <c r="P36" s="223"/>
      <c r="Q36" s="223"/>
      <c r="R36" s="238"/>
      <c r="U36" s="152" t="s">
        <v>75</v>
      </c>
      <c r="V36" s="151"/>
      <c r="W36" s="144"/>
      <c r="X36" s="144"/>
      <c r="Y36" s="144"/>
      <c r="Z36" s="149"/>
      <c r="AA36" s="144"/>
    </row>
    <row r="37" spans="1:27">
      <c r="A37" s="240" t="s">
        <v>63</v>
      </c>
      <c r="B37" s="225">
        <f>+'Chart III'!B37</f>
        <v>10059</v>
      </c>
      <c r="C37" s="225">
        <f>+'Chart III'!C37</f>
        <v>10262</v>
      </c>
      <c r="D37" s="225">
        <f>+'Chart III'!D37</f>
        <v>10498.5</v>
      </c>
      <c r="E37" s="225">
        <f>+'Chart III'!E37</f>
        <v>10831</v>
      </c>
      <c r="F37" s="225">
        <f>+'Chart III'!F37</f>
        <v>11280.5</v>
      </c>
      <c r="G37" s="225">
        <f>+'Chart III'!G37</f>
        <v>11621.5</v>
      </c>
      <c r="H37" s="225">
        <f>+'Chart III'!H37</f>
        <v>11801</v>
      </c>
      <c r="I37" s="227">
        <f>+'Chart III'!I37</f>
        <v>11995.5</v>
      </c>
      <c r="J37" s="225">
        <f>+'Chart III'!J37</f>
        <v>12127.5</v>
      </c>
      <c r="K37" s="225">
        <f>+'Chart III'!K37</f>
        <v>12213</v>
      </c>
      <c r="L37" s="225">
        <f>+'Chart III'!L37</f>
        <v>12327.5</v>
      </c>
      <c r="M37" s="224">
        <f>+'Chart III'!M37</f>
        <v>12580.764461270714</v>
      </c>
      <c r="N37" s="225">
        <f>+'Chart III'!N37</f>
        <v>12958.232158180668</v>
      </c>
      <c r="O37" s="225">
        <f>+'Chart III'!O37</f>
        <v>13346.909989506667</v>
      </c>
      <c r="P37" s="225">
        <f>+'Chart III'!P37</f>
        <v>13747.307050225967</v>
      </c>
      <c r="Q37" s="225">
        <f>+'Chart III'!Q37</f>
        <v>14159.734676636504</v>
      </c>
      <c r="R37" s="241">
        <f>+'Chart III'!R37</f>
        <v>14584.506492404096</v>
      </c>
      <c r="U37" s="153" t="s">
        <v>63</v>
      </c>
      <c r="V37" s="144">
        <v>11650</v>
      </c>
      <c r="W37" s="144">
        <f t="shared" ref="W37:Y39" si="14">G37</f>
        <v>11621.5</v>
      </c>
      <c r="X37" s="144">
        <f t="shared" si="14"/>
        <v>11801</v>
      </c>
      <c r="Y37" s="149">
        <f t="shared" si="14"/>
        <v>11995.5</v>
      </c>
      <c r="Z37" s="144">
        <f t="shared" ref="Z37:AA39" si="15">Q37</f>
        <v>14159.734676636504</v>
      </c>
      <c r="AA37" s="144">
        <f t="shared" si="15"/>
        <v>14584.506492404096</v>
      </c>
    </row>
    <row r="38" spans="1:27">
      <c r="A38" s="240" t="s">
        <v>48</v>
      </c>
      <c r="B38" s="225">
        <f>+'Chart III'!B38</f>
        <v>8359780.5</v>
      </c>
      <c r="C38" s="225">
        <f>+'Chart III'!C38</f>
        <v>8743099.0634733941</v>
      </c>
      <c r="D38" s="225">
        <f>+'Chart III'!D38</f>
        <v>9182978</v>
      </c>
      <c r="E38" s="225">
        <f>+'Chart III'!E38</f>
        <v>9398525</v>
      </c>
      <c r="F38" s="225">
        <f>+'Chart III'!F38</f>
        <v>9704521</v>
      </c>
      <c r="G38" s="225">
        <f>+'Chart III'!G38</f>
        <v>9725840</v>
      </c>
      <c r="H38" s="225">
        <f>+'Chart III'!H38</f>
        <v>10202758</v>
      </c>
      <c r="I38" s="225">
        <f>+'Chart III'!I38</f>
        <v>10427904</v>
      </c>
      <c r="J38" s="225">
        <f>+'Chart III'!J38</f>
        <v>10253017</v>
      </c>
      <c r="K38" s="225">
        <f>+'Chart III'!K38</f>
        <v>10139708</v>
      </c>
      <c r="L38" s="225">
        <f>+'Chart III'!L38</f>
        <v>9082284</v>
      </c>
      <c r="M38" s="224">
        <f ca="1">+'Chart III'!M38</f>
        <v>9157883.1611797065</v>
      </c>
      <c r="N38" s="225">
        <f ca="1">+'Chart III'!N38</f>
        <v>6898975.2993049342</v>
      </c>
      <c r="O38" s="225">
        <f ca="1">+'Chart III'!O38</f>
        <v>4602545.4750272129</v>
      </c>
      <c r="P38" s="225">
        <f ca="1">+'Chart III'!P38</f>
        <v>4729452.1624690769</v>
      </c>
      <c r="Q38" s="225">
        <f ca="1">+'Chart III'!Q38</f>
        <v>4858993.4106965186</v>
      </c>
      <c r="R38" s="241">
        <f ca="1">+'Chart III'!R38</f>
        <v>4991186.1968679242</v>
      </c>
      <c r="U38" s="153" t="s">
        <v>48</v>
      </c>
      <c r="V38" s="144">
        <v>10072853</v>
      </c>
      <c r="W38" s="144">
        <f t="shared" si="14"/>
        <v>9725840</v>
      </c>
      <c r="X38" s="144">
        <f t="shared" si="14"/>
        <v>10202758</v>
      </c>
      <c r="Y38" s="144">
        <f t="shared" si="14"/>
        <v>10427904</v>
      </c>
      <c r="Z38" s="144">
        <f t="shared" ca="1" si="15"/>
        <v>4858993.4106965186</v>
      </c>
      <c r="AA38" s="157">
        <f t="shared" ca="1" si="15"/>
        <v>4991186.1968679242</v>
      </c>
    </row>
    <row r="39" spans="1:27">
      <c r="A39" s="240" t="s">
        <v>49</v>
      </c>
      <c r="B39" s="225">
        <f>+'Chart III'!B39</f>
        <v>23226.94</v>
      </c>
      <c r="C39" s="225">
        <f>+'Chart III'!C39</f>
        <v>23584.5</v>
      </c>
      <c r="D39" s="225">
        <f>+'Chart III'!D39</f>
        <v>24114.33</v>
      </c>
      <c r="E39" s="225">
        <f>+'Chart III'!E39</f>
        <v>24802</v>
      </c>
      <c r="F39" s="225">
        <f>+'Chart III'!F39</f>
        <v>25740</v>
      </c>
      <c r="G39" s="225">
        <f>+'Chart III'!G39</f>
        <v>26489</v>
      </c>
      <c r="H39" s="225">
        <f>+'Chart III'!H39</f>
        <v>27041</v>
      </c>
      <c r="I39" s="227">
        <f>+'Chart III'!I39</f>
        <v>27634</v>
      </c>
      <c r="J39" s="227">
        <f>+'Chart III'!J39</f>
        <v>27830</v>
      </c>
      <c r="K39" s="227">
        <f>+'Chart III'!K39</f>
        <v>27720</v>
      </c>
      <c r="L39" s="227">
        <f>+'Chart III'!L39</f>
        <v>25374</v>
      </c>
      <c r="M39" s="226">
        <f ca="1">+'Chart III'!M39</f>
        <v>24692.191175639095</v>
      </c>
      <c r="N39" s="227">
        <f ca="1">+'Chart III'!N39</f>
        <v>18601.549507485201</v>
      </c>
      <c r="O39" s="227">
        <f ca="1">+'Chart III'!O39</f>
        <v>12409.738229211556</v>
      </c>
      <c r="P39" s="227">
        <f ca="1">+'Chart III'!P39</f>
        <v>12751.913831654809</v>
      </c>
      <c r="Q39" s="227">
        <f ca="1">+'Chart III'!Q39</f>
        <v>13101.192940163424</v>
      </c>
      <c r="R39" s="243">
        <f ca="1">+'Chart III'!R39</f>
        <v>13457.621329861753</v>
      </c>
      <c r="U39" s="153" t="s">
        <v>49</v>
      </c>
      <c r="V39" s="144"/>
      <c r="W39" s="144">
        <f t="shared" si="14"/>
        <v>26489</v>
      </c>
      <c r="X39" s="144">
        <f t="shared" si="14"/>
        <v>27041</v>
      </c>
      <c r="Y39" s="149">
        <f t="shared" si="14"/>
        <v>27634</v>
      </c>
      <c r="Z39" s="144">
        <f t="shared" ca="1" si="15"/>
        <v>13101.192940163424</v>
      </c>
      <c r="AA39" s="144">
        <f t="shared" ca="1" si="15"/>
        <v>13457.621329861753</v>
      </c>
    </row>
    <row r="40" spans="1:27">
      <c r="A40" s="240"/>
      <c r="B40" s="225"/>
      <c r="C40" s="225"/>
      <c r="D40" s="225"/>
      <c r="E40" s="225"/>
      <c r="F40" s="225"/>
      <c r="G40" s="225"/>
      <c r="H40" s="225"/>
      <c r="I40" s="227"/>
      <c r="J40" s="227"/>
      <c r="K40" s="227"/>
      <c r="L40" s="227"/>
      <c r="M40" s="226"/>
      <c r="N40" s="227"/>
      <c r="O40" s="227"/>
      <c r="P40" s="227"/>
      <c r="Q40" s="227"/>
      <c r="R40" s="243"/>
      <c r="U40" s="153"/>
      <c r="V40" s="144"/>
      <c r="W40" s="144"/>
      <c r="X40" s="144"/>
      <c r="Y40" s="149"/>
      <c r="Z40" s="144"/>
      <c r="AA40" s="144"/>
    </row>
    <row r="41" spans="1:27">
      <c r="A41" s="239" t="str">
        <f>'Rate Class Energy Model'!N2</f>
        <v>Sentinels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2"/>
      <c r="N41" s="223"/>
      <c r="O41" s="223"/>
      <c r="P41" s="223"/>
      <c r="Q41" s="223"/>
      <c r="R41" s="238"/>
      <c r="U41" s="152" t="s">
        <v>78</v>
      </c>
      <c r="V41" s="151"/>
      <c r="W41" s="144"/>
      <c r="X41" s="144"/>
      <c r="Y41" s="144"/>
      <c r="Z41" s="149"/>
      <c r="AA41" s="144"/>
    </row>
    <row r="42" spans="1:27">
      <c r="A42" s="240" t="s">
        <v>63</v>
      </c>
      <c r="B42" s="225">
        <f>+'Chart III'!B42</f>
        <v>34.5</v>
      </c>
      <c r="C42" s="225">
        <f>+'Chart III'!C42</f>
        <v>30</v>
      </c>
      <c r="D42" s="225">
        <f>+'Chart III'!D42</f>
        <v>29.5</v>
      </c>
      <c r="E42" s="225">
        <f>+'Chart III'!E42</f>
        <v>28.5</v>
      </c>
      <c r="F42" s="225">
        <f>+'Chart III'!F42</f>
        <v>26.5</v>
      </c>
      <c r="G42" s="225">
        <f>+'Chart III'!G42</f>
        <v>26</v>
      </c>
      <c r="H42" s="225">
        <f>+'Chart III'!H42</f>
        <v>26</v>
      </c>
      <c r="I42" s="225">
        <f>+'Chart III'!I42</f>
        <v>25</v>
      </c>
      <c r="J42" s="225">
        <f>+'Chart III'!J42</f>
        <v>24</v>
      </c>
      <c r="K42" s="225">
        <f>+'Chart III'!K42</f>
        <v>24</v>
      </c>
      <c r="L42" s="225">
        <f>+'Chart III'!L42</f>
        <v>24</v>
      </c>
      <c r="M42" s="224">
        <f>+'Chart III'!M42</f>
        <v>23.144641405622657</v>
      </c>
      <c r="N42" s="225">
        <f>+'Chart III'!N42</f>
        <v>22.319767741452615</v>
      </c>
      <c r="O42" s="225">
        <f>+'Chart III'!O42</f>
        <v>21.524292526362714</v>
      </c>
      <c r="P42" s="225">
        <f>+'Chart III'!P42</f>
        <v>20.757168001349534</v>
      </c>
      <c r="Q42" s="225">
        <f>+'Chart III'!Q42</f>
        <v>20.017383749479173</v>
      </c>
      <c r="R42" s="241">
        <f>+'Chart III'!R42</f>
        <v>19.303965365018076</v>
      </c>
      <c r="U42" s="153" t="s">
        <v>63</v>
      </c>
      <c r="V42" s="144">
        <v>77</v>
      </c>
      <c r="W42" s="144">
        <f t="shared" ref="W42:Y44" si="16">G42</f>
        <v>26</v>
      </c>
      <c r="X42" s="144">
        <f t="shared" si="16"/>
        <v>26</v>
      </c>
      <c r="Y42" s="144">
        <f t="shared" si="16"/>
        <v>25</v>
      </c>
      <c r="Z42" s="144">
        <f t="shared" ref="Z42:AA44" si="17">Q42</f>
        <v>20.017383749479173</v>
      </c>
      <c r="AA42" s="144">
        <f t="shared" si="17"/>
        <v>19.303965365018076</v>
      </c>
    </row>
    <row r="43" spans="1:27">
      <c r="A43" s="240" t="s">
        <v>48</v>
      </c>
      <c r="B43" s="225">
        <f>+'Chart III'!B43</f>
        <v>45541</v>
      </c>
      <c r="C43" s="225">
        <f>+'Chart III'!C43</f>
        <v>27821</v>
      </c>
      <c r="D43" s="225">
        <f>+'Chart III'!D43</f>
        <v>43197</v>
      </c>
      <c r="E43" s="225">
        <f>+'Chart III'!E43</f>
        <v>42595</v>
      </c>
      <c r="F43" s="225">
        <f>+'Chart III'!F43</f>
        <v>41408</v>
      </c>
      <c r="G43" s="225">
        <f>+'Chart III'!G43</f>
        <v>39233</v>
      </c>
      <c r="H43" s="225">
        <f>+'Chart III'!H43</f>
        <v>36792</v>
      </c>
      <c r="I43" s="225">
        <f>+'Chart III'!I43</f>
        <v>35812</v>
      </c>
      <c r="J43" s="225">
        <f>+'Chart III'!J43</f>
        <v>35812</v>
      </c>
      <c r="K43" s="225">
        <f>+'Chart III'!K43</f>
        <v>35812</v>
      </c>
      <c r="L43" s="225">
        <f>+'Chart III'!L43</f>
        <v>35812</v>
      </c>
      <c r="M43" s="224">
        <f ca="1">+'Chart III'!M43</f>
        <v>34755.727243069101</v>
      </c>
      <c r="N43" s="225">
        <f ca="1">+'Chart III'!N43</f>
        <v>33729.84317964848</v>
      </c>
      <c r="O43" s="225">
        <f ca="1">+'Chart III'!O43</f>
        <v>32705.097787475253</v>
      </c>
      <c r="P43" s="225">
        <f ca="1">+'Chart III'!P43</f>
        <v>31632.95402592525</v>
      </c>
      <c r="Q43" s="225">
        <f ca="1">+'Chart III'!Q43</f>
        <v>30570.317476652544</v>
      </c>
      <c r="R43" s="241">
        <f ca="1">+'Chart III'!R43</f>
        <v>29528.658987768886</v>
      </c>
      <c r="U43" s="153" t="s">
        <v>48</v>
      </c>
      <c r="V43" s="144">
        <v>40813</v>
      </c>
      <c r="W43" s="144">
        <f t="shared" si="16"/>
        <v>39233</v>
      </c>
      <c r="X43" s="144">
        <f t="shared" si="16"/>
        <v>36792</v>
      </c>
      <c r="Y43" s="144">
        <f t="shared" si="16"/>
        <v>35812</v>
      </c>
      <c r="Z43" s="144">
        <f t="shared" ca="1" si="17"/>
        <v>30570.317476652544</v>
      </c>
      <c r="AA43" s="157">
        <f t="shared" ca="1" si="17"/>
        <v>29528.658987768886</v>
      </c>
    </row>
    <row r="44" spans="1:27">
      <c r="A44" s="240" t="s">
        <v>49</v>
      </c>
      <c r="B44" s="225">
        <f>+'Chart III'!B44</f>
        <v>126.50277777777779</v>
      </c>
      <c r="C44" s="225">
        <f>+'Chart III'!C44</f>
        <v>123.24722222222222</v>
      </c>
      <c r="D44" s="225">
        <f>+'Chart III'!D44</f>
        <v>119.99166666666666</v>
      </c>
      <c r="E44" s="225">
        <f>+'Chart III'!E44</f>
        <v>118.31944444444447</v>
      </c>
      <c r="F44" s="225">
        <f>+'Chart III'!F44</f>
        <v>115.0222222222222</v>
      </c>
      <c r="G44" s="225">
        <f>+'Chart III'!G44</f>
        <v>108.9805555555556</v>
      </c>
      <c r="H44" s="225">
        <f>+'Chart III'!H44</f>
        <v>102.2</v>
      </c>
      <c r="I44" s="227">
        <f>+'Chart III'!I44</f>
        <v>99.477777777777803</v>
      </c>
      <c r="J44" s="227">
        <f>+'Chart III'!J44</f>
        <v>100</v>
      </c>
      <c r="K44" s="227">
        <f>+'Chart III'!K44</f>
        <v>100</v>
      </c>
      <c r="L44" s="227">
        <f>+'Chart III'!L44</f>
        <v>100</v>
      </c>
      <c r="M44" s="226">
        <f ca="1">+'Chart III'!M44</f>
        <v>101.90231251042215</v>
      </c>
      <c r="N44" s="227">
        <f ca="1">+'Chart III'!N44</f>
        <v>98.894464114702075</v>
      </c>
      <c r="O44" s="227">
        <f ca="1">+'Chart III'!O44</f>
        <v>95.88995425459909</v>
      </c>
      <c r="P44" s="227">
        <f ca="1">+'Chart III'!P44</f>
        <v>92.746474393525105</v>
      </c>
      <c r="Q44" s="227">
        <f ca="1">+'Chart III'!Q44</f>
        <v>89.630869274067337</v>
      </c>
      <c r="R44" s="243">
        <f ca="1">+'Chart III'!R44</f>
        <v>86.576770934504481</v>
      </c>
      <c r="U44" s="153" t="s">
        <v>49</v>
      </c>
      <c r="V44" s="144"/>
      <c r="W44" s="144">
        <f t="shared" si="16"/>
        <v>108.9805555555556</v>
      </c>
      <c r="X44" s="144">
        <f t="shared" si="16"/>
        <v>102.2</v>
      </c>
      <c r="Y44" s="149">
        <f t="shared" si="16"/>
        <v>99.477777777777803</v>
      </c>
      <c r="Z44" s="144">
        <f t="shared" ca="1" si="17"/>
        <v>89.630869274067337</v>
      </c>
      <c r="AA44" s="144">
        <f t="shared" ca="1" si="17"/>
        <v>86.576770934504481</v>
      </c>
    </row>
    <row r="45" spans="1:27">
      <c r="A45" s="240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2"/>
      <c r="N45" s="223"/>
      <c r="O45" s="223"/>
      <c r="P45" s="223"/>
      <c r="Q45" s="223"/>
      <c r="R45" s="238"/>
      <c r="U45" s="153"/>
      <c r="V45" s="151"/>
      <c r="W45" s="144"/>
      <c r="X45" s="144"/>
      <c r="Y45" s="144"/>
      <c r="Z45" s="149"/>
      <c r="AA45" s="144"/>
    </row>
    <row r="46" spans="1:27">
      <c r="A46" s="239" t="str">
        <f>'Rate Class Energy Model'!O2</f>
        <v>USL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2"/>
      <c r="N46" s="223"/>
      <c r="O46" s="223"/>
      <c r="P46" s="223"/>
      <c r="Q46" s="223"/>
      <c r="R46" s="238"/>
      <c r="U46" s="152" t="s">
        <v>76</v>
      </c>
      <c r="V46" s="151"/>
      <c r="W46" s="144"/>
      <c r="X46" s="144"/>
      <c r="Y46" s="144"/>
      <c r="Z46" s="149"/>
      <c r="AA46" s="144"/>
    </row>
    <row r="47" spans="1:27">
      <c r="A47" s="240" t="s">
        <v>63</v>
      </c>
      <c r="B47" s="225">
        <f>+'Chart III'!B47</f>
        <v>292</v>
      </c>
      <c r="C47" s="225">
        <f>+'Chart III'!C47</f>
        <v>294</v>
      </c>
      <c r="D47" s="225">
        <f>+'Chart III'!D47</f>
        <v>295</v>
      </c>
      <c r="E47" s="225">
        <f>+'Chart III'!E47</f>
        <v>298</v>
      </c>
      <c r="F47" s="225">
        <f>+'Chart III'!F47</f>
        <v>301</v>
      </c>
      <c r="G47" s="225">
        <f>+'Chart III'!G47</f>
        <v>301</v>
      </c>
      <c r="H47" s="225">
        <f>+'Chart III'!H47</f>
        <v>302.5</v>
      </c>
      <c r="I47" s="227">
        <f>+'Chart III'!I47</f>
        <v>306.5</v>
      </c>
      <c r="J47" s="225">
        <f>+'Chart III'!J47</f>
        <v>302.5</v>
      </c>
      <c r="K47" s="225">
        <f>+'Chart III'!K47</f>
        <v>295.5</v>
      </c>
      <c r="L47" s="225">
        <f>+'Chart III'!L47</f>
        <v>295</v>
      </c>
      <c r="M47" s="224">
        <f>+'Chart III'!M47</f>
        <v>295.30169000587858</v>
      </c>
      <c r="N47" s="225">
        <f>+'Chart III'!N47</f>
        <v>295.60368854348479</v>
      </c>
      <c r="O47" s="225">
        <f>+'Chart III'!O47</f>
        <v>295.90599592834724</v>
      </c>
      <c r="P47" s="225">
        <f>+'Chart III'!P47</f>
        <v>296.20861247631717</v>
      </c>
      <c r="Q47" s="225">
        <f>+'Chart III'!Q47</f>
        <v>296.51153850356894</v>
      </c>
      <c r="R47" s="241">
        <f>+'Chart III'!R47</f>
        <v>296.81477432660017</v>
      </c>
      <c r="U47" s="153" t="s">
        <v>63</v>
      </c>
      <c r="V47" s="144">
        <v>305</v>
      </c>
      <c r="W47" s="144">
        <f t="shared" ref="W47:Y48" si="18">G47</f>
        <v>301</v>
      </c>
      <c r="X47" s="144">
        <f t="shared" si="18"/>
        <v>302.5</v>
      </c>
      <c r="Y47" s="149">
        <f t="shared" si="18"/>
        <v>306.5</v>
      </c>
      <c r="Z47" s="144">
        <f t="shared" ref="Z47:AA48" si="19">Q47</f>
        <v>296.51153850356894</v>
      </c>
      <c r="AA47" s="144">
        <f t="shared" si="19"/>
        <v>296.81477432660017</v>
      </c>
    </row>
    <row r="48" spans="1:27">
      <c r="A48" s="240" t="s">
        <v>48</v>
      </c>
      <c r="B48" s="225">
        <f>+'Chart III'!B48</f>
        <v>2920000</v>
      </c>
      <c r="C48" s="225">
        <f>+'Chart III'!C48</f>
        <v>2940000</v>
      </c>
      <c r="D48" s="225">
        <f>+'Chart III'!D48</f>
        <v>2950000</v>
      </c>
      <c r="E48" s="225">
        <f>+'Chart III'!E48</f>
        <v>2205188</v>
      </c>
      <c r="F48" s="225">
        <f>+'Chart III'!F48</f>
        <v>3818865</v>
      </c>
      <c r="G48" s="225">
        <f>+'Chart III'!G48</f>
        <v>3372873</v>
      </c>
      <c r="H48" s="225">
        <f>+'Chart III'!H48</f>
        <v>2825455</v>
      </c>
      <c r="I48" s="225">
        <f>+'Chart III'!I48</f>
        <v>2831501</v>
      </c>
      <c r="J48" s="225">
        <f>+'Chart III'!J48</f>
        <v>2769028</v>
      </c>
      <c r="K48" s="225">
        <f>+'Chart III'!K48</f>
        <v>2745701</v>
      </c>
      <c r="L48" s="225">
        <f>+'Chart III'!L48</f>
        <v>2752416</v>
      </c>
      <c r="M48" s="224">
        <f ca="1">+'Chart III'!M48</f>
        <v>2720084.521746417</v>
      </c>
      <c r="N48" s="225">
        <f ca="1">+'Chart III'!N48</f>
        <v>2688071.7815343305</v>
      </c>
      <c r="O48" s="225">
        <f ca="1">+'Chart III'!O48</f>
        <v>2654070.8537207819</v>
      </c>
      <c r="P48" s="225">
        <f ca="1">+'Chart III'!P48</f>
        <v>2614010.5244777231</v>
      </c>
      <c r="Q48" s="225">
        <f ca="1">+'Chart III'!Q48</f>
        <v>2572397.3381351824</v>
      </c>
      <c r="R48" s="241">
        <f ca="1">+'Chart III'!R48</f>
        <v>2530185.414528877</v>
      </c>
      <c r="U48" s="153" t="s">
        <v>48</v>
      </c>
      <c r="V48" s="144">
        <v>3841944</v>
      </c>
      <c r="W48" s="144">
        <f t="shared" si="18"/>
        <v>3372873</v>
      </c>
      <c r="X48" s="144">
        <f t="shared" si="18"/>
        <v>2825455</v>
      </c>
      <c r="Y48" s="144">
        <f t="shared" si="18"/>
        <v>2831501</v>
      </c>
      <c r="Z48" s="144">
        <f t="shared" ca="1" si="19"/>
        <v>2572397.3381351824</v>
      </c>
      <c r="AA48" s="144">
        <f t="shared" ca="1" si="19"/>
        <v>2530185.414528877</v>
      </c>
    </row>
    <row r="49" spans="1:29">
      <c r="A49" s="240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2"/>
      <c r="N49" s="223"/>
      <c r="O49" s="223"/>
      <c r="P49" s="223"/>
      <c r="Q49" s="223"/>
      <c r="R49" s="238"/>
      <c r="U49" s="153"/>
      <c r="V49" s="151"/>
      <c r="W49" s="144"/>
      <c r="X49" s="144"/>
      <c r="Y49" s="144"/>
      <c r="Z49" s="149"/>
      <c r="AA49" s="144"/>
    </row>
    <row r="50" spans="1:29">
      <c r="A50" s="239" t="s">
        <v>64</v>
      </c>
      <c r="B50" s="225"/>
      <c r="C50" s="225"/>
      <c r="D50" s="225"/>
      <c r="E50" s="225"/>
      <c r="F50" s="223"/>
      <c r="G50" s="225"/>
      <c r="H50" s="225"/>
      <c r="I50" s="225"/>
      <c r="J50" s="225"/>
      <c r="K50" s="225"/>
      <c r="L50" s="225"/>
      <c r="M50" s="224"/>
      <c r="N50" s="225"/>
      <c r="O50" s="225"/>
      <c r="P50" s="225"/>
      <c r="Q50" s="225"/>
      <c r="R50" s="241"/>
      <c r="U50" s="152" t="s">
        <v>64</v>
      </c>
      <c r="V50" s="151"/>
      <c r="W50" s="144"/>
      <c r="X50" s="144"/>
      <c r="Y50" s="144"/>
      <c r="Z50" s="149"/>
      <c r="AA50" s="144"/>
    </row>
    <row r="51" spans="1:29">
      <c r="A51" s="240" t="s">
        <v>51</v>
      </c>
      <c r="B51" s="225">
        <f>B14+B18+B22+B27+B32+B37+B47+B42</f>
        <v>57960.5</v>
      </c>
      <c r="C51" s="225">
        <f t="shared" ref="C51:I51" si="20">C14+C18+C22+C27+C32+C37+C47+C42</f>
        <v>58730.5</v>
      </c>
      <c r="D51" s="225">
        <f t="shared" si="20"/>
        <v>59614.5</v>
      </c>
      <c r="E51" s="225">
        <f t="shared" si="20"/>
        <v>60872.5</v>
      </c>
      <c r="F51" s="225">
        <f t="shared" si="20"/>
        <v>62211</v>
      </c>
      <c r="G51" s="225">
        <f t="shared" si="20"/>
        <v>63344.5</v>
      </c>
      <c r="H51" s="225">
        <f t="shared" si="20"/>
        <v>64128</v>
      </c>
      <c r="I51" s="225">
        <f t="shared" si="20"/>
        <v>64894</v>
      </c>
      <c r="J51" s="225">
        <f t="shared" ref="J51:Q51" si="21">J14+J18+J22+J27+J32+J37+J47+J42</f>
        <v>65524.5</v>
      </c>
      <c r="K51" s="225">
        <f t="shared" si="21"/>
        <v>65927</v>
      </c>
      <c r="L51" s="225">
        <f t="shared" si="21"/>
        <v>66571.5</v>
      </c>
      <c r="M51" s="224">
        <f t="shared" si="21"/>
        <v>67512.040898196501</v>
      </c>
      <c r="N51" s="225">
        <f t="shared" si="21"/>
        <v>69527.294577676308</v>
      </c>
      <c r="O51" s="225">
        <f t="shared" si="21"/>
        <v>71603.187982798801</v>
      </c>
      <c r="P51" s="225">
        <f t="shared" si="21"/>
        <v>73741.051916484168</v>
      </c>
      <c r="Q51" s="225">
        <f t="shared" si="21"/>
        <v>75943.42110575884</v>
      </c>
      <c r="R51" s="241">
        <f>R14+R18+R22+R27+R32+R37+R47+R42</f>
        <v>78211.734268570421</v>
      </c>
      <c r="U51" s="153" t="s">
        <v>51</v>
      </c>
      <c r="V51" s="144">
        <f t="shared" ref="V51" si="22">V14+V18+V22+V27+V32+V37+V47+V42</f>
        <v>63653</v>
      </c>
      <c r="W51" s="144">
        <f t="shared" ref="W51:Y53" si="23">G51</f>
        <v>63344.5</v>
      </c>
      <c r="X51" s="144">
        <f t="shared" si="23"/>
        <v>64128</v>
      </c>
      <c r="Y51" s="144">
        <f t="shared" si="23"/>
        <v>64894</v>
      </c>
      <c r="Z51" s="144">
        <f t="shared" ref="Z51:AA53" si="24">Q51</f>
        <v>75943.42110575884</v>
      </c>
      <c r="AA51" s="144">
        <f t="shared" si="24"/>
        <v>78211.734268570421</v>
      </c>
    </row>
    <row r="52" spans="1:29">
      <c r="A52" s="240" t="s">
        <v>48</v>
      </c>
      <c r="B52" s="225">
        <f>B15+B19+B23+B28+B33+B38+B48+B43</f>
        <v>1136840307.5</v>
      </c>
      <c r="C52" s="225">
        <f t="shared" ref="C52:I52" si="25">C15+C19+C23+C28+C33+C38+C48+C43</f>
        <v>1128300513.0634735</v>
      </c>
      <c r="D52" s="225">
        <f t="shared" si="25"/>
        <v>1125931170</v>
      </c>
      <c r="E52" s="225">
        <f t="shared" si="25"/>
        <v>1109463247</v>
      </c>
      <c r="F52" s="225">
        <f t="shared" si="25"/>
        <v>1143760516</v>
      </c>
      <c r="G52" s="225">
        <f t="shared" si="25"/>
        <v>1117251257</v>
      </c>
      <c r="H52" s="225">
        <f t="shared" si="25"/>
        <v>1082664508</v>
      </c>
      <c r="I52" s="225">
        <f t="shared" si="25"/>
        <v>1090938483</v>
      </c>
      <c r="J52" s="225">
        <f t="shared" ref="J52:R52" si="26">J15+J19+J23+J28+J33+J38+J48+J43</f>
        <v>1110518847</v>
      </c>
      <c r="K52" s="225">
        <f t="shared" si="26"/>
        <v>1073783871</v>
      </c>
      <c r="L52" s="225">
        <f t="shared" si="26"/>
        <v>1078161209</v>
      </c>
      <c r="M52" s="224">
        <f t="shared" ca="1" si="26"/>
        <v>1093217749.2148373</v>
      </c>
      <c r="N52" s="225">
        <f t="shared" ca="1" si="26"/>
        <v>1107580970.3832314</v>
      </c>
      <c r="O52" s="225">
        <f t="shared" ca="1" si="26"/>
        <v>1124788536.5709801</v>
      </c>
      <c r="P52" s="225">
        <f t="shared" ca="1" si="26"/>
        <v>1135912494.3050995</v>
      </c>
      <c r="Q52" s="225">
        <f t="shared" ca="1" si="26"/>
        <v>1149884488.0376174</v>
      </c>
      <c r="R52" s="241">
        <f t="shared" ca="1" si="26"/>
        <v>1163639671.2474432</v>
      </c>
      <c r="U52" s="153" t="s">
        <v>48</v>
      </c>
      <c r="V52" s="144">
        <f t="shared" ref="V52" si="27">V15+V19+V23+V28+V33+V38+V48+V43</f>
        <v>1141200155</v>
      </c>
      <c r="W52" s="144">
        <f t="shared" si="23"/>
        <v>1117251257</v>
      </c>
      <c r="X52" s="144">
        <f t="shared" si="23"/>
        <v>1082664508</v>
      </c>
      <c r="Y52" s="144">
        <f t="shared" si="23"/>
        <v>1090938483</v>
      </c>
      <c r="Z52" s="144">
        <f t="shared" ca="1" si="24"/>
        <v>1149884488.0376174</v>
      </c>
      <c r="AA52" s="144">
        <f t="shared" ca="1" si="24"/>
        <v>1163639671.2474432</v>
      </c>
    </row>
    <row r="53" spans="1:29">
      <c r="A53" s="240" t="s">
        <v>50</v>
      </c>
      <c r="B53" s="225">
        <f t="shared" ref="B53:I53" si="28">B24+B29+B34+B39+B44</f>
        <v>1376310.4427777778</v>
      </c>
      <c r="C53" s="225">
        <f t="shared" si="28"/>
        <v>1359503.3072222222</v>
      </c>
      <c r="D53" s="225">
        <f t="shared" si="28"/>
        <v>1235025.9316666666</v>
      </c>
      <c r="E53" s="225">
        <f t="shared" si="28"/>
        <v>1231537.3194444445</v>
      </c>
      <c r="F53" s="225">
        <f t="shared" si="28"/>
        <v>1262855.0222222223</v>
      </c>
      <c r="G53" s="225">
        <f t="shared" si="28"/>
        <v>1231679.9805555556</v>
      </c>
      <c r="H53" s="225">
        <f t="shared" si="28"/>
        <v>1167952.2</v>
      </c>
      <c r="I53" s="225">
        <f t="shared" si="28"/>
        <v>1165174.4777777777</v>
      </c>
      <c r="J53" s="225">
        <f t="shared" ref="J53:R53" si="29">J24+J29+J34+J39+J44</f>
        <v>1171404</v>
      </c>
      <c r="K53" s="225">
        <f t="shared" si="29"/>
        <v>1146022</v>
      </c>
      <c r="L53" s="225">
        <f t="shared" si="29"/>
        <v>1151235</v>
      </c>
      <c r="M53" s="224">
        <f t="shared" ca="1" si="29"/>
        <v>1168317.2150943705</v>
      </c>
      <c r="N53" s="225">
        <f t="shared" ca="1" si="29"/>
        <v>1193060.6631732266</v>
      </c>
      <c r="O53" s="225">
        <f t="shared" ca="1" si="29"/>
        <v>1222934.1373928364</v>
      </c>
      <c r="P53" s="225">
        <f t="shared" ca="1" si="29"/>
        <v>1251649.1488065664</v>
      </c>
      <c r="Q53" s="225">
        <f t="shared" ca="1" si="29"/>
        <v>1285319.5692610343</v>
      </c>
      <c r="R53" s="241">
        <f t="shared" ca="1" si="29"/>
        <v>1320148.1598380981</v>
      </c>
      <c r="U53" s="158" t="s">
        <v>50</v>
      </c>
      <c r="V53" s="159"/>
      <c r="W53" s="159">
        <f t="shared" si="23"/>
        <v>1231679.9805555556</v>
      </c>
      <c r="X53" s="159">
        <f t="shared" si="23"/>
        <v>1167952.2</v>
      </c>
      <c r="Y53" s="159">
        <f t="shared" si="23"/>
        <v>1165174.4777777777</v>
      </c>
      <c r="Z53" s="159">
        <f t="shared" ca="1" si="24"/>
        <v>1285319.5692610343</v>
      </c>
      <c r="AA53" s="159">
        <f t="shared" ca="1" si="24"/>
        <v>1320148.1598380981</v>
      </c>
    </row>
    <row r="54" spans="1:29">
      <c r="A54" s="240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2"/>
      <c r="N54" s="223"/>
      <c r="O54" s="223"/>
      <c r="P54" s="223"/>
      <c r="Q54" s="223"/>
      <c r="R54" s="238"/>
      <c r="W54" s="134"/>
      <c r="X54" s="134"/>
      <c r="Y54" s="134"/>
      <c r="Z54" s="135"/>
      <c r="AA54" s="134"/>
    </row>
    <row r="55" spans="1:29">
      <c r="A55" s="239" t="s">
        <v>65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2"/>
      <c r="N55" s="223"/>
      <c r="O55" s="223"/>
      <c r="P55" s="223"/>
      <c r="Q55" s="223"/>
      <c r="R55" s="238"/>
      <c r="U55" s="139" t="s">
        <v>65</v>
      </c>
      <c r="V55" s="136"/>
      <c r="W55" s="138"/>
      <c r="X55" s="138"/>
      <c r="Y55" s="138"/>
      <c r="Z55" s="138"/>
      <c r="AA55" s="138"/>
      <c r="AB55" s="140"/>
      <c r="AC55" s="140"/>
    </row>
    <row r="56" spans="1:29">
      <c r="A56" s="240" t="s">
        <v>51</v>
      </c>
      <c r="B56" s="225">
        <f>+'Chart III'!B56</f>
        <v>57960.5</v>
      </c>
      <c r="C56" s="225">
        <f>+'Chart III'!C56</f>
        <v>58730.5</v>
      </c>
      <c r="D56" s="225">
        <f>+'Chart III'!D56</f>
        <v>59614.5</v>
      </c>
      <c r="E56" s="225">
        <f>+'Chart III'!E56</f>
        <v>60872.5</v>
      </c>
      <c r="F56" s="225">
        <f>+'Chart III'!F56</f>
        <v>62211</v>
      </c>
      <c r="G56" s="225">
        <f>+'Chart III'!G56</f>
        <v>63344.5</v>
      </c>
      <c r="H56" s="225">
        <f>+'Chart III'!H56</f>
        <v>64128</v>
      </c>
      <c r="I56" s="225">
        <f>+'Chart III'!I56</f>
        <v>64894</v>
      </c>
      <c r="J56" s="225">
        <f>+'Chart III'!J56</f>
        <v>65524.5</v>
      </c>
      <c r="K56" s="225">
        <f>+'Chart III'!K56</f>
        <v>65927</v>
      </c>
      <c r="L56" s="225">
        <f>+'Chart III'!L56</f>
        <v>66571.5</v>
      </c>
      <c r="M56" s="224">
        <f>+'Chart III'!M56</f>
        <v>67512.040898196501</v>
      </c>
      <c r="N56" s="225">
        <f>+'Chart III'!N56</f>
        <v>69527.294577676308</v>
      </c>
      <c r="O56" s="225">
        <f>+'Chart III'!O56</f>
        <v>71603.187982798801</v>
      </c>
      <c r="P56" s="225">
        <f>+'Chart III'!P56</f>
        <v>73741.051916484168</v>
      </c>
      <c r="Q56" s="225">
        <f>+'Chart III'!Q56</f>
        <v>75943.42110575884</v>
      </c>
      <c r="R56" s="241">
        <f>+'Chart III'!R56</f>
        <v>78211.734268570421</v>
      </c>
      <c r="U56" s="140" t="s">
        <v>51</v>
      </c>
      <c r="V56" s="138" t="e">
        <f>'Rate Class Customer Model'!#REF!</f>
        <v>#REF!</v>
      </c>
      <c r="W56" s="138">
        <f t="shared" ref="W56:Y58" si="30">G56</f>
        <v>63344.5</v>
      </c>
      <c r="X56" s="138">
        <f t="shared" si="30"/>
        <v>64128</v>
      </c>
      <c r="Y56" s="138">
        <f t="shared" si="30"/>
        <v>64894</v>
      </c>
      <c r="Z56" s="138">
        <f t="shared" ref="Z56:AA58" si="31">Q56</f>
        <v>75943.42110575884</v>
      </c>
      <c r="AA56" s="138">
        <f t="shared" si="31"/>
        <v>78211.734268570421</v>
      </c>
      <c r="AB56" s="140"/>
      <c r="AC56" s="140"/>
    </row>
    <row r="57" spans="1:29">
      <c r="A57" s="240" t="s">
        <v>48</v>
      </c>
      <c r="B57" s="225">
        <f>+'Chart III'!B57</f>
        <v>1136840307.5</v>
      </c>
      <c r="C57" s="225">
        <f>+'Chart III'!C57</f>
        <v>1128300513.0634735</v>
      </c>
      <c r="D57" s="225">
        <f>+'Chart III'!D57</f>
        <v>1125931170</v>
      </c>
      <c r="E57" s="225">
        <f>+'Chart III'!E57</f>
        <v>1109463247</v>
      </c>
      <c r="F57" s="225">
        <f>+'Chart III'!F57</f>
        <v>1143760516</v>
      </c>
      <c r="G57" s="225">
        <f>+'Chart III'!G57</f>
        <v>1117251257</v>
      </c>
      <c r="H57" s="225">
        <f>+'Chart III'!H57</f>
        <v>1082664508</v>
      </c>
      <c r="I57" s="225">
        <f>+'Chart III'!I57</f>
        <v>1090938483</v>
      </c>
      <c r="J57" s="225">
        <f>+'Chart III'!J57</f>
        <v>1110518847</v>
      </c>
      <c r="K57" s="225">
        <f>+'Chart III'!K57</f>
        <v>1073783871</v>
      </c>
      <c r="L57" s="225">
        <f>+'Chart III'!L57</f>
        <v>1078161209</v>
      </c>
      <c r="M57" s="224">
        <f ca="1">+'Chart III'!M57</f>
        <v>1093217749.2148373</v>
      </c>
      <c r="N57" s="225">
        <f ca="1">+'Chart III'!N57</f>
        <v>1107580970.3832314</v>
      </c>
      <c r="O57" s="225">
        <f ca="1">+'Chart III'!O57</f>
        <v>1124788536.5709801</v>
      </c>
      <c r="P57" s="225">
        <f ca="1">+'Chart III'!P57</f>
        <v>1135912494.3050995</v>
      </c>
      <c r="Q57" s="225">
        <f ca="1">+'Chart III'!Q57</f>
        <v>1149884488.0376174</v>
      </c>
      <c r="R57" s="241">
        <f ca="1">+'Chart III'!R57</f>
        <v>1163639671.2474432</v>
      </c>
      <c r="U57" s="140" t="s">
        <v>48</v>
      </c>
      <c r="V57" s="138">
        <f>'Rate Class Energy Model'!U11</f>
        <v>0</v>
      </c>
      <c r="W57" s="138">
        <f t="shared" si="30"/>
        <v>1117251257</v>
      </c>
      <c r="X57" s="138">
        <f t="shared" si="30"/>
        <v>1082664508</v>
      </c>
      <c r="Y57" s="138">
        <f t="shared" si="30"/>
        <v>1090938483</v>
      </c>
      <c r="Z57" s="138">
        <f t="shared" ca="1" si="31"/>
        <v>1149884488.0376174</v>
      </c>
      <c r="AA57" s="138">
        <f t="shared" ca="1" si="31"/>
        <v>1163639671.2474432</v>
      </c>
      <c r="AB57" s="140"/>
      <c r="AC57" s="140"/>
    </row>
    <row r="58" spans="1:29">
      <c r="A58" s="240" t="s">
        <v>50</v>
      </c>
      <c r="B58" s="225">
        <f>+'Chart III'!B58</f>
        <v>1376310.4427777778</v>
      </c>
      <c r="C58" s="225">
        <f>+'Chart III'!C58</f>
        <v>1359503.3072222222</v>
      </c>
      <c r="D58" s="225">
        <f>+'Chart III'!D58</f>
        <v>1235025.9316666666</v>
      </c>
      <c r="E58" s="225">
        <f>+'Chart III'!E58</f>
        <v>1231537.3194444445</v>
      </c>
      <c r="F58" s="225">
        <f>+'Chart III'!F58</f>
        <v>1262855.0222222223</v>
      </c>
      <c r="G58" s="225">
        <f>+'Chart III'!G58</f>
        <v>1231679.9805555556</v>
      </c>
      <c r="H58" s="225">
        <f>+'Chart III'!H58</f>
        <v>1167952.2</v>
      </c>
      <c r="I58" s="227">
        <f>+'Chart III'!I58</f>
        <v>1165174.4777777777</v>
      </c>
      <c r="J58" s="227">
        <f>+'Chart III'!J58</f>
        <v>1171404</v>
      </c>
      <c r="K58" s="227">
        <f>+'Chart III'!K58</f>
        <v>1146022</v>
      </c>
      <c r="L58" s="227">
        <f>+'Chart III'!L58</f>
        <v>1151235</v>
      </c>
      <c r="M58" s="226">
        <f ca="1">+'Chart III'!M58</f>
        <v>1168317.2150943705</v>
      </c>
      <c r="N58" s="227">
        <f ca="1">+'Chart III'!N58</f>
        <v>1193060.6631732266</v>
      </c>
      <c r="O58" s="227">
        <f ca="1">+'Chart III'!O58</f>
        <v>1222934.1373928364</v>
      </c>
      <c r="P58" s="227">
        <f ca="1">+'Chart III'!P58</f>
        <v>1251649.1488065664</v>
      </c>
      <c r="Q58" s="227">
        <f ca="1">+'Chart III'!Q58</f>
        <v>1285319.5692610343</v>
      </c>
      <c r="R58" s="243">
        <f ca="1">+'Chart III'!R58</f>
        <v>1320148.1598380981</v>
      </c>
      <c r="U58" s="140" t="s">
        <v>50</v>
      </c>
      <c r="V58" s="138">
        <f>'Rate Class Load Model'!U6</f>
        <v>0</v>
      </c>
      <c r="W58" s="138">
        <f t="shared" si="30"/>
        <v>1231679.9805555556</v>
      </c>
      <c r="X58" s="138">
        <f t="shared" si="30"/>
        <v>1167952.2</v>
      </c>
      <c r="Y58" s="138">
        <f t="shared" si="30"/>
        <v>1165174.4777777777</v>
      </c>
      <c r="Z58" s="138">
        <f t="shared" ca="1" si="31"/>
        <v>1285319.5692610343</v>
      </c>
      <c r="AA58" s="138">
        <f t="shared" ca="1" si="31"/>
        <v>1320148.1598380981</v>
      </c>
      <c r="AB58" s="140"/>
      <c r="AC58" s="140"/>
    </row>
    <row r="59" spans="1:29">
      <c r="A59" s="240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2"/>
      <c r="N59" s="223"/>
      <c r="O59" s="223"/>
      <c r="P59" s="223"/>
      <c r="Q59" s="223"/>
      <c r="R59" s="238"/>
      <c r="U59" s="140"/>
      <c r="V59" s="136"/>
      <c r="W59" s="136"/>
      <c r="X59" s="136"/>
      <c r="Y59" s="136"/>
      <c r="Z59" s="136"/>
      <c r="AA59" s="136"/>
      <c r="AB59" s="140"/>
      <c r="AC59" s="140"/>
    </row>
    <row r="60" spans="1:29">
      <c r="A60" s="239" t="s">
        <v>66</v>
      </c>
      <c r="B60" s="225"/>
      <c r="C60" s="225"/>
      <c r="D60" s="225"/>
      <c r="E60" s="225"/>
      <c r="F60" s="225"/>
      <c r="G60" s="225"/>
      <c r="H60" s="225"/>
      <c r="I60" s="223"/>
      <c r="J60" s="223"/>
      <c r="K60" s="223"/>
      <c r="L60" s="223"/>
      <c r="M60" s="222"/>
      <c r="N60" s="223"/>
      <c r="O60" s="223"/>
      <c r="P60" s="223"/>
      <c r="Q60" s="223"/>
      <c r="R60" s="238"/>
      <c r="U60" s="139" t="s">
        <v>66</v>
      </c>
      <c r="V60" s="138"/>
      <c r="W60" s="138"/>
      <c r="X60" s="138"/>
      <c r="Y60" s="136"/>
      <c r="Z60" s="136"/>
      <c r="AA60" s="136"/>
      <c r="AB60" s="140"/>
      <c r="AC60" s="140"/>
    </row>
    <row r="61" spans="1:29">
      <c r="A61" s="240" t="s">
        <v>51</v>
      </c>
      <c r="B61" s="225">
        <f>B51-B56</f>
        <v>0</v>
      </c>
      <c r="C61" s="225">
        <f t="shared" ref="C61:I61" si="32">C51-C56</f>
        <v>0</v>
      </c>
      <c r="D61" s="225">
        <f t="shared" si="32"/>
        <v>0</v>
      </c>
      <c r="E61" s="225">
        <f t="shared" si="32"/>
        <v>0</v>
      </c>
      <c r="F61" s="225">
        <f t="shared" si="32"/>
        <v>0</v>
      </c>
      <c r="G61" s="225">
        <f t="shared" si="32"/>
        <v>0</v>
      </c>
      <c r="H61" s="225">
        <f t="shared" si="32"/>
        <v>0</v>
      </c>
      <c r="I61" s="225">
        <f t="shared" si="32"/>
        <v>0</v>
      </c>
      <c r="J61" s="225">
        <f t="shared" ref="J61:R61" si="33">J51-J56</f>
        <v>0</v>
      </c>
      <c r="K61" s="225">
        <f t="shared" si="33"/>
        <v>0</v>
      </c>
      <c r="L61" s="225">
        <f t="shared" si="33"/>
        <v>0</v>
      </c>
      <c r="M61" s="224">
        <f t="shared" si="33"/>
        <v>0</v>
      </c>
      <c r="N61" s="225">
        <f t="shared" si="33"/>
        <v>0</v>
      </c>
      <c r="O61" s="225">
        <f t="shared" si="33"/>
        <v>0</v>
      </c>
      <c r="P61" s="225">
        <f t="shared" si="33"/>
        <v>0</v>
      </c>
      <c r="Q61" s="225">
        <f t="shared" si="33"/>
        <v>0</v>
      </c>
      <c r="R61" s="241">
        <f t="shared" si="33"/>
        <v>0</v>
      </c>
      <c r="U61" s="140" t="s">
        <v>51</v>
      </c>
      <c r="V61" s="138" t="e">
        <f t="shared" ref="V61:AA61" si="34">V51-V56</f>
        <v>#REF!</v>
      </c>
      <c r="W61" s="138">
        <f t="shared" si="34"/>
        <v>0</v>
      </c>
      <c r="X61" s="138">
        <f t="shared" si="34"/>
        <v>0</v>
      </c>
      <c r="Y61" s="138">
        <f t="shared" si="34"/>
        <v>0</v>
      </c>
      <c r="Z61" s="138">
        <f t="shared" si="34"/>
        <v>0</v>
      </c>
      <c r="AA61" s="138">
        <f t="shared" si="34"/>
        <v>0</v>
      </c>
      <c r="AB61" s="140"/>
      <c r="AC61" s="140"/>
    </row>
    <row r="62" spans="1:29">
      <c r="A62" s="240" t="s">
        <v>48</v>
      </c>
      <c r="B62" s="225">
        <f t="shared" ref="B62:I63" si="35">B52-B57</f>
        <v>0</v>
      </c>
      <c r="C62" s="225">
        <f t="shared" si="35"/>
        <v>0</v>
      </c>
      <c r="D62" s="225">
        <f t="shared" si="35"/>
        <v>0</v>
      </c>
      <c r="E62" s="225">
        <f t="shared" si="35"/>
        <v>0</v>
      </c>
      <c r="F62" s="225">
        <f t="shared" si="35"/>
        <v>0</v>
      </c>
      <c r="G62" s="225">
        <f t="shared" si="35"/>
        <v>0</v>
      </c>
      <c r="H62" s="225">
        <f t="shared" si="35"/>
        <v>0</v>
      </c>
      <c r="I62" s="225">
        <f t="shared" si="35"/>
        <v>0</v>
      </c>
      <c r="J62" s="225">
        <f t="shared" ref="J62:R62" si="36">J52-J57</f>
        <v>0</v>
      </c>
      <c r="K62" s="225">
        <f t="shared" si="36"/>
        <v>0</v>
      </c>
      <c r="L62" s="225">
        <f t="shared" si="36"/>
        <v>0</v>
      </c>
      <c r="M62" s="224">
        <f t="shared" ca="1" si="36"/>
        <v>0</v>
      </c>
      <c r="N62" s="225">
        <f t="shared" ca="1" si="36"/>
        <v>0</v>
      </c>
      <c r="O62" s="225">
        <f t="shared" ca="1" si="36"/>
        <v>0</v>
      </c>
      <c r="P62" s="225">
        <f t="shared" ca="1" si="36"/>
        <v>0</v>
      </c>
      <c r="Q62" s="225">
        <f t="shared" ca="1" si="36"/>
        <v>0</v>
      </c>
      <c r="R62" s="241">
        <f t="shared" ca="1" si="36"/>
        <v>0</v>
      </c>
      <c r="U62" s="140" t="s">
        <v>48</v>
      </c>
      <c r="V62" s="138">
        <f t="shared" ref="V62:AA62" si="37">V52-V57</f>
        <v>1141200155</v>
      </c>
      <c r="W62" s="138">
        <f t="shared" si="37"/>
        <v>0</v>
      </c>
      <c r="X62" s="138">
        <f t="shared" si="37"/>
        <v>0</v>
      </c>
      <c r="Y62" s="138">
        <f t="shared" si="37"/>
        <v>0</v>
      </c>
      <c r="Z62" s="138">
        <f t="shared" ca="1" si="37"/>
        <v>0</v>
      </c>
      <c r="AA62" s="138">
        <f t="shared" ca="1" si="37"/>
        <v>0</v>
      </c>
      <c r="AB62" s="140"/>
      <c r="AC62" s="140"/>
    </row>
    <row r="63" spans="1:29" ht="13.8" thickBot="1">
      <c r="A63" s="245" t="s">
        <v>50</v>
      </c>
      <c r="B63" s="246">
        <f t="shared" si="35"/>
        <v>0</v>
      </c>
      <c r="C63" s="246">
        <f t="shared" si="35"/>
        <v>0</v>
      </c>
      <c r="D63" s="246">
        <f t="shared" si="35"/>
        <v>0</v>
      </c>
      <c r="E63" s="246">
        <f t="shared" si="35"/>
        <v>0</v>
      </c>
      <c r="F63" s="246">
        <f t="shared" si="35"/>
        <v>0</v>
      </c>
      <c r="G63" s="246">
        <f t="shared" si="35"/>
        <v>0</v>
      </c>
      <c r="H63" s="246">
        <f t="shared" si="35"/>
        <v>0</v>
      </c>
      <c r="I63" s="246">
        <f t="shared" si="35"/>
        <v>0</v>
      </c>
      <c r="J63" s="246">
        <f t="shared" ref="J63:R63" si="38">J53-J58</f>
        <v>0</v>
      </c>
      <c r="K63" s="246">
        <f t="shared" si="38"/>
        <v>0</v>
      </c>
      <c r="L63" s="246">
        <f t="shared" si="38"/>
        <v>0</v>
      </c>
      <c r="M63" s="247">
        <f t="shared" ca="1" si="38"/>
        <v>0</v>
      </c>
      <c r="N63" s="246">
        <f t="shared" ca="1" si="38"/>
        <v>0</v>
      </c>
      <c r="O63" s="246">
        <f t="shared" ca="1" si="38"/>
        <v>0</v>
      </c>
      <c r="P63" s="246">
        <f t="shared" ca="1" si="38"/>
        <v>0</v>
      </c>
      <c r="Q63" s="246">
        <f t="shared" ca="1" si="38"/>
        <v>0</v>
      </c>
      <c r="R63" s="248">
        <f t="shared" ca="1" si="38"/>
        <v>0</v>
      </c>
      <c r="U63" s="140" t="s">
        <v>50</v>
      </c>
      <c r="V63" s="138">
        <f t="shared" ref="V63:AA63" si="39">V53-V58</f>
        <v>0</v>
      </c>
      <c r="W63" s="138">
        <f t="shared" si="39"/>
        <v>0</v>
      </c>
      <c r="X63" s="138">
        <f t="shared" si="39"/>
        <v>0</v>
      </c>
      <c r="Y63" s="138">
        <f t="shared" si="39"/>
        <v>0</v>
      </c>
      <c r="Z63" s="138">
        <f t="shared" ca="1" si="39"/>
        <v>0</v>
      </c>
      <c r="AA63" s="138">
        <f t="shared" ca="1" si="39"/>
        <v>0</v>
      </c>
      <c r="AB63" s="140"/>
      <c r="AC63" s="140"/>
    </row>
    <row r="64" spans="1:29">
      <c r="U64" s="140"/>
      <c r="V64" s="136"/>
      <c r="W64" s="136"/>
      <c r="X64" s="136"/>
      <c r="Y64" s="136"/>
      <c r="Z64" s="136"/>
      <c r="AA64" s="136"/>
      <c r="AB64" s="140"/>
      <c r="AC64" s="140"/>
    </row>
    <row r="65" spans="9:29">
      <c r="U65" s="140"/>
      <c r="V65" s="136"/>
      <c r="W65" s="136"/>
      <c r="X65" s="136"/>
      <c r="Y65" s="136"/>
      <c r="Z65" s="136"/>
      <c r="AA65" s="136"/>
      <c r="AB65" s="140"/>
      <c r="AC65" s="140"/>
    </row>
    <row r="67" spans="9:29">
      <c r="I67" s="106" t="s">
        <v>105</v>
      </c>
      <c r="J67" s="106"/>
      <c r="K67" s="106"/>
      <c r="L67" s="106"/>
      <c r="M67" s="106"/>
      <c r="N67" s="106"/>
      <c r="O67" s="106"/>
      <c r="P67" s="106"/>
      <c r="Q67" s="104">
        <f ca="1">(Q57-I57)/I57</f>
        <v>5.4032382170184606E-2</v>
      </c>
      <c r="R67" s="104">
        <f ca="1">(R57-Q57)/Q57</f>
        <v>1.1962230426553738E-2</v>
      </c>
      <c r="Y67" s="136" t="s">
        <v>105</v>
      </c>
      <c r="Z67" s="137">
        <f ca="1">(Z57-Y57)/Y57</f>
        <v>5.4032382170184606E-2</v>
      </c>
      <c r="AA67" s="137">
        <f ca="1">(AA57-Z57)/Z57</f>
        <v>1.1962230426553738E-2</v>
      </c>
    </row>
    <row r="68" spans="9:29">
      <c r="I68" s="105" t="s">
        <v>106</v>
      </c>
      <c r="J68" s="105"/>
      <c r="K68" s="105"/>
      <c r="L68" s="105"/>
      <c r="M68" s="105"/>
      <c r="N68" s="105"/>
      <c r="O68" s="105"/>
      <c r="P68" s="105"/>
      <c r="Q68" s="104">
        <f ca="1">(Q58-I58)/I58</f>
        <v>0.10311339097677236</v>
      </c>
      <c r="R68" s="104">
        <f ca="1">(R58-Q58)/Q58</f>
        <v>2.7097222675204244E-2</v>
      </c>
      <c r="Y68" s="138" t="s">
        <v>106</v>
      </c>
      <c r="Z68" s="137">
        <f ca="1">(Z58-Y58)/Y58</f>
        <v>0.10311339097677236</v>
      </c>
      <c r="AA68" s="137">
        <f ca="1">(AA58-Z58)/Z58</f>
        <v>2.7097222675204244E-2</v>
      </c>
    </row>
  </sheetData>
  <mergeCells count="2">
    <mergeCell ref="B3:L3"/>
    <mergeCell ref="M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5</vt:i4>
      </vt:variant>
    </vt:vector>
  </HeadingPairs>
  <TitlesOfParts>
    <vt:vector size="29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_</cp:lastModifiedBy>
  <cp:lastPrinted>2014-10-22T13:59:49Z</cp:lastPrinted>
  <dcterms:created xsi:type="dcterms:W3CDTF">2008-02-06T18:24:44Z</dcterms:created>
  <dcterms:modified xsi:type="dcterms:W3CDTF">2015-01-29T15:19:42Z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