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228" windowWidth="20112" windowHeight="8388" activeTab="2"/>
  </bookViews>
  <sheets>
    <sheet name="2011" sheetId="1" r:id="rId1"/>
    <sheet name="2012" sheetId="2" r:id="rId2"/>
    <sheet name="2013" sheetId="3" r:id="rId3"/>
  </sheets>
  <definedNames>
    <definedName name="_xlnm.Print_Area" localSheetId="0">'2011'!$H$1:$O$42,'2011'!$H$52:$O$99</definedName>
    <definedName name="_xlnm.Print_Area" localSheetId="1">'2012'!$H$1:$O$41,'2012'!$H$60:$O$107</definedName>
    <definedName name="_xlnm.Print_Area" localSheetId="2">'2013'!$H$1:$O$43,'2013'!$H$57:$O$104</definedName>
  </definedNames>
  <calcPr calcId="152511" iterate="1"/>
</workbook>
</file>

<file path=xl/calcChain.xml><?xml version="1.0" encoding="utf-8"?>
<calcChain xmlns="http://schemas.openxmlformats.org/spreadsheetml/2006/main">
  <c r="K84" i="1"/>
  <c r="M84"/>
  <c r="M92" i="2"/>
  <c r="K92"/>
  <c r="O92" s="1"/>
  <c r="K89" i="3"/>
  <c r="O89" s="1"/>
  <c r="M89"/>
  <c r="O84" i="1" l="1"/>
  <c r="K12"/>
  <c r="K9"/>
  <c r="M9"/>
  <c r="K22"/>
  <c r="K23"/>
  <c r="M12"/>
  <c r="M23"/>
  <c r="M12" i="2"/>
  <c r="K23"/>
  <c r="K12" i="3"/>
  <c r="K27" i="1"/>
  <c r="M23" i="2" l="1"/>
  <c r="M27" i="1"/>
  <c r="M25"/>
  <c r="M14"/>
  <c r="M11"/>
  <c r="M10"/>
  <c r="K78"/>
  <c r="M61"/>
  <c r="M89" l="1"/>
  <c r="O89" s="1"/>
  <c r="M88"/>
  <c r="O88" s="1"/>
  <c r="M87"/>
  <c r="O87" s="1"/>
  <c r="M85"/>
  <c r="O85" s="1"/>
  <c r="M83"/>
  <c r="O83" s="1"/>
  <c r="M82"/>
  <c r="M78"/>
  <c r="M72"/>
  <c r="O72" s="1"/>
  <c r="O66"/>
  <c r="M64"/>
  <c r="J29"/>
  <c r="O27"/>
  <c r="O25"/>
  <c r="O24"/>
  <c r="O23"/>
  <c r="M16"/>
  <c r="J14"/>
  <c r="J16" s="1"/>
  <c r="J32" s="1"/>
  <c r="O12"/>
  <c r="K31"/>
  <c r="O11"/>
  <c r="O10"/>
  <c r="O9"/>
  <c r="O86"/>
  <c r="O82"/>
  <c r="K92"/>
  <c r="J78"/>
  <c r="O71"/>
  <c r="J64"/>
  <c r="O64" s="1"/>
  <c r="J61"/>
  <c r="K22" i="2"/>
  <c r="K9"/>
  <c r="M9"/>
  <c r="K12"/>
  <c r="K27"/>
  <c r="M68" i="1" l="1"/>
  <c r="M80" s="1"/>
  <c r="M92" s="1"/>
  <c r="O61"/>
  <c r="O14"/>
  <c r="O16" s="1"/>
  <c r="O68"/>
  <c r="J68"/>
  <c r="O78"/>
  <c r="O23" i="2"/>
  <c r="M22"/>
  <c r="M27"/>
  <c r="M25"/>
  <c r="M11"/>
  <c r="M14"/>
  <c r="M10"/>
  <c r="K9" i="3"/>
  <c r="K22"/>
  <c r="K86" i="2"/>
  <c r="J80" i="1" l="1"/>
  <c r="J92" s="1"/>
  <c r="O80"/>
  <c r="O92" s="1"/>
  <c r="M93" i="2" l="1"/>
  <c r="M96"/>
  <c r="M95"/>
  <c r="M91"/>
  <c r="M90" i="3"/>
  <c r="M88"/>
  <c r="M87"/>
  <c r="M90" i="2"/>
  <c r="M86"/>
  <c r="M80"/>
  <c r="M72"/>
  <c r="M69"/>
  <c r="J86"/>
  <c r="O96" l="1"/>
  <c r="O95"/>
  <c r="O94"/>
  <c r="O93"/>
  <c r="O91"/>
  <c r="O90"/>
  <c r="O79"/>
  <c r="O74"/>
  <c r="J72"/>
  <c r="M76"/>
  <c r="M88" s="1"/>
  <c r="M100" s="1"/>
  <c r="J69"/>
  <c r="J29"/>
  <c r="O27"/>
  <c r="O25"/>
  <c r="O24"/>
  <c r="O22"/>
  <c r="J14"/>
  <c r="O14" s="1"/>
  <c r="O12"/>
  <c r="K31"/>
  <c r="O11"/>
  <c r="O10"/>
  <c r="M16"/>
  <c r="O86" l="1"/>
  <c r="J76"/>
  <c r="J88" s="1"/>
  <c r="J100" s="1"/>
  <c r="O72"/>
  <c r="O69"/>
  <c r="O80"/>
  <c r="K100"/>
  <c r="O29"/>
  <c r="J16"/>
  <c r="J32" s="1"/>
  <c r="M29"/>
  <c r="M32" s="1"/>
  <c r="O9"/>
  <c r="O16" s="1"/>
  <c r="O76" l="1"/>
  <c r="O88" s="1"/>
  <c r="O100" s="1"/>
  <c r="M12" i="3" l="1"/>
  <c r="K27"/>
  <c r="K23"/>
  <c r="M23"/>
  <c r="O12"/>
  <c r="M9"/>
  <c r="M11"/>
  <c r="M22"/>
  <c r="O22" s="1"/>
  <c r="M27"/>
  <c r="M25"/>
  <c r="O25" s="1"/>
  <c r="O24"/>
  <c r="J29"/>
  <c r="M14"/>
  <c r="M10"/>
  <c r="O10" s="1"/>
  <c r="J14"/>
  <c r="J16" s="1"/>
  <c r="J32" s="1"/>
  <c r="M29" l="1"/>
  <c r="O27"/>
  <c r="O23"/>
  <c r="O29" s="1"/>
  <c r="K31"/>
  <c r="O9"/>
  <c r="O11"/>
  <c r="O14"/>
  <c r="M16"/>
  <c r="M32" l="1"/>
  <c r="O16"/>
  <c r="K88" l="1"/>
  <c r="M93"/>
  <c r="O93" s="1"/>
  <c r="K83"/>
  <c r="O76"/>
  <c r="M77"/>
  <c r="O77" s="1"/>
  <c r="M92"/>
  <c r="K92"/>
  <c r="O91"/>
  <c r="K69"/>
  <c r="O90"/>
  <c r="O87"/>
  <c r="J83"/>
  <c r="J69"/>
  <c r="M66"/>
  <c r="J66"/>
  <c r="B75"/>
  <c r="M69" s="1"/>
  <c r="O69" l="1"/>
  <c r="K97"/>
  <c r="O88"/>
  <c r="J73"/>
  <c r="J85" s="1"/>
  <c r="J97" s="1"/>
  <c r="O92"/>
  <c r="M73"/>
  <c r="O71"/>
  <c r="O66"/>
  <c r="O73" l="1"/>
  <c r="F85" l="1"/>
  <c r="C87"/>
  <c r="F86"/>
  <c r="F70"/>
  <c r="F71"/>
  <c r="F72"/>
  <c r="F73"/>
  <c r="F74"/>
  <c r="F79"/>
  <c r="F80"/>
  <c r="F84"/>
  <c r="F87" l="1"/>
  <c r="B81" l="1"/>
  <c r="F83"/>
  <c r="F90"/>
  <c r="F64"/>
  <c r="F65"/>
  <c r="F81" l="1"/>
  <c r="M83"/>
  <c r="M85" s="1"/>
  <c r="M97" s="1"/>
  <c r="B76"/>
  <c r="F75"/>
  <c r="D66"/>
  <c r="F66" s="1"/>
  <c r="O83" l="1"/>
  <c r="O85" s="1"/>
  <c r="O97" s="1"/>
  <c r="B82"/>
  <c r="D76"/>
  <c r="F76" s="1"/>
  <c r="D82" l="1"/>
  <c r="F82" s="1"/>
  <c r="B88"/>
  <c r="B91" s="1"/>
  <c r="D88" l="1"/>
  <c r="D91" s="1"/>
  <c r="F91" s="1"/>
  <c r="F88" l="1"/>
  <c r="B18" i="1" l="1"/>
  <c r="B24"/>
  <c r="B33"/>
  <c r="M22" s="1"/>
  <c r="O22" l="1"/>
  <c r="O29" s="1"/>
  <c r="M29"/>
  <c r="M32" s="1"/>
  <c r="B25"/>
</calcChain>
</file>

<file path=xl/sharedStrings.xml><?xml version="1.0" encoding="utf-8"?>
<sst xmlns="http://schemas.openxmlformats.org/spreadsheetml/2006/main" count="570" uniqueCount="222">
  <si>
    <t>Balance Sheet</t>
  </si>
  <si>
    <t>Variance</t>
  </si>
  <si>
    <t>ASSETS</t>
  </si>
  <si>
    <t>Current</t>
  </si>
  <si>
    <t>Payments in lieu of corporate income taxes</t>
  </si>
  <si>
    <t>Unbilled revenue</t>
  </si>
  <si>
    <t>Inventory</t>
  </si>
  <si>
    <t xml:space="preserve">Prepaid expenses and other </t>
  </si>
  <si>
    <t>Total current assets</t>
  </si>
  <si>
    <t>Other assets</t>
  </si>
  <si>
    <t>Total non-current assets</t>
  </si>
  <si>
    <t>Total assets</t>
  </si>
  <si>
    <t>LIABILITIES AND SHAREHOLDER'S EQUITY</t>
  </si>
  <si>
    <t>Accounts payable and accrued liabilities</t>
  </si>
  <si>
    <t xml:space="preserve">Customer advance payments </t>
  </si>
  <si>
    <t>Total current liabilities</t>
  </si>
  <si>
    <t>Customer advance deposits</t>
  </si>
  <si>
    <t>Total non-current liabilities</t>
  </si>
  <si>
    <t>Total liabilities</t>
  </si>
  <si>
    <t>Shareholder's equity</t>
  </si>
  <si>
    <t xml:space="preserve">Retained earnings </t>
  </si>
  <si>
    <t>Accumulated other comprehensive loss</t>
  </si>
  <si>
    <t>Total shareholder's equity</t>
  </si>
  <si>
    <t>Total liabilities and shareholder's equity</t>
  </si>
  <si>
    <t>Income Statement</t>
  </si>
  <si>
    <t>REVENUE</t>
  </si>
  <si>
    <t>Sale of electrical energy</t>
  </si>
  <si>
    <t xml:space="preserve">Cost of electrical energy </t>
  </si>
  <si>
    <t>Net revenue from sale of electrical energy</t>
  </si>
  <si>
    <t>Other revenue</t>
  </si>
  <si>
    <t>Regulated service</t>
  </si>
  <si>
    <t>Service</t>
  </si>
  <si>
    <t>Other</t>
  </si>
  <si>
    <t>Total other revenue</t>
  </si>
  <si>
    <t>Net revenue</t>
  </si>
  <si>
    <t>EXPENSES</t>
  </si>
  <si>
    <t xml:space="preserve">Operations, maintenance and administrative </t>
  </si>
  <si>
    <t>Allocated to property, plant and equipment and billable jobs</t>
  </si>
  <si>
    <t>Net operations, maintenance and administrative expenses</t>
  </si>
  <si>
    <t>Income before the following:</t>
  </si>
  <si>
    <t>Depreciation and amortization - property, plant and equipment</t>
  </si>
  <si>
    <t>Depreciation and amortization - deferred IRU leases</t>
  </si>
  <si>
    <t>Gain on disposal of property, plant and equipment</t>
  </si>
  <si>
    <t>Interest income</t>
  </si>
  <si>
    <t>Income before payments in lieu of corporate income taxes</t>
  </si>
  <si>
    <t>Provision for payments in lieu of corporate income</t>
  </si>
  <si>
    <t>Net income for the year</t>
  </si>
  <si>
    <t>Oshawa PUC Networks Inc.</t>
  </si>
  <si>
    <t>As at December 31, 2011</t>
  </si>
  <si>
    <t>Audited 2011</t>
  </si>
  <si>
    <t>($,000s)</t>
  </si>
  <si>
    <t>Adjustments</t>
  </si>
  <si>
    <t>RRR Filing</t>
  </si>
  <si>
    <t>For the year ended December 31, 2011</t>
  </si>
  <si>
    <t xml:space="preserve">Cash </t>
  </si>
  <si>
    <t>Government of Canada Treasury bill</t>
  </si>
  <si>
    <t>Accounts receivable</t>
  </si>
  <si>
    <t xml:space="preserve">Due from affiliate </t>
  </si>
  <si>
    <t>Property, plant and equipment</t>
  </si>
  <si>
    <t xml:space="preserve">Deferred IRU leases </t>
  </si>
  <si>
    <t xml:space="preserve">Future income tax assets </t>
  </si>
  <si>
    <t xml:space="preserve">Accounts payable for power - IESO </t>
  </si>
  <si>
    <t xml:space="preserve">Current portion of long-term liabilities </t>
  </si>
  <si>
    <t>Note payable to shareholder</t>
  </si>
  <si>
    <t xml:space="preserve">Long-term debt </t>
  </si>
  <si>
    <t xml:space="preserve">Unrealized loss on interest rate swaps </t>
  </si>
  <si>
    <t xml:space="preserve">Post-employment non-pension benefits </t>
  </si>
  <si>
    <t xml:space="preserve">Regulatory liabilities </t>
  </si>
  <si>
    <t xml:space="preserve">Capital stock </t>
  </si>
  <si>
    <t xml:space="preserve">Non recurring provision for deferred PILs </t>
  </si>
  <si>
    <t xml:space="preserve">Interest expense </t>
  </si>
  <si>
    <t xml:space="preserve">taxes </t>
  </si>
  <si>
    <t>Regulatory assets</t>
  </si>
  <si>
    <t>LINKS</t>
  </si>
  <si>
    <t>As at December 31, 2013</t>
  </si>
  <si>
    <t>Restricted cash</t>
  </si>
  <si>
    <t>Government of Canada Treasury bill [note 16]</t>
  </si>
  <si>
    <t xml:space="preserve">Accounts receivable [note 12] </t>
  </si>
  <si>
    <t>Due from affiliates [note 12]</t>
  </si>
  <si>
    <t>Current portion of regulatory assets [note 4]</t>
  </si>
  <si>
    <t>Property, plant and equipment [note 3]</t>
  </si>
  <si>
    <t>Deferred IRU leases [note 17]</t>
  </si>
  <si>
    <t>Regulatory assets, net [note 5]</t>
  </si>
  <si>
    <t>Future income tax assets [note 6]</t>
  </si>
  <si>
    <t>Payments in lieu of corporate income taxes, net</t>
  </si>
  <si>
    <t>Deferred revenue</t>
  </si>
  <si>
    <t>Future income tax liabilities</t>
  </si>
  <si>
    <t>Employee sick leave benefits</t>
  </si>
  <si>
    <t>Accumulated comprehensive loss on interest rate swaps</t>
  </si>
  <si>
    <t>Accounts payable for power - IESO [note 16]</t>
  </si>
  <si>
    <t>Due to affiliates [note 12]</t>
  </si>
  <si>
    <t>Current portion of long-term liabilities [note 5]</t>
  </si>
  <si>
    <t>Note payable to shareholder [note 9]</t>
  </si>
  <si>
    <t>Long-term debt [note 10]</t>
  </si>
  <si>
    <t>Unrealized loss on interest rate swaps [note 15]</t>
  </si>
  <si>
    <t>Post-employment non-pension retirement benefits [note 8]</t>
  </si>
  <si>
    <t>Regulatory liabilities [note 4]</t>
  </si>
  <si>
    <t>Capital stock [note 11]</t>
  </si>
  <si>
    <t>Audited 2013</t>
  </si>
  <si>
    <t>For the year ended December 31, 2013</t>
  </si>
  <si>
    <t>CHP net revenue</t>
  </si>
  <si>
    <t>Fibre optic</t>
  </si>
  <si>
    <t>Depreciation - property, plant and equipment</t>
  </si>
  <si>
    <t>Amortization - deferred IRU leases</t>
  </si>
  <si>
    <t>Loss on disposal of property, plant and equipment</t>
  </si>
  <si>
    <t>Interest expense [note 10]</t>
  </si>
  <si>
    <t>taxes [note 6]</t>
  </si>
  <si>
    <t>Investment Income</t>
  </si>
  <si>
    <t>Cash</t>
  </si>
  <si>
    <t>RRR Filing 2013</t>
  </si>
  <si>
    <t>Sales of Electricity</t>
  </si>
  <si>
    <t>Revenues from Services</t>
  </si>
  <si>
    <t>Other Operating Revenues</t>
  </si>
  <si>
    <t>Other Income/Deductions</t>
  </si>
  <si>
    <t>Total Revenues</t>
  </si>
  <si>
    <t>Generation Expense</t>
  </si>
  <si>
    <t>Other Power Supply Expenses</t>
  </si>
  <si>
    <t>Transmission Expenses</t>
  </si>
  <si>
    <t>Distribution Expenses</t>
  </si>
  <si>
    <t>Other Expenses</t>
  </si>
  <si>
    <t>Billing Collecting</t>
  </si>
  <si>
    <t>Community Relations</t>
  </si>
  <si>
    <t>Administration General Expenses</t>
  </si>
  <si>
    <t>Amortization Expense</t>
  </si>
  <si>
    <t>Interest Expense</t>
  </si>
  <si>
    <t>Taxes</t>
  </si>
  <si>
    <t>Other Deductions</t>
  </si>
  <si>
    <t>(Profit)/Loss</t>
  </si>
  <si>
    <t>A</t>
  </si>
  <si>
    <t>A,B</t>
  </si>
  <si>
    <t>B</t>
  </si>
  <si>
    <t>B -&gt; Loss on disposal of PPE shown as other line item per audited FS ($208K in accounts 4357 &amp; 4360)</t>
  </si>
  <si>
    <t>C</t>
  </si>
  <si>
    <t>D</t>
  </si>
  <si>
    <t>D -&gt; Taxes other than income taxes shown in OM&amp;A per audited FS ($292K from acct 6105)</t>
  </si>
  <si>
    <t>E</t>
  </si>
  <si>
    <t>D,E</t>
  </si>
  <si>
    <t>E -&gt; Donations shown in OM&amp;A per audited FS (acct 6205 for $24K)</t>
  </si>
  <si>
    <t>F</t>
  </si>
  <si>
    <t>F -&gt; amortization on IRU leases shown separately per audited FS ($30K)</t>
  </si>
  <si>
    <t>Rounding difference</t>
  </si>
  <si>
    <t>Current Assets</t>
  </si>
  <si>
    <t xml:space="preserve">Inventory </t>
  </si>
  <si>
    <t>Non-current Assets</t>
  </si>
  <si>
    <t>Other Assets and Deferred Charges</t>
  </si>
  <si>
    <t>Capital Assets</t>
  </si>
  <si>
    <t>Accumulated Amortization</t>
  </si>
  <si>
    <t>Net Assets</t>
  </si>
  <si>
    <t>Non-current Liabilities</t>
  </si>
  <si>
    <t>Current Liabilities</t>
  </si>
  <si>
    <t>Shareholders' Equity</t>
  </si>
  <si>
    <t>Net Liabilities and Equity</t>
  </si>
  <si>
    <t>B -&gt; Merchandise presented in current assets (prepaid expenses) per audited FS (credit of $14k in acct 1340)</t>
  </si>
  <si>
    <t>Other Liabilities Deferred Credit</t>
  </si>
  <si>
    <t>Long-term Debt</t>
  </si>
  <si>
    <t>A -&gt;  Regulatory liability per audited FS shown in other assets and deferred charges per regulatory reporting ($5,135k)</t>
  </si>
  <si>
    <t>As at December 31, 2012</t>
  </si>
  <si>
    <t>Audited 2012</t>
  </si>
  <si>
    <t>Due to affiliate [note 13]</t>
  </si>
  <si>
    <t>(Loss) gain on disposal of property, plant and equipment</t>
  </si>
  <si>
    <t>RRR Filing 2012</t>
  </si>
  <si>
    <t>For the year ended December 31, 2012</t>
  </si>
  <si>
    <t>A -&gt; LRAM shown in other revenue per audited FS ($262K from other revenue acct 4375 to revenue from services acct 4080)</t>
  </si>
  <si>
    <t>C -&gt; Taxes other than income taxes shown in OM&amp;A per audited FS ($149K from acct 6105)</t>
  </si>
  <si>
    <t>C,D</t>
  </si>
  <si>
    <t>D -&gt; Donations shown in OM&amp;A per audited FS (acct 6205 for $24K)</t>
  </si>
  <si>
    <t>C,F</t>
  </si>
  <si>
    <t>B,C,D,E</t>
  </si>
  <si>
    <t>E -&gt; amortization on IRU leases shown separately per audited FS ($31K from acct 5025)</t>
  </si>
  <si>
    <t>A -&gt; Loss on disposal of PPE shown as other line item per audited FS ($79K in accounts 4355)</t>
  </si>
  <si>
    <t>C -&gt; The following was reclassed between Current Assets and Current Liabilities for the audited statements:</t>
  </si>
  <si>
    <t xml:space="preserve">             ii) PILS of $451K shown within current assets per audited FS</t>
  </si>
  <si>
    <t xml:space="preserve">             iii) Adjustment posted to audited statements for $151K to current liabilities and to current assets. </t>
  </si>
  <si>
    <t>E -&gt; Deferred IRU lease of $444K moved from current assets to deferred charges (from acct 1180)</t>
  </si>
  <si>
    <t>B,C,E</t>
  </si>
  <si>
    <t>A,D,F</t>
  </si>
  <si>
    <t>F,G</t>
  </si>
  <si>
    <t>A,E,G</t>
  </si>
  <si>
    <t>A -&gt; Merchandise presented in current assets (prepaid expenses) per audited FS (credit of $26k in acct 1340)</t>
  </si>
  <si>
    <t>B -&gt;  Regulatory liability per audited FS shown in other assets and deferred charges per regulatory reporting ($7,963k)</t>
  </si>
  <si>
    <t>B,C</t>
  </si>
  <si>
    <t>C -&gt; Deferred IRU lease of $474K moved from current assets to deferred charges (from acct 1180)</t>
  </si>
  <si>
    <t>A,C,D</t>
  </si>
  <si>
    <t>D -&gt; The following was reclassed between Current Assets and Current Liabilities for the audited statements:</t>
  </si>
  <si>
    <t xml:space="preserve">             i) PILS of $145K shown within current assets per audited FS (as it is in a debit position)</t>
  </si>
  <si>
    <t>D -&gt; A portion of non-current liabilities is presented as current for financial statement purposes:  $586K from acct 2335 and $1989K from acct 2320</t>
  </si>
  <si>
    <t>E -&gt; A portion of non-current liabilities is presented as current for financial statement purposes: $586K from acct 2335 and $2065K from acct 2320</t>
  </si>
  <si>
    <t>G -&gt; Tax on interest rate swap ($17k) presented in future income tax assets per audited FS</t>
  </si>
  <si>
    <t>G -&gt; Tax on interest rate swap ($88k) presented in future income tax assets per audited FS</t>
  </si>
  <si>
    <t>B,E,F</t>
  </si>
  <si>
    <t>B,C,G</t>
  </si>
  <si>
    <t xml:space="preserve">             ii) Credit of $703K in acct 1100 presented in current liabilities for Financial statement purposes as it is a credit balance</t>
  </si>
  <si>
    <t xml:space="preserve">             i) Credit of $885.6K in acct 1100 and credit of $2,554K in acct 1200 presented in current liabilities for Financial statement purposes as it is a credit balance</t>
  </si>
  <si>
    <t>RRR Filing 2011</t>
  </si>
  <si>
    <t>A -&gt; Deferred PILS presented in separate line below EBITA per audited FS ($1,208k from acct 4080)</t>
  </si>
  <si>
    <t>B -&gt; Gain on disposal of PPE shown as other line item per audited FS ($141K in accounts 4355)</t>
  </si>
  <si>
    <t>D -&gt; Taxes other than income taxes shown in OM&amp;A per audited FS ($145K from acct 6105)</t>
  </si>
  <si>
    <t>E -&gt; Donations shown in OM&amp;A per audited FS (acct 6205 for $32K)</t>
  </si>
  <si>
    <t>C -&gt; Tax on interest rate swap ($127k) presented in future income tax assets per audited FS</t>
  </si>
  <si>
    <t>D -&gt; Deferred IRU lease of $505K moved from current assets to deferred charges (from acct 1180)</t>
  </si>
  <si>
    <t>B -&gt; Loss on swap ($482.1k) presented as separate line per audited FS</t>
  </si>
  <si>
    <t>F -&gt; Loss on swap ($66k) presented as separate line  per audited FS</t>
  </si>
  <si>
    <t>F -&gt; Loss on swap ($332k) presented as separate line  per audited FS</t>
  </si>
  <si>
    <t>A,B,E</t>
  </si>
  <si>
    <t>E -&gt; A portion of non-current liabilities is presented as current for financial statement purposes: $23K from acct 2310 and $1598K from acct 2330</t>
  </si>
  <si>
    <t>F -&gt; The following was reclassed between Current Assets and Current Liabilities for the audited statements:</t>
  </si>
  <si>
    <t xml:space="preserve">             i) Credit of $657K in acct 1100 presented in current liabilities for Financial statement purposes as it is a credit balance</t>
  </si>
  <si>
    <t>D,F</t>
  </si>
  <si>
    <t xml:space="preserve">             ii) PILS of $904K shown within current assets per audited FS (as it is in a debit position, acct 2294)</t>
  </si>
  <si>
    <t xml:space="preserve">A -&gt; Other assets and deferred charges includes regulatory liability, which is shown in non-current liabilities per audited FS ($5,655k). </t>
  </si>
  <si>
    <t xml:space="preserve">        A portion is presented in current liabilities ($1,404k) </t>
  </si>
  <si>
    <t>A,E,F</t>
  </si>
  <si>
    <t>G -&gt; For financial statement purposes, adjustment of $130k made to Capital assets for open jobs, affecting current assets, inventory, non-current assets and deferred charges</t>
  </si>
  <si>
    <t>G</t>
  </si>
  <si>
    <t>For internal ref:</t>
  </si>
  <si>
    <t>EBITA</t>
  </si>
  <si>
    <t>Interest Income</t>
  </si>
  <si>
    <t>C -&gt; Portion of other interest exp is shown with interest income per audited FS, below EBITA line ($104K from account 6035)</t>
  </si>
  <si>
    <t xml:space="preserve">C </t>
  </si>
  <si>
    <t>C -&gt; Portion of other interest exp is shown with interest income per audited FS below EBITA line ($203K from account 6035)</t>
  </si>
  <si>
    <t xml:space="preserve">B -&gt; Portion of other interest expense is shown with interest income per audited FS below EBITA line ($85K in account 6035 -&gt; $60K presented in </t>
  </si>
  <si>
    <t xml:space="preserve">        interest income, and $24K in OM&amp;A per audited FS)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</si>
</sst>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;\(#,##0\)"/>
    <numFmt numFmtId="166" formatCode="[$-409]d/mmm/yy;@"/>
    <numFmt numFmtId="167" formatCode="0_);\(0\)"/>
    <numFmt numFmtId="168" formatCode="_(* #,##0_);_(* \(#,##0\);_(* &quot;—&quot;_);_(@_)"/>
    <numFmt numFmtId="169" formatCode="_-* #,##0_-;\-* #,##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b/>
      <sz val="11"/>
      <color rgb="FF000000"/>
      <name val="Times New Roman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Arial"/>
      <family val="2"/>
    </font>
    <font>
      <b/>
      <sz val="13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3" fillId="0" borderId="0" applyNumberFormat="0" applyBorder="0" applyAlignment="0"/>
    <xf numFmtId="0" fontId="4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  <xf numFmtId="164" fontId="4" fillId="0" borderId="0"/>
    <xf numFmtId="164" fontId="4" fillId="0" borderId="0"/>
    <xf numFmtId="164" fontId="4" fillId="0" borderId="0"/>
    <xf numFmtId="164" fontId="1" fillId="0" borderId="0"/>
    <xf numFmtId="164" fontId="1" fillId="0" borderId="0"/>
    <xf numFmtId="164" fontId="1" fillId="0" borderId="0"/>
    <xf numFmtId="164" fontId="4" fillId="0" borderId="0"/>
    <xf numFmtId="164" fontId="3" fillId="0" borderId="0" applyNumberFormat="0" applyBorder="0" applyAlignment="0"/>
    <xf numFmtId="164" fontId="6" fillId="0" borderId="0" applyNumberFormat="0" applyBorder="0" applyAlignment="0"/>
    <xf numFmtId="37" fontId="7" fillId="0" borderId="0">
      <alignment horizontal="left"/>
    </xf>
    <xf numFmtId="37" fontId="8" fillId="0" borderId="0"/>
    <xf numFmtId="166" fontId="9" fillId="0" borderId="0">
      <alignment horizontal="centerContinuous"/>
    </xf>
    <xf numFmtId="166" fontId="10" fillId="0" borderId="0" applyAlignment="0"/>
    <xf numFmtId="37" fontId="11" fillId="0" borderId="2">
      <alignment horizontal="right"/>
    </xf>
    <xf numFmtId="0" fontId="15" fillId="0" borderId="0" applyNumberFormat="0" applyBorder="0" applyAlignment="0"/>
    <xf numFmtId="0" fontId="15" fillId="0" borderId="0" applyNumberFormat="0" applyBorder="0" applyAlignment="0"/>
    <xf numFmtId="0" fontId="16" fillId="0" borderId="0" applyNumberFormat="0" applyBorder="0" applyAlignment="0"/>
    <xf numFmtId="0" fontId="17" fillId="0" borderId="0" applyNumberFormat="0" applyBorder="0" applyAlignment="0"/>
    <xf numFmtId="0" fontId="18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8" fillId="0" borderId="0" applyNumberFormat="0" applyBorder="0" applyAlignment="0"/>
    <xf numFmtId="0" fontId="15" fillId="0" borderId="0" applyNumberFormat="0" applyBorder="0" applyAlignment="0"/>
    <xf numFmtId="0" fontId="18" fillId="0" borderId="0" applyNumberFormat="0" applyBorder="0" applyAlignment="0"/>
    <xf numFmtId="0" fontId="15" fillId="0" borderId="0" applyNumberFormat="0" applyBorder="0" applyAlignment="0"/>
    <xf numFmtId="0" fontId="18" fillId="0" borderId="0" applyNumberFormat="0" applyBorder="0" applyAlignment="0"/>
    <xf numFmtId="0" fontId="18" fillId="0" borderId="0" applyNumberFormat="0" applyBorder="0" applyAlignment="0"/>
    <xf numFmtId="0" fontId="18" fillId="0" borderId="0" applyNumberFormat="0" applyBorder="0" applyAlignment="0"/>
    <xf numFmtId="0" fontId="18" fillId="0" borderId="0" applyNumberFormat="0" applyBorder="0" applyAlignment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center"/>
    </xf>
    <xf numFmtId="167" fontId="12" fillId="0" borderId="0" xfId="18" applyNumberFormat="1" applyFont="1" applyBorder="1" applyAlignment="1" applyProtection="1">
      <alignment horizontal="center"/>
    </xf>
    <xf numFmtId="167" fontId="12" fillId="0" borderId="0" xfId="18" applyNumberFormat="1" applyFont="1" applyAlignment="1" applyProtection="1">
      <alignment horizontal="center"/>
    </xf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168" fontId="0" fillId="0" borderId="0" xfId="0" applyNumberFormat="1" applyFont="1" applyFill="1"/>
    <xf numFmtId="49" fontId="12" fillId="0" borderId="0" xfId="18" applyNumberFormat="1" applyFont="1" applyAlignment="1" applyProtection="1">
      <alignment horizontal="right"/>
    </xf>
    <xf numFmtId="37" fontId="12" fillId="0" borderId="0" xfId="16" applyFont="1" applyBorder="1"/>
    <xf numFmtId="37" fontId="12" fillId="0" borderId="0" xfId="0" applyNumberFormat="1" applyFont="1"/>
    <xf numFmtId="168" fontId="13" fillId="0" borderId="0" xfId="0" applyNumberFormat="1" applyFont="1"/>
    <xf numFmtId="168" fontId="12" fillId="0" borderId="0" xfId="0" applyNumberFormat="1" applyFont="1"/>
    <xf numFmtId="37" fontId="13" fillId="0" borderId="0" xfId="0" applyNumberFormat="1" applyFont="1"/>
    <xf numFmtId="49" fontId="13" fillId="0" borderId="0" xfId="0" applyNumberFormat="1" applyFont="1"/>
    <xf numFmtId="37" fontId="13" fillId="0" borderId="0" xfId="0" applyNumberFormat="1" applyFont="1" applyFill="1"/>
    <xf numFmtId="168" fontId="12" fillId="0" borderId="1" xfId="0" applyNumberFormat="1" applyFont="1" applyBorder="1"/>
    <xf numFmtId="168" fontId="12" fillId="0" borderId="4" xfId="0" applyNumberFormat="1" applyFont="1" applyBorder="1"/>
    <xf numFmtId="165" fontId="1" fillId="0" borderId="0" xfId="0" applyNumberFormat="1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37" fontId="0" fillId="0" borderId="0" xfId="0" applyNumberFormat="1" applyFont="1"/>
    <xf numFmtId="37" fontId="0" fillId="0" borderId="0" xfId="0" applyNumberFormat="1" applyFont="1" applyAlignment="1">
      <alignment horizontal="left"/>
    </xf>
    <xf numFmtId="37" fontId="0" fillId="0" borderId="0" xfId="0" applyNumberFormat="1" applyFont="1" applyFill="1"/>
    <xf numFmtId="37" fontId="0" fillId="0" borderId="0" xfId="0" applyNumberFormat="1" applyFont="1" applyAlignment="1">
      <alignment horizontal="left" indent="1"/>
    </xf>
    <xf numFmtId="49" fontId="13" fillId="0" borderId="0" xfId="19" applyNumberFormat="1" applyFont="1" applyBorder="1" applyProtection="1">
      <alignment horizontal="right"/>
    </xf>
    <xf numFmtId="168" fontId="12" fillId="0" borderId="3" xfId="0" applyNumberFormat="1" applyFont="1" applyBorder="1"/>
    <xf numFmtId="49" fontId="14" fillId="0" borderId="0" xfId="18" applyNumberFormat="1" applyFont="1" applyAlignment="1" applyProtection="1">
      <alignment horizontal="left"/>
    </xf>
    <xf numFmtId="168" fontId="1" fillId="0" borderId="0" xfId="0" applyNumberFormat="1" applyFont="1" applyFill="1"/>
    <xf numFmtId="0" fontId="19" fillId="0" borderId="0" xfId="0" applyFont="1"/>
    <xf numFmtId="0" fontId="0" fillId="0" borderId="0" xfId="0" applyFont="1"/>
    <xf numFmtId="37" fontId="12" fillId="0" borderId="0" xfId="0" applyNumberFormat="1" applyFont="1" applyFill="1" applyBorder="1"/>
    <xf numFmtId="168" fontId="13" fillId="0" borderId="0" xfId="0" applyNumberFormat="1" applyFont="1" applyFill="1" applyBorder="1"/>
    <xf numFmtId="168" fontId="12" fillId="0" borderId="0" xfId="0" applyNumberFormat="1" applyFont="1" applyFill="1" applyBorder="1"/>
    <xf numFmtId="37" fontId="13" fillId="0" borderId="0" xfId="0" applyNumberFormat="1" applyFont="1" applyFill="1" applyBorder="1"/>
    <xf numFmtId="37" fontId="20" fillId="0" borderId="0" xfId="0" applyNumberFormat="1" applyFont="1" applyFill="1" applyBorder="1"/>
    <xf numFmtId="168" fontId="21" fillId="0" borderId="0" xfId="0" applyNumberFormat="1" applyFont="1" applyFill="1" applyBorder="1"/>
    <xf numFmtId="49" fontId="13" fillId="0" borderId="0" xfId="0" applyNumberFormat="1" applyFont="1" applyFill="1" applyBorder="1"/>
    <xf numFmtId="168" fontId="12" fillId="0" borderId="1" xfId="0" applyNumberFormat="1" applyFont="1" applyFill="1" applyBorder="1"/>
    <xf numFmtId="168" fontId="12" fillId="0" borderId="4" xfId="0" applyNumberFormat="1" applyFont="1" applyFill="1" applyBorder="1"/>
    <xf numFmtId="49" fontId="20" fillId="0" borderId="0" xfId="0" applyNumberFormat="1" applyFont="1" applyFill="1" applyBorder="1"/>
    <xf numFmtId="0" fontId="0" fillId="0" borderId="0" xfId="0" applyFont="1" applyBorder="1"/>
    <xf numFmtId="0" fontId="0" fillId="0" borderId="2" xfId="0" applyFont="1" applyBorder="1" applyAlignment="1">
      <alignment horizontal="center"/>
    </xf>
    <xf numFmtId="37" fontId="13" fillId="0" borderId="0" xfId="0" applyNumberFormat="1" applyFont="1" applyFill="1" applyBorder="1" applyAlignment="1">
      <alignment horizontal="left"/>
    </xf>
    <xf numFmtId="168" fontId="12" fillId="0" borderId="3" xfId="0" applyNumberFormat="1" applyFont="1" applyFill="1" applyBorder="1"/>
    <xf numFmtId="37" fontId="13" fillId="0" borderId="0" xfId="0" applyNumberFormat="1" applyFont="1" applyFill="1" applyBorder="1" applyAlignment="1">
      <alignment horizontal="left" indent="1"/>
    </xf>
    <xf numFmtId="169" fontId="2" fillId="0" borderId="0" xfId="36" applyNumberFormat="1" applyFont="1"/>
    <xf numFmtId="0" fontId="13" fillId="0" borderId="0" xfId="0" applyFont="1"/>
    <xf numFmtId="168" fontId="2" fillId="0" borderId="0" xfId="36" applyNumberFormat="1" applyFont="1"/>
    <xf numFmtId="168" fontId="2" fillId="0" borderId="1" xfId="36" applyNumberFormat="1" applyFont="1" applyBorder="1"/>
    <xf numFmtId="168" fontId="1" fillId="0" borderId="0" xfId="36" applyNumberFormat="1" applyFont="1"/>
    <xf numFmtId="168" fontId="1" fillId="0" borderId="2" xfId="36" applyNumberFormat="1" applyFont="1" applyBorder="1"/>
    <xf numFmtId="168" fontId="1" fillId="0" borderId="0" xfId="36" applyNumberFormat="1" applyFont="1" applyBorder="1"/>
    <xf numFmtId="168" fontId="13" fillId="0" borderId="2" xfId="0" applyNumberFormat="1" applyFont="1" applyFill="1" applyBorder="1"/>
    <xf numFmtId="0" fontId="22" fillId="0" borderId="0" xfId="0" applyFont="1"/>
    <xf numFmtId="168" fontId="0" fillId="0" borderId="0" xfId="0" applyNumberFormat="1" applyFont="1"/>
    <xf numFmtId="168" fontId="2" fillId="0" borderId="0" xfId="0" applyNumberFormat="1" applyFont="1"/>
    <xf numFmtId="0" fontId="0" fillId="0" borderId="9" xfId="0" applyFont="1" applyBorder="1"/>
    <xf numFmtId="0" fontId="0" fillId="0" borderId="10" xfId="0" applyFont="1" applyBorder="1"/>
    <xf numFmtId="168" fontId="0" fillId="0" borderId="9" xfId="36" applyNumberFormat="1" applyFont="1" applyBorder="1"/>
    <xf numFmtId="168" fontId="0" fillId="0" borderId="10" xfId="36" applyNumberFormat="1" applyFont="1" applyBorder="1"/>
    <xf numFmtId="168" fontId="0" fillId="0" borderId="7" xfId="36" applyNumberFormat="1" applyFont="1" applyBorder="1"/>
    <xf numFmtId="168" fontId="2" fillId="0" borderId="9" xfId="36" applyNumberFormat="1" applyFont="1" applyBorder="1"/>
    <xf numFmtId="168" fontId="2" fillId="0" borderId="10" xfId="36" applyNumberFormat="1" applyFont="1" applyBorder="1"/>
    <xf numFmtId="168" fontId="0" fillId="0" borderId="9" xfId="0" applyNumberFormat="1" applyFont="1" applyBorder="1"/>
    <xf numFmtId="168" fontId="0" fillId="0" borderId="10" xfId="0" applyNumberFormat="1" applyFont="1" applyBorder="1"/>
    <xf numFmtId="168" fontId="2" fillId="0" borderId="9" xfId="0" applyNumberFormat="1" applyFont="1" applyBorder="1"/>
    <xf numFmtId="168" fontId="2" fillId="0" borderId="10" xfId="0" applyNumberFormat="1" applyFont="1" applyBorder="1"/>
    <xf numFmtId="168" fontId="2" fillId="0" borderId="11" xfId="0" applyNumberFormat="1" applyFont="1" applyBorder="1"/>
    <xf numFmtId="168" fontId="2" fillId="0" borderId="12" xfId="0" applyNumberFormat="1" applyFont="1" applyBorder="1"/>
    <xf numFmtId="0" fontId="0" fillId="0" borderId="13" xfId="0" applyFont="1" applyBorder="1"/>
    <xf numFmtId="0" fontId="0" fillId="0" borderId="14" xfId="0" applyFont="1" applyBorder="1"/>
    <xf numFmtId="37" fontId="12" fillId="0" borderId="14" xfId="0" applyNumberFormat="1" applyFont="1" applyFill="1" applyBorder="1"/>
    <xf numFmtId="0" fontId="2" fillId="0" borderId="14" xfId="0" applyFont="1" applyBorder="1"/>
    <xf numFmtId="0" fontId="2" fillId="0" borderId="1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68" fontId="0" fillId="0" borderId="9" xfId="0" applyNumberFormat="1" applyFont="1" applyBorder="1" applyAlignment="1">
      <alignment vertical="center"/>
    </xf>
    <xf numFmtId="168" fontId="0" fillId="0" borderId="11" xfId="0" applyNumberFormat="1" applyFont="1" applyBorder="1"/>
    <xf numFmtId="0" fontId="0" fillId="0" borderId="12" xfId="0" applyFont="1" applyBorder="1"/>
    <xf numFmtId="167" fontId="12" fillId="0" borderId="13" xfId="18" applyNumberFormat="1" applyFont="1" applyBorder="1" applyAlignment="1" applyProtection="1">
      <alignment horizontal="center"/>
    </xf>
    <xf numFmtId="0" fontId="0" fillId="0" borderId="16" xfId="0" applyFont="1" applyBorder="1" applyAlignment="1">
      <alignment horizontal="center"/>
    </xf>
    <xf numFmtId="168" fontId="0" fillId="0" borderId="14" xfId="0" applyNumberFormat="1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68" fontId="0" fillId="0" borderId="14" xfId="0" applyNumberFormat="1" applyFont="1" applyBorder="1"/>
    <xf numFmtId="168" fontId="2" fillId="0" borderId="14" xfId="36" applyNumberFormat="1" applyFont="1" applyBorder="1"/>
    <xf numFmtId="0" fontId="0" fillId="0" borderId="15" xfId="0" applyFont="1" applyBorder="1"/>
    <xf numFmtId="168" fontId="2" fillId="0" borderId="14" xfId="0" applyNumberFormat="1" applyFont="1" applyBorder="1"/>
    <xf numFmtId="168" fontId="2" fillId="0" borderId="15" xfId="0" applyNumberFormat="1" applyFont="1" applyBorder="1"/>
    <xf numFmtId="0" fontId="0" fillId="0" borderId="0" xfId="0" quotePrefix="1" applyFont="1"/>
    <xf numFmtId="0" fontId="2" fillId="0" borderId="10" xfId="0" applyFont="1" applyBorder="1"/>
    <xf numFmtId="0" fontId="22" fillId="0" borderId="14" xfId="0" applyFont="1" applyBorder="1"/>
    <xf numFmtId="0" fontId="0" fillId="0" borderId="14" xfId="0" applyFont="1" applyFill="1" applyBorder="1"/>
    <xf numFmtId="0" fontId="2" fillId="0" borderId="14" xfId="0" applyFont="1" applyFill="1" applyBorder="1"/>
    <xf numFmtId="168" fontId="0" fillId="0" borderId="7" xfId="0" applyNumberFormat="1" applyFont="1" applyBorder="1"/>
    <xf numFmtId="168" fontId="0" fillId="0" borderId="12" xfId="0" applyNumberFormat="1" applyFont="1" applyBorder="1"/>
    <xf numFmtId="168" fontId="0" fillId="0" borderId="15" xfId="0" applyNumberFormat="1" applyFont="1" applyBorder="1"/>
    <xf numFmtId="168" fontId="0" fillId="0" borderId="0" xfId="0" applyNumberFormat="1" applyFont="1" applyBorder="1"/>
    <xf numFmtId="168" fontId="2" fillId="0" borderId="0" xfId="0" applyNumberFormat="1" applyFont="1" applyBorder="1"/>
    <xf numFmtId="168" fontId="0" fillId="0" borderId="9" xfId="0" applyNumberFormat="1" applyFont="1" applyFill="1" applyBorder="1"/>
    <xf numFmtId="0" fontId="0" fillId="0" borderId="0" xfId="0" applyFont="1" applyFill="1"/>
    <xf numFmtId="0" fontId="0" fillId="0" borderId="0" xfId="0" applyFont="1" applyFill="1" applyBorder="1"/>
    <xf numFmtId="167" fontId="12" fillId="0" borderId="5" xfId="18" applyNumberFormat="1" applyFont="1" applyBorder="1" applyAlignment="1" applyProtection="1">
      <alignment horizontal="center"/>
    </xf>
    <xf numFmtId="167" fontId="12" fillId="0" borderId="6" xfId="18" applyNumberFormat="1" applyFont="1" applyBorder="1" applyAlignment="1" applyProtection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</cellXfs>
  <cellStyles count="37">
    <cellStyle name="$ sign heading" xfId="19"/>
    <cellStyle name="Co.Name" xfId="15"/>
    <cellStyle name="Comma" xfId="36" builtinId="3"/>
    <cellStyle name="Currency 2" xfId="3"/>
    <cellStyle name="Currency 3" xfId="4"/>
    <cellStyle name="Normal" xfId="0" builtinId="0"/>
    <cellStyle name="Normal 2" xfId="2"/>
    <cellStyle name="Normal 2 2" xfId="5"/>
    <cellStyle name="Normal 2 2 2" xfId="6"/>
    <cellStyle name="Normal 2 2 3" xfId="7"/>
    <cellStyle name="Normal 2 2 4" xfId="8"/>
    <cellStyle name="Normal 2 3" xfId="9"/>
    <cellStyle name="Normal 2 4" xfId="10"/>
    <cellStyle name="Normal 3" xfId="11"/>
    <cellStyle name="Normal 4" xfId="12"/>
    <cellStyle name="statement" xfId="16"/>
    <cellStyle name="Statement heading" xfId="17"/>
    <cellStyle name="STYLE1" xfId="1"/>
    <cellStyle name="STYLE1 2" xfId="13"/>
    <cellStyle name="STYLE1 3" xfId="21"/>
    <cellStyle name="STYLE1 4" xfId="25"/>
    <cellStyle name="STYLE1 5" xfId="26"/>
    <cellStyle name="STYLE1 6" xfId="20"/>
    <cellStyle name="STYLE1 7" xfId="27"/>
    <cellStyle name="STYLE1 8" xfId="29"/>
    <cellStyle name="STYLE1 9" xfId="31"/>
    <cellStyle name="STYLE2" xfId="22"/>
    <cellStyle name="STYLE3" xfId="23"/>
    <cellStyle name="STYLE4" xfId="14"/>
    <cellStyle name="STYLE4 2" xfId="24"/>
    <cellStyle name="STYLE4 3" xfId="28"/>
    <cellStyle name="STYLE4 4" xfId="30"/>
    <cellStyle name="STYLE4 5" xfId="32"/>
    <cellStyle name="STYLE4 6" xfId="33"/>
    <cellStyle name="STYLE4 7" xfId="34"/>
    <cellStyle name="STYLE4 8" xfId="35"/>
    <cellStyle name="Years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1490383</xdr:colOff>
      <xdr:row>42</xdr:row>
      <xdr:rowOff>78441</xdr:rowOff>
    </xdr:from>
    <xdr:to>
      <xdr:col>12</xdr:col>
      <xdr:colOff>941295</xdr:colOff>
      <xdr:row>49</xdr:row>
      <xdr:rowOff>112058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07589" y="8236323"/>
          <a:ext cx="6824382" cy="1378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9"/>
  <sheetViews>
    <sheetView topLeftCell="A28" zoomScale="85" zoomScaleNormal="85" workbookViewId="0">
      <selection activeCell="B73" sqref="B73"/>
    </sheetView>
  </sheetViews>
  <sheetFormatPr defaultRowHeight="14.4"/>
  <cols>
    <col min="1" max="1" width="60.44140625" customWidth="1"/>
    <col min="2" max="2" width="15" customWidth="1"/>
    <col min="3" max="3" width="19.88671875" hidden="1" customWidth="1"/>
    <col min="4" max="4" width="14.6640625" hidden="1" customWidth="1"/>
    <col min="5" max="5" width="13.6640625" style="5" hidden="1" customWidth="1"/>
    <col min="6" max="6" width="15.6640625" hidden="1" customWidth="1"/>
    <col min="8" max="8" width="43.6640625" customWidth="1"/>
    <col min="9" max="10" width="18.5546875" customWidth="1"/>
    <col min="11" max="11" width="18.6640625" customWidth="1"/>
    <col min="12" max="12" width="11" customWidth="1"/>
    <col min="13" max="13" width="20" customWidth="1"/>
    <col min="14" max="14" width="1.88671875" customWidth="1"/>
    <col min="15" max="15" width="17.88671875" customWidth="1"/>
  </cols>
  <sheetData>
    <row r="1" spans="1:15" ht="17.399999999999999">
      <c r="A1" s="28"/>
      <c r="B1" s="5"/>
      <c r="C1" s="5"/>
      <c r="D1" s="5"/>
      <c r="F1" s="5"/>
      <c r="H1" s="6" t="s">
        <v>47</v>
      </c>
      <c r="I1" s="31"/>
      <c r="J1" s="31"/>
      <c r="K1" s="31"/>
      <c r="L1" s="31"/>
      <c r="M1" s="31"/>
      <c r="N1" s="31"/>
      <c r="O1" s="31"/>
    </row>
    <row r="2" spans="1:15" ht="17.399999999999999">
      <c r="A2" s="30" t="s">
        <v>47</v>
      </c>
      <c r="B2" s="5"/>
      <c r="C2" s="5"/>
      <c r="D2" s="5"/>
      <c r="F2" s="5"/>
      <c r="H2" s="6" t="s">
        <v>0</v>
      </c>
      <c r="I2" s="31"/>
      <c r="J2" s="31"/>
      <c r="K2" s="31"/>
      <c r="L2" s="31"/>
      <c r="M2" s="31"/>
      <c r="N2" s="31"/>
      <c r="O2" s="31"/>
    </row>
    <row r="3" spans="1:15" ht="17.399999999999999">
      <c r="A3" s="30" t="s">
        <v>0</v>
      </c>
      <c r="B3" s="6"/>
      <c r="C3" s="6"/>
      <c r="D3" s="6"/>
      <c r="E3" s="6" t="s">
        <v>73</v>
      </c>
      <c r="F3" s="6"/>
      <c r="H3" s="6" t="s">
        <v>48</v>
      </c>
      <c r="I3" s="31"/>
      <c r="J3" s="31"/>
      <c r="K3" s="31"/>
      <c r="L3" s="31"/>
      <c r="M3" s="31"/>
      <c r="N3" s="31"/>
      <c r="O3" s="31"/>
    </row>
    <row r="4" spans="1:15" ht="18" thickBot="1">
      <c r="A4" s="30" t="s">
        <v>48</v>
      </c>
      <c r="D4" s="5"/>
      <c r="F4" s="5"/>
      <c r="H4" s="31"/>
      <c r="I4" s="31"/>
      <c r="J4" s="31"/>
      <c r="K4" s="31"/>
      <c r="L4" s="31"/>
      <c r="M4" s="31"/>
      <c r="N4" s="31"/>
      <c r="O4" s="31"/>
    </row>
    <row r="5" spans="1:15">
      <c r="A5" s="10"/>
      <c r="B5" s="3" t="s">
        <v>49</v>
      </c>
      <c r="C5" s="2" t="s">
        <v>51</v>
      </c>
      <c r="D5" s="4" t="s">
        <v>52</v>
      </c>
      <c r="E5" s="4"/>
      <c r="F5" s="4" t="s">
        <v>1</v>
      </c>
      <c r="H5" s="71"/>
      <c r="I5" s="105" t="s">
        <v>193</v>
      </c>
      <c r="J5" s="106"/>
      <c r="K5" s="76" t="s">
        <v>51</v>
      </c>
      <c r="L5" s="77"/>
      <c r="M5" s="83" t="s">
        <v>49</v>
      </c>
      <c r="N5" s="31"/>
      <c r="O5" s="83" t="s">
        <v>1</v>
      </c>
    </row>
    <row r="6" spans="1:15">
      <c r="A6" s="10"/>
      <c r="B6" s="1" t="s">
        <v>50</v>
      </c>
      <c r="C6" s="1" t="s">
        <v>50</v>
      </c>
      <c r="D6" s="1" t="s">
        <v>50</v>
      </c>
      <c r="E6" s="1"/>
      <c r="F6" s="1" t="s">
        <v>50</v>
      </c>
      <c r="H6" s="72"/>
      <c r="I6" s="107" t="s">
        <v>50</v>
      </c>
      <c r="J6" s="108"/>
      <c r="K6" s="78" t="s">
        <v>50</v>
      </c>
      <c r="L6" s="79"/>
      <c r="M6" s="84" t="s">
        <v>50</v>
      </c>
      <c r="N6" s="31"/>
      <c r="O6" s="84" t="s">
        <v>50</v>
      </c>
    </row>
    <row r="7" spans="1:15">
      <c r="B7" s="12"/>
      <c r="C7" s="7"/>
      <c r="D7" s="12"/>
      <c r="E7" s="12"/>
      <c r="F7" s="12"/>
      <c r="H7" s="73" t="s">
        <v>2</v>
      </c>
      <c r="I7" s="65"/>
      <c r="J7" s="66"/>
      <c r="K7" s="65"/>
      <c r="L7" s="68"/>
      <c r="M7" s="87"/>
      <c r="N7" s="56"/>
      <c r="O7" s="87"/>
    </row>
    <row r="8" spans="1:15">
      <c r="A8" s="11" t="s">
        <v>2</v>
      </c>
      <c r="B8" s="13"/>
      <c r="C8" s="7"/>
      <c r="D8" s="13"/>
      <c r="E8" s="13"/>
      <c r="F8" s="13"/>
      <c r="H8" s="72"/>
      <c r="I8" s="65"/>
      <c r="J8" s="66"/>
      <c r="K8" s="65"/>
      <c r="L8" s="68"/>
      <c r="M8" s="87"/>
      <c r="N8" s="56"/>
      <c r="O8" s="87"/>
    </row>
    <row r="9" spans="1:15">
      <c r="A9" s="11" t="s">
        <v>3</v>
      </c>
      <c r="B9" s="13"/>
      <c r="C9" s="7"/>
      <c r="D9" s="13"/>
      <c r="E9" s="13"/>
      <c r="F9" s="13"/>
      <c r="H9" s="72" t="s">
        <v>141</v>
      </c>
      <c r="I9" s="65"/>
      <c r="J9" s="66">
        <v>26971.867999999999</v>
      </c>
      <c r="K9" s="65">
        <f>-505+657+904+66</f>
        <v>1122</v>
      </c>
      <c r="L9" s="68" t="s">
        <v>207</v>
      </c>
      <c r="M9" s="87">
        <f>B10+B11+B12+B13+B14+B15+B17</f>
        <v>28094</v>
      </c>
      <c r="N9" s="56"/>
      <c r="O9" s="87">
        <f>J9+K9-M9</f>
        <v>-0.13200000000142609</v>
      </c>
    </row>
    <row r="10" spans="1:15">
      <c r="A10" s="14" t="s">
        <v>54</v>
      </c>
      <c r="B10" s="13">
        <v>2356</v>
      </c>
      <c r="C10" s="7"/>
      <c r="D10" s="13"/>
      <c r="E10" s="13"/>
      <c r="F10" s="13"/>
      <c r="H10" s="72" t="s">
        <v>142</v>
      </c>
      <c r="I10" s="65"/>
      <c r="J10" s="66">
        <v>171.45500000000001</v>
      </c>
      <c r="K10" s="65">
        <v>17</v>
      </c>
      <c r="L10" s="68"/>
      <c r="M10" s="87">
        <f>B16</f>
        <v>188</v>
      </c>
      <c r="N10" s="56"/>
      <c r="O10" s="87">
        <f>J10+K10-M10</f>
        <v>0.45500000000001251</v>
      </c>
    </row>
    <row r="11" spans="1:15">
      <c r="A11" s="14" t="s">
        <v>55</v>
      </c>
      <c r="B11" s="13">
        <v>5566</v>
      </c>
      <c r="C11" s="7"/>
      <c r="D11" s="13"/>
      <c r="E11" s="13"/>
      <c r="F11" s="13"/>
      <c r="H11" s="95" t="s">
        <v>143</v>
      </c>
      <c r="I11" s="65"/>
      <c r="J11" s="66">
        <v>221.07599999999999</v>
      </c>
      <c r="K11" s="102">
        <v>6</v>
      </c>
      <c r="L11" s="31"/>
      <c r="M11" s="87">
        <f>B23</f>
        <v>227</v>
      </c>
      <c r="N11" s="56"/>
      <c r="O11" s="87">
        <f>J11+K11-M11</f>
        <v>7.5999999999993406E-2</v>
      </c>
    </row>
    <row r="12" spans="1:15">
      <c r="A12" s="15" t="s">
        <v>56</v>
      </c>
      <c r="B12" s="13">
        <v>7670</v>
      </c>
      <c r="C12" s="19"/>
      <c r="D12" s="13"/>
      <c r="E12" s="13"/>
      <c r="F12" s="13"/>
      <c r="H12" s="95" t="s">
        <v>144</v>
      </c>
      <c r="I12" s="65"/>
      <c r="J12" s="66">
        <v>2437.643</v>
      </c>
      <c r="K12" s="102">
        <f>(B39+1404)+127+505+41</f>
        <v>7732</v>
      </c>
      <c r="L12" s="68" t="s">
        <v>182</v>
      </c>
      <c r="M12" s="87">
        <f>B20+B22</f>
        <v>10170</v>
      </c>
      <c r="N12" s="56"/>
      <c r="O12" s="87">
        <f>J12+K12-M12</f>
        <v>-0.3569999999999709</v>
      </c>
    </row>
    <row r="13" spans="1:15">
      <c r="A13" s="14" t="s">
        <v>4</v>
      </c>
      <c r="B13" s="13">
        <v>904</v>
      </c>
      <c r="C13" s="7"/>
      <c r="D13" s="13"/>
      <c r="E13" s="13"/>
      <c r="F13" s="13"/>
      <c r="H13" s="95" t="s">
        <v>145</v>
      </c>
      <c r="I13" s="65">
        <v>144777.97385000001</v>
      </c>
      <c r="J13" s="66"/>
      <c r="K13" s="65"/>
      <c r="L13" s="68"/>
      <c r="M13" s="87"/>
      <c r="N13" s="56"/>
      <c r="O13" s="87"/>
    </row>
    <row r="14" spans="1:15">
      <c r="A14" s="14" t="s">
        <v>5</v>
      </c>
      <c r="B14" s="13">
        <v>11206</v>
      </c>
      <c r="C14" s="7"/>
      <c r="D14" s="13"/>
      <c r="E14" s="13"/>
      <c r="F14" s="13"/>
      <c r="H14" s="95" t="s">
        <v>146</v>
      </c>
      <c r="I14" s="97">
        <v>-82243.763999999996</v>
      </c>
      <c r="J14" s="66">
        <f>SUM(I13:I14)</f>
        <v>62534.209850000014</v>
      </c>
      <c r="K14" s="65">
        <v>-130</v>
      </c>
      <c r="L14" s="68" t="s">
        <v>213</v>
      </c>
      <c r="M14" s="87">
        <f>B19</f>
        <v>62404</v>
      </c>
      <c r="N14" s="56"/>
      <c r="O14" s="87">
        <f>J14+K14-M14</f>
        <v>0.20985000001383014</v>
      </c>
    </row>
    <row r="15" spans="1:15">
      <c r="A15" s="15" t="s">
        <v>57</v>
      </c>
      <c r="B15" s="13">
        <v>162</v>
      </c>
      <c r="C15" s="7"/>
      <c r="D15" s="13"/>
      <c r="E15" s="13"/>
      <c r="F15" s="13"/>
      <c r="H15" s="72"/>
      <c r="I15" s="65"/>
      <c r="J15" s="66"/>
      <c r="K15" s="65"/>
      <c r="L15" s="68"/>
      <c r="M15" s="87"/>
      <c r="N15" s="56"/>
      <c r="O15" s="87"/>
    </row>
    <row r="16" spans="1:15">
      <c r="A16" s="16" t="s">
        <v>6</v>
      </c>
      <c r="B16" s="13">
        <v>188</v>
      </c>
      <c r="C16" s="7"/>
      <c r="D16" s="13"/>
      <c r="E16" s="13"/>
      <c r="F16" s="13"/>
      <c r="H16" s="96" t="s">
        <v>147</v>
      </c>
      <c r="I16" s="67"/>
      <c r="J16" s="68">
        <f>SUM(J9:J14)</f>
        <v>92336.251850000015</v>
      </c>
      <c r="K16" s="67"/>
      <c r="L16" s="68"/>
      <c r="M16" s="90">
        <f>SUM(M9:M14)</f>
        <v>101083</v>
      </c>
      <c r="N16" s="57"/>
      <c r="O16" s="90">
        <f>SUM(O9:O14)</f>
        <v>0.25185000001243907</v>
      </c>
    </row>
    <row r="17" spans="1:15">
      <c r="A17" s="14" t="s">
        <v>7</v>
      </c>
      <c r="B17" s="13">
        <v>230</v>
      </c>
      <c r="C17" s="7"/>
      <c r="D17" s="13"/>
      <c r="E17" s="13"/>
      <c r="F17" s="13"/>
      <c r="H17" s="72"/>
      <c r="I17" s="65"/>
      <c r="J17" s="66"/>
      <c r="K17" s="65"/>
      <c r="L17" s="68"/>
      <c r="M17" s="87"/>
      <c r="N17" s="56"/>
      <c r="O17" s="87"/>
    </row>
    <row r="18" spans="1:15">
      <c r="A18" s="11" t="s">
        <v>8</v>
      </c>
      <c r="B18" s="17">
        <f>SUM(B10:B17)</f>
        <v>28282</v>
      </c>
      <c r="C18" s="7"/>
      <c r="D18" s="17"/>
      <c r="E18" s="17"/>
      <c r="F18" s="17"/>
      <c r="H18" s="72"/>
      <c r="I18" s="65"/>
      <c r="J18" s="66"/>
      <c r="K18" s="65"/>
      <c r="L18" s="68"/>
      <c r="M18" s="87"/>
      <c r="N18" s="56"/>
      <c r="O18" s="87"/>
    </row>
    <row r="19" spans="1:15">
      <c r="A19" s="16" t="s">
        <v>58</v>
      </c>
      <c r="B19" s="13">
        <v>62404</v>
      </c>
      <c r="C19" s="21"/>
      <c r="D19" s="13"/>
      <c r="E19" s="13"/>
      <c r="F19" s="13"/>
      <c r="H19" s="72"/>
      <c r="I19" s="65"/>
      <c r="J19" s="66"/>
      <c r="K19" s="65"/>
      <c r="L19" s="68"/>
      <c r="M19" s="87"/>
      <c r="N19" s="56"/>
      <c r="O19" s="87"/>
    </row>
    <row r="20" spans="1:15">
      <c r="A20" s="16" t="s">
        <v>59</v>
      </c>
      <c r="B20" s="13">
        <v>505</v>
      </c>
      <c r="C20" s="21"/>
      <c r="D20" s="13"/>
      <c r="E20" s="13"/>
      <c r="F20" s="13"/>
      <c r="H20" s="73" t="s">
        <v>12</v>
      </c>
      <c r="I20" s="65"/>
      <c r="J20" s="66"/>
      <c r="K20" s="65"/>
      <c r="L20" s="68"/>
      <c r="M20" s="87"/>
      <c r="N20" s="56"/>
      <c r="O20" s="87"/>
    </row>
    <row r="21" spans="1:15" s="5" customFormat="1">
      <c r="A21" s="16" t="s">
        <v>72</v>
      </c>
      <c r="B21" s="13"/>
      <c r="C21" s="21"/>
      <c r="D21" s="13"/>
      <c r="E21" s="13"/>
      <c r="F21" s="13"/>
      <c r="H21" s="72"/>
      <c r="I21" s="65"/>
      <c r="J21" s="66"/>
      <c r="K21" s="65"/>
      <c r="L21" s="68"/>
      <c r="M21" s="87"/>
      <c r="N21" s="56"/>
      <c r="O21" s="87"/>
    </row>
    <row r="22" spans="1:15">
      <c r="A22" s="16" t="s">
        <v>60</v>
      </c>
      <c r="B22" s="13">
        <v>9665</v>
      </c>
      <c r="C22" s="21"/>
      <c r="D22" s="13"/>
      <c r="E22" s="13"/>
      <c r="F22" s="13"/>
      <c r="H22" s="72" t="s">
        <v>149</v>
      </c>
      <c r="I22" s="65"/>
      <c r="J22" s="100">
        <v>-12509.6389</v>
      </c>
      <c r="K22" s="65">
        <f>-1404-1598-23-657-904</f>
        <v>-4586</v>
      </c>
      <c r="L22" s="68" t="s">
        <v>211</v>
      </c>
      <c r="M22" s="87">
        <f>-B33</f>
        <v>-17095.5</v>
      </c>
      <c r="N22" s="56"/>
      <c r="O22" s="87">
        <f>J22+K22-M22</f>
        <v>-0.13889999999810243</v>
      </c>
    </row>
    <row r="23" spans="1:15">
      <c r="A23" s="14" t="s">
        <v>9</v>
      </c>
      <c r="B23" s="13">
        <v>227</v>
      </c>
      <c r="C23" s="21"/>
      <c r="D23" s="13"/>
      <c r="E23" s="13"/>
      <c r="F23" s="13"/>
      <c r="H23" s="72" t="s">
        <v>148</v>
      </c>
      <c r="I23" s="65"/>
      <c r="J23" s="100">
        <v>-13836.18959</v>
      </c>
      <c r="K23" s="65">
        <f>-B39-482+1598+23</f>
        <v>-4516</v>
      </c>
      <c r="L23" s="68" t="s">
        <v>203</v>
      </c>
      <c r="M23" s="87">
        <f>-(B36+B37+B38+B39)</f>
        <v>-18352.147425200001</v>
      </c>
      <c r="N23" s="56"/>
      <c r="O23" s="87">
        <f>J23+K23-M23</f>
        <v>-4.2164800001046387E-2</v>
      </c>
    </row>
    <row r="24" spans="1:15">
      <c r="A24" s="11" t="s">
        <v>10</v>
      </c>
      <c r="B24" s="17">
        <f>SUM(B19:B23)</f>
        <v>72801</v>
      </c>
      <c r="C24" s="7"/>
      <c r="D24" s="17"/>
      <c r="E24" s="17"/>
      <c r="F24" s="17"/>
      <c r="H24" s="72" t="s">
        <v>153</v>
      </c>
      <c r="I24" s="65"/>
      <c r="J24" s="100">
        <v>0</v>
      </c>
      <c r="K24" s="65"/>
      <c r="L24" s="68"/>
      <c r="M24" s="87"/>
      <c r="N24" s="56"/>
      <c r="O24" s="87">
        <f>J24+K24-M24</f>
        <v>0</v>
      </c>
    </row>
    <row r="25" spans="1:15" ht="15" thickBot="1">
      <c r="A25" s="11" t="s">
        <v>11</v>
      </c>
      <c r="B25" s="18">
        <f>B24+B18</f>
        <v>101083</v>
      </c>
      <c r="C25" s="7"/>
      <c r="D25" s="18"/>
      <c r="E25" s="18"/>
      <c r="F25" s="18"/>
      <c r="H25" s="72" t="s">
        <v>154</v>
      </c>
      <c r="I25" s="65"/>
      <c r="J25" s="100">
        <v>-30064</v>
      </c>
      <c r="K25" s="65"/>
      <c r="L25" s="68"/>
      <c r="M25" s="87">
        <f>-(B34+B35)</f>
        <v>-30064</v>
      </c>
      <c r="N25" s="56"/>
      <c r="O25" s="87">
        <f>J25+K25-M25</f>
        <v>0</v>
      </c>
    </row>
    <row r="26" spans="1:15">
      <c r="A26" s="14"/>
      <c r="B26" s="13"/>
      <c r="C26" s="7"/>
      <c r="D26" s="13"/>
      <c r="E26" s="13"/>
      <c r="F26" s="13"/>
      <c r="H26" s="72"/>
      <c r="I26" s="65"/>
      <c r="J26" s="100"/>
      <c r="K26" s="65"/>
      <c r="L26" s="68"/>
      <c r="M26" s="87"/>
      <c r="N26" s="56"/>
      <c r="O26" s="87"/>
    </row>
    <row r="27" spans="1:15">
      <c r="A27" s="11" t="s">
        <v>12</v>
      </c>
      <c r="B27" s="13"/>
      <c r="C27" s="7"/>
      <c r="D27" s="13"/>
      <c r="E27" s="13"/>
      <c r="F27" s="13"/>
      <c r="H27" s="72" t="s">
        <v>150</v>
      </c>
      <c r="I27" s="65"/>
      <c r="J27" s="100">
        <v>-35926.425000000003</v>
      </c>
      <c r="K27" s="65">
        <f>482-127</f>
        <v>355</v>
      </c>
      <c r="L27" s="68" t="s">
        <v>180</v>
      </c>
      <c r="M27" s="87">
        <f>-B47</f>
        <v>-35571.416273914998</v>
      </c>
      <c r="N27" s="56"/>
      <c r="O27" s="87">
        <f>J27+K27-M27</f>
        <v>-8.7260850050370209E-3</v>
      </c>
    </row>
    <row r="28" spans="1:15">
      <c r="A28" s="11" t="s">
        <v>3</v>
      </c>
      <c r="B28" s="13"/>
      <c r="C28" s="7"/>
      <c r="D28" s="13"/>
      <c r="E28" s="13"/>
      <c r="F28" s="13"/>
      <c r="H28" s="72"/>
      <c r="I28" s="65"/>
      <c r="J28" s="100"/>
      <c r="K28" s="65"/>
      <c r="L28" s="68"/>
      <c r="M28" s="87"/>
      <c r="N28" s="56"/>
      <c r="O28" s="87"/>
    </row>
    <row r="29" spans="1:15">
      <c r="A29" s="15" t="s">
        <v>61</v>
      </c>
      <c r="B29" s="13">
        <v>7007</v>
      </c>
      <c r="C29" s="7"/>
      <c r="D29" s="13"/>
      <c r="E29" s="13"/>
      <c r="F29" s="13"/>
      <c r="H29" s="74" t="s">
        <v>151</v>
      </c>
      <c r="I29" s="67"/>
      <c r="J29" s="101">
        <f>SUM(J22:J27)</f>
        <v>-92336.253490000003</v>
      </c>
      <c r="K29" s="67"/>
      <c r="L29" s="68"/>
      <c r="M29" s="90">
        <f>SUM(M21:M27)</f>
        <v>-101083.06369911501</v>
      </c>
      <c r="N29" s="57"/>
      <c r="O29" s="90">
        <f>SUM(O21:O27)</f>
        <v>-0.18979088500418584</v>
      </c>
    </row>
    <row r="30" spans="1:15">
      <c r="A30" s="14" t="s">
        <v>13</v>
      </c>
      <c r="B30" s="13">
        <v>3642.5</v>
      </c>
      <c r="C30" s="7"/>
      <c r="D30" s="13"/>
      <c r="E30" s="13"/>
      <c r="F30" s="13"/>
      <c r="H30" s="72"/>
      <c r="I30" s="65"/>
      <c r="J30" s="66"/>
      <c r="K30" s="65"/>
      <c r="L30" s="68"/>
      <c r="M30" s="87"/>
      <c r="N30" s="56"/>
      <c r="O30" s="87"/>
    </row>
    <row r="31" spans="1:15" ht="15" thickBot="1">
      <c r="A31" s="14" t="s">
        <v>14</v>
      </c>
      <c r="B31" s="13">
        <v>2296</v>
      </c>
      <c r="C31" s="7"/>
      <c r="D31" s="13"/>
      <c r="E31" s="13"/>
      <c r="F31" s="13"/>
      <c r="H31" s="89"/>
      <c r="I31" s="81"/>
      <c r="J31" s="98"/>
      <c r="K31" s="81">
        <f>SUM(K7:K30)</f>
        <v>0</v>
      </c>
      <c r="L31" s="98"/>
      <c r="M31" s="99"/>
      <c r="N31" s="56"/>
      <c r="O31" s="99"/>
    </row>
    <row r="32" spans="1:15">
      <c r="A32" s="14" t="s">
        <v>62</v>
      </c>
      <c r="B32" s="13">
        <v>4150</v>
      </c>
      <c r="C32" s="7"/>
      <c r="D32" s="13"/>
      <c r="E32" s="13"/>
      <c r="F32" s="13"/>
      <c r="H32" s="31"/>
      <c r="I32" s="56"/>
      <c r="J32" s="56">
        <f>J16+J29</f>
        <v>-1.6399999876739457E-3</v>
      </c>
      <c r="K32" s="56"/>
      <c r="L32" s="56"/>
      <c r="M32" s="56">
        <f>M16+M29</f>
        <v>-6.3699115009512752E-2</v>
      </c>
      <c r="N32" s="56"/>
      <c r="O32" s="56"/>
    </row>
    <row r="33" spans="1:8">
      <c r="A33" s="11" t="s">
        <v>15</v>
      </c>
      <c r="B33" s="17">
        <f>SUM(B29:B32)</f>
        <v>17095.5</v>
      </c>
      <c r="C33" s="7"/>
      <c r="D33" s="17"/>
      <c r="E33" s="17"/>
      <c r="F33" s="17"/>
      <c r="H33" s="103" t="s">
        <v>209</v>
      </c>
    </row>
    <row r="34" spans="1:8">
      <c r="A34" s="15" t="s">
        <v>63</v>
      </c>
      <c r="B34" s="13">
        <v>23064</v>
      </c>
      <c r="C34" s="7"/>
      <c r="D34" s="13"/>
      <c r="E34" s="13"/>
      <c r="F34" s="13"/>
      <c r="H34" t="s">
        <v>210</v>
      </c>
    </row>
    <row r="35" spans="1:8">
      <c r="A35" s="16" t="s">
        <v>64</v>
      </c>
      <c r="B35" s="13">
        <v>7000</v>
      </c>
      <c r="C35" s="7"/>
      <c r="D35" s="13"/>
      <c r="E35" s="13"/>
      <c r="F35" s="13"/>
      <c r="H35" s="31" t="s">
        <v>200</v>
      </c>
    </row>
    <row r="36" spans="1:8">
      <c r="A36" s="16" t="s">
        <v>65</v>
      </c>
      <c r="B36" s="13">
        <v>482.14742519999999</v>
      </c>
      <c r="C36" s="7"/>
      <c r="D36" s="13"/>
      <c r="E36" s="13"/>
      <c r="F36" s="13"/>
      <c r="H36" s="31" t="s">
        <v>198</v>
      </c>
    </row>
    <row r="37" spans="1:8">
      <c r="A37" s="14" t="s">
        <v>16</v>
      </c>
      <c r="B37" s="13">
        <v>1459</v>
      </c>
      <c r="C37" s="7"/>
      <c r="D37" s="13"/>
      <c r="E37" s="13"/>
      <c r="F37" s="13"/>
      <c r="H37" s="31" t="s">
        <v>199</v>
      </c>
    </row>
    <row r="38" spans="1:8">
      <c r="A38" s="16" t="s">
        <v>66</v>
      </c>
      <c r="B38" s="13">
        <v>10756</v>
      </c>
      <c r="C38" s="7"/>
      <c r="D38" s="13"/>
      <c r="E38" s="13"/>
      <c r="F38" s="13"/>
      <c r="H38" s="31" t="s">
        <v>204</v>
      </c>
    </row>
    <row r="39" spans="1:8">
      <c r="A39" s="14" t="s">
        <v>67</v>
      </c>
      <c r="B39" s="13">
        <v>5655</v>
      </c>
      <c r="C39" s="7"/>
      <c r="D39" s="13"/>
      <c r="E39" s="13"/>
      <c r="F39" s="13"/>
      <c r="H39" s="31" t="s">
        <v>205</v>
      </c>
    </row>
    <row r="40" spans="1:8">
      <c r="A40" s="11" t="s">
        <v>17</v>
      </c>
      <c r="B40" s="17">
        <v>48416.147425200004</v>
      </c>
      <c r="C40" s="7"/>
      <c r="D40" s="17"/>
      <c r="E40" s="17"/>
      <c r="F40" s="17"/>
      <c r="H40" s="31" t="s">
        <v>206</v>
      </c>
    </row>
    <row r="41" spans="1:8">
      <c r="A41" s="11" t="s">
        <v>18</v>
      </c>
      <c r="B41" s="17">
        <v>65511.647425200004</v>
      </c>
      <c r="C41" s="7"/>
      <c r="D41" s="17"/>
      <c r="E41" s="17"/>
      <c r="F41" s="17"/>
      <c r="H41" s="31" t="s">
        <v>208</v>
      </c>
    </row>
    <row r="42" spans="1:8">
      <c r="A42" s="14"/>
      <c r="B42" s="13"/>
      <c r="C42" s="7"/>
      <c r="D42" s="13"/>
      <c r="E42" s="13"/>
      <c r="F42" s="13"/>
      <c r="H42" s="31" t="s">
        <v>212</v>
      </c>
    </row>
    <row r="43" spans="1:8">
      <c r="A43" s="11" t="s">
        <v>19</v>
      </c>
      <c r="B43" s="13"/>
      <c r="C43" s="7"/>
      <c r="D43" s="13"/>
      <c r="E43" s="13"/>
      <c r="F43" s="13"/>
    </row>
    <row r="44" spans="1:8">
      <c r="A44" s="15" t="s">
        <v>68</v>
      </c>
      <c r="B44" s="13">
        <v>23064</v>
      </c>
      <c r="C44" s="7"/>
      <c r="D44" s="13"/>
      <c r="E44" s="13"/>
      <c r="F44" s="13"/>
      <c r="H44" t="s">
        <v>214</v>
      </c>
    </row>
    <row r="45" spans="1:8">
      <c r="A45" s="14" t="s">
        <v>20</v>
      </c>
      <c r="B45" s="13">
        <v>12863</v>
      </c>
      <c r="C45" s="7"/>
      <c r="D45" s="13"/>
      <c r="E45" s="13"/>
      <c r="F45" s="13"/>
    </row>
    <row r="46" spans="1:8">
      <c r="A46" s="14" t="s">
        <v>21</v>
      </c>
      <c r="B46" s="13">
        <v>-355.58372608499997</v>
      </c>
      <c r="C46" s="7"/>
      <c r="D46" s="13"/>
      <c r="E46" s="13"/>
      <c r="F46" s="13"/>
    </row>
    <row r="47" spans="1:8">
      <c r="A47" s="11" t="s">
        <v>22</v>
      </c>
      <c r="B47" s="17">
        <v>35571.416273914998</v>
      </c>
      <c r="C47" s="7"/>
      <c r="D47" s="17"/>
      <c r="E47" s="17"/>
      <c r="F47" s="17"/>
    </row>
    <row r="48" spans="1:8" ht="15" thickBot="1">
      <c r="A48" s="11" t="s">
        <v>23</v>
      </c>
      <c r="B48" s="18">
        <v>101083.06369911501</v>
      </c>
      <c r="C48" s="7"/>
      <c r="D48" s="18"/>
      <c r="E48" s="18"/>
      <c r="F48" s="18"/>
    </row>
    <row r="49" spans="1:15">
      <c r="A49" s="5"/>
      <c r="B49" s="5"/>
      <c r="C49" s="5"/>
      <c r="D49" s="5"/>
      <c r="F49" s="5"/>
    </row>
    <row r="50" spans="1:15">
      <c r="A50" s="5"/>
      <c r="B50" s="5"/>
      <c r="C50" s="5"/>
      <c r="D50" s="5"/>
      <c r="F50" s="5"/>
    </row>
    <row r="51" spans="1:15">
      <c r="A51" s="5"/>
      <c r="B51" s="5"/>
      <c r="C51" s="5"/>
      <c r="D51" s="5"/>
      <c r="F51" s="5"/>
    </row>
    <row r="52" spans="1:15" ht="17.399999999999999">
      <c r="A52" s="30" t="s">
        <v>47</v>
      </c>
      <c r="H52" s="6" t="s">
        <v>47</v>
      </c>
      <c r="I52" s="31"/>
      <c r="J52" s="31"/>
      <c r="K52" s="31"/>
      <c r="L52" s="31"/>
      <c r="M52" s="31"/>
      <c r="N52" s="31"/>
      <c r="O52" s="31"/>
    </row>
    <row r="53" spans="1:15" ht="17.399999999999999">
      <c r="A53" s="30" t="s">
        <v>24</v>
      </c>
      <c r="H53" s="6" t="s">
        <v>24</v>
      </c>
      <c r="I53" s="31"/>
      <c r="J53" s="31"/>
      <c r="K53" s="31"/>
      <c r="L53" s="31"/>
      <c r="M53" s="31"/>
      <c r="N53" s="31"/>
      <c r="O53" s="31"/>
    </row>
    <row r="54" spans="1:15" ht="17.399999999999999">
      <c r="A54" s="30" t="s">
        <v>53</v>
      </c>
      <c r="H54" s="6" t="s">
        <v>53</v>
      </c>
      <c r="I54" s="31"/>
      <c r="J54" s="31"/>
      <c r="K54" s="31"/>
      <c r="L54" s="31"/>
      <c r="M54" s="31"/>
      <c r="N54" s="31"/>
      <c r="O54" s="31"/>
    </row>
    <row r="55" spans="1:15" ht="15" thickBot="1">
      <c r="A55" s="9"/>
      <c r="B55" s="3" t="s">
        <v>49</v>
      </c>
      <c r="C55" s="2" t="s">
        <v>51</v>
      </c>
      <c r="D55" s="4" t="s">
        <v>52</v>
      </c>
      <c r="E55" s="4"/>
      <c r="F55" s="4" t="s">
        <v>1</v>
      </c>
      <c r="H55" s="31"/>
      <c r="I55" s="31"/>
      <c r="J55" s="31"/>
      <c r="K55" s="31"/>
      <c r="L55" s="31"/>
      <c r="M55" s="31"/>
      <c r="N55" s="31"/>
      <c r="O55" s="31"/>
    </row>
    <row r="56" spans="1:15">
      <c r="A56" s="26"/>
      <c r="B56" s="1" t="s">
        <v>50</v>
      </c>
      <c r="C56" s="1" t="s">
        <v>50</v>
      </c>
      <c r="D56" s="1" t="s">
        <v>50</v>
      </c>
      <c r="E56" s="1"/>
      <c r="F56" s="1" t="s">
        <v>50</v>
      </c>
      <c r="H56" s="71"/>
      <c r="I56" s="105" t="s">
        <v>193</v>
      </c>
      <c r="J56" s="106"/>
      <c r="K56" s="76" t="s">
        <v>51</v>
      </c>
      <c r="L56" s="77"/>
      <c r="M56" s="83" t="s">
        <v>49</v>
      </c>
      <c r="N56" s="31"/>
      <c r="O56" s="83" t="s">
        <v>1</v>
      </c>
    </row>
    <row r="57" spans="1:15">
      <c r="A57" s="11" t="s">
        <v>25</v>
      </c>
      <c r="B57" s="11"/>
      <c r="C57" s="20"/>
      <c r="D57" s="11"/>
      <c r="E57" s="11"/>
      <c r="F57" s="11"/>
      <c r="H57" s="72"/>
      <c r="I57" s="107" t="s">
        <v>50</v>
      </c>
      <c r="J57" s="108"/>
      <c r="K57" s="78" t="s">
        <v>50</v>
      </c>
      <c r="L57" s="79"/>
      <c r="M57" s="84" t="s">
        <v>50</v>
      </c>
      <c r="N57" s="31"/>
      <c r="O57" s="84" t="s">
        <v>50</v>
      </c>
    </row>
    <row r="58" spans="1:15">
      <c r="A58" s="22" t="s">
        <v>26</v>
      </c>
      <c r="B58" s="13">
        <v>114440</v>
      </c>
      <c r="C58" s="20"/>
      <c r="D58" s="13"/>
      <c r="E58" s="13"/>
      <c r="F58" s="13"/>
      <c r="H58" s="72"/>
      <c r="I58" s="58"/>
      <c r="J58" s="59"/>
      <c r="K58" s="58"/>
      <c r="L58" s="59"/>
      <c r="M58" s="72"/>
      <c r="N58" s="31"/>
      <c r="O58" s="72"/>
    </row>
    <row r="59" spans="1:15">
      <c r="A59" s="22" t="s">
        <v>27</v>
      </c>
      <c r="B59" s="13">
        <v>94230</v>
      </c>
      <c r="C59" s="20"/>
      <c r="D59" s="13"/>
      <c r="E59" s="13"/>
      <c r="F59" s="13"/>
      <c r="H59" s="73" t="s">
        <v>25</v>
      </c>
      <c r="I59" s="60"/>
      <c r="J59" s="61"/>
      <c r="K59" s="65"/>
      <c r="L59" s="59"/>
      <c r="M59" s="72"/>
      <c r="N59" s="31"/>
      <c r="O59" s="72"/>
    </row>
    <row r="60" spans="1:15">
      <c r="A60" s="14" t="s">
        <v>28</v>
      </c>
      <c r="B60" s="17">
        <v>20210</v>
      </c>
      <c r="C60" s="20"/>
      <c r="D60" s="17"/>
      <c r="E60" s="17"/>
      <c r="F60" s="17"/>
      <c r="H60" s="72" t="s">
        <v>110</v>
      </c>
      <c r="I60" s="60">
        <v>-94230.099539999996</v>
      </c>
      <c r="J60" s="61"/>
      <c r="K60" s="80"/>
      <c r="L60" s="93"/>
      <c r="M60" s="72"/>
      <c r="N60" s="31"/>
      <c r="O60" s="72"/>
    </row>
    <row r="61" spans="1:15">
      <c r="A61" s="11" t="s">
        <v>29</v>
      </c>
      <c r="B61" s="13"/>
      <c r="C61" s="20"/>
      <c r="D61" s="13"/>
      <c r="E61" s="13"/>
      <c r="F61" s="13"/>
      <c r="H61" s="72" t="s">
        <v>111</v>
      </c>
      <c r="I61" s="62">
        <v>-21417.446199999998</v>
      </c>
      <c r="J61" s="61">
        <f>SUM(I60:I61)</f>
        <v>-115647.54574</v>
      </c>
      <c r="K61" s="80">
        <v>1208</v>
      </c>
      <c r="L61" s="93" t="s">
        <v>128</v>
      </c>
      <c r="M61" s="85">
        <f>-B58</f>
        <v>-114440</v>
      </c>
      <c r="N61" s="31"/>
      <c r="O61" s="85">
        <f>J61+K61-M61</f>
        <v>0.45425999999861233</v>
      </c>
    </row>
    <row r="62" spans="1:15">
      <c r="A62" s="22" t="s">
        <v>30</v>
      </c>
      <c r="B62" s="13">
        <v>1335</v>
      </c>
      <c r="C62" s="8"/>
      <c r="D62" s="13"/>
      <c r="E62" s="13"/>
      <c r="F62" s="13"/>
      <c r="H62" s="72"/>
      <c r="I62" s="60"/>
      <c r="J62" s="61"/>
      <c r="K62" s="80"/>
      <c r="L62" s="93"/>
      <c r="M62" s="86"/>
      <c r="N62" s="31"/>
      <c r="O62" s="86"/>
    </row>
    <row r="63" spans="1:15">
      <c r="A63" s="22" t="s">
        <v>31</v>
      </c>
      <c r="B63" s="13">
        <v>187</v>
      </c>
      <c r="C63" s="20"/>
      <c r="D63" s="13"/>
      <c r="E63" s="13"/>
      <c r="F63" s="13"/>
      <c r="H63" s="72" t="s">
        <v>112</v>
      </c>
      <c r="I63" s="60">
        <v>-1182.4708800000001</v>
      </c>
      <c r="J63" s="61"/>
      <c r="K63" s="80"/>
      <c r="L63" s="93"/>
      <c r="M63" s="72"/>
      <c r="N63" s="31"/>
      <c r="O63" s="85"/>
    </row>
    <row r="64" spans="1:15">
      <c r="A64" s="22" t="s">
        <v>32</v>
      </c>
      <c r="B64" s="13">
        <v>23</v>
      </c>
      <c r="C64" s="20"/>
      <c r="D64" s="13"/>
      <c r="E64" s="13"/>
      <c r="F64" s="13"/>
      <c r="H64" s="72" t="s">
        <v>113</v>
      </c>
      <c r="I64" s="62">
        <v>-503.70596999999998</v>
      </c>
      <c r="J64" s="61">
        <f>SUM(I63:I64)</f>
        <v>-1686.1768500000001</v>
      </c>
      <c r="K64" s="80">
        <v>141</v>
      </c>
      <c r="L64" s="93" t="s">
        <v>130</v>
      </c>
      <c r="M64" s="85">
        <f>-B65</f>
        <v>-1545</v>
      </c>
      <c r="N64" s="31"/>
      <c r="O64" s="85">
        <f>J64+K64-M64</f>
        <v>-0.17685000000005857</v>
      </c>
    </row>
    <row r="65" spans="1:16">
      <c r="A65" s="11" t="s">
        <v>33</v>
      </c>
      <c r="B65" s="17">
        <v>1545</v>
      </c>
      <c r="C65" s="20"/>
      <c r="D65" s="17"/>
      <c r="E65" s="17"/>
      <c r="F65" s="17"/>
      <c r="H65" s="72"/>
      <c r="I65" s="58"/>
      <c r="J65" s="61"/>
      <c r="K65" s="80"/>
      <c r="L65" s="93"/>
      <c r="M65" s="86"/>
      <c r="N65" s="31"/>
      <c r="O65" s="86"/>
    </row>
    <row r="66" spans="1:16">
      <c r="A66" s="11" t="s">
        <v>34</v>
      </c>
      <c r="B66" s="17">
        <v>21755</v>
      </c>
      <c r="C66" s="20"/>
      <c r="D66" s="17"/>
      <c r="E66" s="17"/>
      <c r="F66" s="17"/>
      <c r="H66" s="72" t="s">
        <v>107</v>
      </c>
      <c r="I66" s="60"/>
      <c r="J66" s="61">
        <v>-318.92966999999999</v>
      </c>
      <c r="K66" s="65">
        <v>319</v>
      </c>
      <c r="L66" s="93" t="s">
        <v>132</v>
      </c>
      <c r="M66" s="87">
        <v>0</v>
      </c>
      <c r="N66" s="31"/>
      <c r="O66" s="85">
        <f>J66+K66-M66</f>
        <v>7.033000000001266E-2</v>
      </c>
      <c r="P66" s="55" t="s">
        <v>140</v>
      </c>
    </row>
    <row r="67" spans="1:16">
      <c r="A67" s="22"/>
      <c r="B67" s="13"/>
      <c r="C67" s="8"/>
      <c r="D67" s="13"/>
      <c r="E67" s="13"/>
      <c r="F67" s="13"/>
      <c r="H67" s="72"/>
      <c r="I67" s="60"/>
      <c r="J67" s="61"/>
      <c r="K67" s="65"/>
      <c r="L67" s="93"/>
      <c r="M67" s="72"/>
      <c r="N67" s="31"/>
      <c r="O67" s="72"/>
    </row>
    <row r="68" spans="1:16">
      <c r="A68" s="11" t="s">
        <v>35</v>
      </c>
      <c r="B68" s="13"/>
      <c r="C68" s="8"/>
      <c r="D68" s="13"/>
      <c r="E68" s="13"/>
      <c r="F68" s="13"/>
      <c r="H68" s="74" t="s">
        <v>114</v>
      </c>
      <c r="I68" s="63"/>
      <c r="J68" s="64">
        <f>SUM(J60:J66)</f>
        <v>-117652.65226</v>
      </c>
      <c r="K68" s="65"/>
      <c r="L68" s="93"/>
      <c r="M68" s="88">
        <f>SUM(M60:M66)</f>
        <v>-115985</v>
      </c>
      <c r="N68" s="31"/>
      <c r="O68" s="88">
        <f>SUM(O60:O66)</f>
        <v>0.34773999999856642</v>
      </c>
    </row>
    <row r="69" spans="1:16">
      <c r="A69" s="22" t="s">
        <v>36</v>
      </c>
      <c r="B69" s="13">
        <v>14224</v>
      </c>
      <c r="C69" s="8"/>
      <c r="D69" s="13"/>
      <c r="E69" s="13"/>
      <c r="F69" s="13"/>
      <c r="H69" s="72"/>
      <c r="I69" s="60"/>
      <c r="J69" s="61"/>
      <c r="K69" s="65"/>
      <c r="L69" s="93"/>
      <c r="M69" s="72"/>
      <c r="N69" s="31"/>
      <c r="O69" s="72"/>
    </row>
    <row r="70" spans="1:16">
      <c r="A70" s="23" t="s">
        <v>37</v>
      </c>
      <c r="B70" s="13">
        <v>-3903</v>
      </c>
      <c r="C70" s="8"/>
      <c r="D70" s="13"/>
      <c r="E70" s="13"/>
      <c r="F70" s="13"/>
      <c r="H70" s="73" t="s">
        <v>35</v>
      </c>
      <c r="I70" s="60"/>
      <c r="J70" s="61"/>
      <c r="K70" s="65"/>
      <c r="L70" s="93"/>
      <c r="M70" s="72"/>
      <c r="N70" s="31"/>
      <c r="O70" s="72"/>
    </row>
    <row r="71" spans="1:16">
      <c r="A71" s="11" t="s">
        <v>38</v>
      </c>
      <c r="B71" s="17">
        <v>10321</v>
      </c>
      <c r="C71" s="8"/>
      <c r="D71" s="17"/>
      <c r="E71" s="17"/>
      <c r="F71" s="17"/>
      <c r="H71" s="72" t="s">
        <v>115</v>
      </c>
      <c r="I71" s="60"/>
      <c r="J71" s="61">
        <v>0</v>
      </c>
      <c r="K71" s="65"/>
      <c r="L71" s="93"/>
      <c r="M71" s="72">
        <v>0</v>
      </c>
      <c r="N71" s="31"/>
      <c r="O71" s="85">
        <f>J71+K71-M71</f>
        <v>0</v>
      </c>
    </row>
    <row r="72" spans="1:16">
      <c r="A72" s="23" t="s">
        <v>39</v>
      </c>
      <c r="B72" s="13">
        <v>11434</v>
      </c>
      <c r="C72" s="29"/>
      <c r="D72" s="13"/>
      <c r="E72" s="13"/>
      <c r="F72" s="13"/>
      <c r="H72" s="72" t="s">
        <v>116</v>
      </c>
      <c r="I72" s="60"/>
      <c r="J72" s="61">
        <v>94230.100160000002</v>
      </c>
      <c r="K72" s="65"/>
      <c r="L72" s="93"/>
      <c r="M72" s="87">
        <f>B59</f>
        <v>94230</v>
      </c>
      <c r="N72" s="31"/>
      <c r="O72" s="85">
        <f>J72+K72-M72</f>
        <v>0.10016000000177883</v>
      </c>
    </row>
    <row r="73" spans="1:16">
      <c r="A73" s="22" t="s">
        <v>40</v>
      </c>
      <c r="B73" s="13">
        <v>-5076</v>
      </c>
      <c r="C73" s="20"/>
      <c r="D73" s="13"/>
      <c r="E73" s="13"/>
      <c r="F73" s="13"/>
      <c r="H73" s="72" t="s">
        <v>117</v>
      </c>
      <c r="I73" s="60">
        <v>0</v>
      </c>
      <c r="J73" s="61"/>
      <c r="K73" s="65"/>
      <c r="L73" s="93"/>
      <c r="M73" s="72"/>
      <c r="N73" s="31"/>
      <c r="O73" s="72"/>
    </row>
    <row r="74" spans="1:16">
      <c r="A74" s="22" t="s">
        <v>41</v>
      </c>
      <c r="B74" s="13">
        <v>-30</v>
      </c>
      <c r="C74" s="29"/>
      <c r="D74" s="13"/>
      <c r="E74" s="13"/>
      <c r="F74" s="13"/>
      <c r="H74" s="72" t="s">
        <v>118</v>
      </c>
      <c r="I74" s="60">
        <v>1797.9227599999999</v>
      </c>
      <c r="J74" s="64"/>
      <c r="K74" s="65"/>
      <c r="L74" s="93"/>
      <c r="M74" s="72"/>
      <c r="N74" s="31"/>
      <c r="O74" s="72"/>
    </row>
    <row r="75" spans="1:16">
      <c r="A75" s="22" t="s">
        <v>42</v>
      </c>
      <c r="B75" s="13">
        <v>141</v>
      </c>
      <c r="C75" s="20"/>
      <c r="D75" s="13"/>
      <c r="E75" s="13"/>
      <c r="F75" s="13"/>
      <c r="H75" s="72" t="s">
        <v>119</v>
      </c>
      <c r="I75" s="60">
        <v>0</v>
      </c>
      <c r="J75" s="61"/>
      <c r="K75" s="65"/>
      <c r="L75" s="93"/>
      <c r="M75" s="72"/>
      <c r="N75" s="31"/>
      <c r="O75" s="72"/>
    </row>
    <row r="76" spans="1:16">
      <c r="A76" s="22" t="s">
        <v>43</v>
      </c>
      <c r="B76" s="13">
        <v>144</v>
      </c>
      <c r="C76" s="20"/>
      <c r="D76" s="13"/>
      <c r="E76" s="13"/>
      <c r="F76" s="13"/>
      <c r="H76" s="72" t="s">
        <v>120</v>
      </c>
      <c r="I76" s="60">
        <v>2358.6858699999998</v>
      </c>
      <c r="J76" s="61"/>
      <c r="K76" s="65"/>
      <c r="L76" s="93"/>
      <c r="M76" s="72"/>
      <c r="N76" s="31"/>
      <c r="O76" s="72"/>
    </row>
    <row r="77" spans="1:16">
      <c r="A77" s="24" t="s">
        <v>70</v>
      </c>
      <c r="B77" s="13">
        <v>-1768</v>
      </c>
      <c r="C77" s="20"/>
      <c r="D77" s="13"/>
      <c r="E77" s="13"/>
      <c r="F77" s="13"/>
      <c r="H77" s="72" t="s">
        <v>121</v>
      </c>
      <c r="I77" s="60">
        <v>967.25117999999998</v>
      </c>
      <c r="J77" s="61"/>
      <c r="K77" s="65"/>
      <c r="L77" s="93"/>
      <c r="M77" s="72"/>
      <c r="N77" s="31"/>
      <c r="O77" s="72"/>
    </row>
    <row r="78" spans="1:16">
      <c r="A78" s="22" t="s">
        <v>69</v>
      </c>
      <c r="B78" s="13">
        <v>1208</v>
      </c>
      <c r="C78" s="29"/>
      <c r="D78" s="13"/>
      <c r="E78" s="13"/>
      <c r="F78" s="13"/>
      <c r="H78" s="72" t="s">
        <v>122</v>
      </c>
      <c r="I78" s="62">
        <v>5022.1299099999997</v>
      </c>
      <c r="J78" s="61">
        <f>SUM(I73:I78)</f>
        <v>10145.98972</v>
      </c>
      <c r="K78" s="65">
        <f>145+32</f>
        <v>177</v>
      </c>
      <c r="L78" s="93" t="s">
        <v>136</v>
      </c>
      <c r="M78" s="87">
        <f>B71</f>
        <v>10321</v>
      </c>
      <c r="N78" s="31"/>
      <c r="O78" s="87">
        <f>J78+K78-M78</f>
        <v>1.9897199999995792</v>
      </c>
      <c r="P78" s="55" t="s">
        <v>140</v>
      </c>
    </row>
    <row r="79" spans="1:16">
      <c r="A79" s="22" t="s">
        <v>44</v>
      </c>
      <c r="B79" s="27">
        <v>6053</v>
      </c>
      <c r="C79" s="20"/>
      <c r="D79" s="27"/>
      <c r="E79" s="27"/>
      <c r="F79" s="27"/>
      <c r="H79" s="72"/>
      <c r="I79" s="60"/>
      <c r="J79" s="61"/>
      <c r="K79" s="65"/>
      <c r="L79" s="93"/>
      <c r="M79" s="72"/>
      <c r="N79" s="31"/>
      <c r="O79" s="72"/>
    </row>
    <row r="80" spans="1:16">
      <c r="A80" s="22" t="s">
        <v>45</v>
      </c>
      <c r="B80" s="13"/>
      <c r="C80" s="20"/>
      <c r="D80" s="13"/>
      <c r="E80" s="13"/>
      <c r="F80" s="13"/>
      <c r="H80" s="74" t="s">
        <v>215</v>
      </c>
      <c r="I80" s="63"/>
      <c r="J80" s="64">
        <f>SUM(J68:J78)</f>
        <v>-13276.562380000001</v>
      </c>
      <c r="K80" s="65"/>
      <c r="L80" s="93"/>
      <c r="M80" s="64">
        <f>SUM(M68:M78)</f>
        <v>-11434</v>
      </c>
      <c r="N80" s="31"/>
      <c r="O80" s="88">
        <f>SUM(O68:O78)</f>
        <v>2.4376199999999244</v>
      </c>
    </row>
    <row r="81" spans="1:16">
      <c r="A81" s="25" t="s">
        <v>71</v>
      </c>
      <c r="B81" s="13">
        <v>1637</v>
      </c>
      <c r="C81" s="20"/>
      <c r="D81" s="13"/>
      <c r="E81" s="13"/>
      <c r="F81" s="13"/>
      <c r="H81" s="72"/>
      <c r="I81" s="60"/>
      <c r="J81" s="61"/>
      <c r="K81" s="65"/>
      <c r="L81" s="93"/>
      <c r="M81" s="72"/>
      <c r="N81" s="31"/>
      <c r="O81" s="72"/>
    </row>
    <row r="82" spans="1:16">
      <c r="A82" s="11" t="s">
        <v>46</v>
      </c>
      <c r="B82" s="27">
        <v>4416</v>
      </c>
      <c r="C82" s="20"/>
      <c r="D82" s="27"/>
      <c r="E82" s="27"/>
      <c r="F82" s="27"/>
      <c r="H82" s="72" t="s">
        <v>123</v>
      </c>
      <c r="I82" s="65"/>
      <c r="J82" s="66">
        <v>5076.1039300000002</v>
      </c>
      <c r="K82" s="65"/>
      <c r="L82" s="93"/>
      <c r="M82" s="87">
        <f>-B73</f>
        <v>5076</v>
      </c>
      <c r="N82" s="31"/>
      <c r="O82" s="87">
        <f>J82+K82-M82</f>
        <v>0.10393000000021857</v>
      </c>
    </row>
    <row r="83" spans="1:16">
      <c r="A83" s="22"/>
      <c r="B83" s="13"/>
      <c r="C83" s="20"/>
      <c r="D83" s="13"/>
      <c r="E83" s="13"/>
      <c r="F83" s="13"/>
      <c r="H83" s="72" t="s">
        <v>124</v>
      </c>
      <c r="I83" s="65"/>
      <c r="J83" s="66">
        <v>1969.90949</v>
      </c>
      <c r="K83" s="65">
        <v>-203</v>
      </c>
      <c r="L83" s="93" t="s">
        <v>132</v>
      </c>
      <c r="M83" s="87">
        <f>-B77</f>
        <v>1768</v>
      </c>
      <c r="N83" s="31"/>
      <c r="O83" s="87">
        <f t="shared" ref="O83:O86" si="0">J83+K83-M83</f>
        <v>-1.0905099999999948</v>
      </c>
      <c r="P83" s="55" t="s">
        <v>140</v>
      </c>
    </row>
    <row r="84" spans="1:16">
      <c r="A84" s="5"/>
      <c r="B84" s="5"/>
      <c r="C84" s="5"/>
      <c r="D84" s="5"/>
      <c r="F84" s="5"/>
      <c r="H84" s="72" t="s">
        <v>216</v>
      </c>
      <c r="I84" s="65"/>
      <c r="J84" s="66">
        <v>0</v>
      </c>
      <c r="K84" s="65">
        <f>-319+203-30</f>
        <v>-146</v>
      </c>
      <c r="L84" s="93" t="s">
        <v>166</v>
      </c>
      <c r="M84" s="87">
        <f>-B76</f>
        <v>-144</v>
      </c>
      <c r="N84" s="31"/>
      <c r="O84" s="87">
        <f t="shared" si="0"/>
        <v>-2</v>
      </c>
      <c r="P84" s="55" t="s">
        <v>140</v>
      </c>
    </row>
    <row r="85" spans="1:16">
      <c r="A85" s="5"/>
      <c r="B85" s="5"/>
      <c r="C85" s="5"/>
      <c r="D85" s="5"/>
      <c r="F85" s="5"/>
      <c r="H85" s="72" t="s">
        <v>125</v>
      </c>
      <c r="I85" s="65"/>
      <c r="J85" s="66">
        <v>1781.8705299999999</v>
      </c>
      <c r="K85" s="65">
        <v>-145</v>
      </c>
      <c r="L85" s="93" t="s">
        <v>133</v>
      </c>
      <c r="M85" s="87">
        <f>B81</f>
        <v>1637</v>
      </c>
      <c r="N85" s="31"/>
      <c r="O85" s="87">
        <f t="shared" si="0"/>
        <v>-0.12947000000008302</v>
      </c>
    </row>
    <row r="86" spans="1:16">
      <c r="A86" s="5"/>
      <c r="B86" s="5"/>
      <c r="C86" s="5"/>
      <c r="D86" s="5"/>
      <c r="F86" s="5"/>
      <c r="H86" s="72" t="s">
        <v>126</v>
      </c>
      <c r="I86" s="65"/>
      <c r="J86" s="66">
        <v>32.361879999999999</v>
      </c>
      <c r="K86" s="65">
        <v>-32</v>
      </c>
      <c r="L86" s="93" t="s">
        <v>135</v>
      </c>
      <c r="M86" s="87">
        <v>0</v>
      </c>
      <c r="N86" s="31"/>
      <c r="O86" s="87">
        <f t="shared" si="0"/>
        <v>0.36187999999999931</v>
      </c>
    </row>
    <row r="87" spans="1:16">
      <c r="H87" s="94" t="s">
        <v>42</v>
      </c>
      <c r="I87" s="65"/>
      <c r="J87" s="66">
        <v>0</v>
      </c>
      <c r="K87" s="65">
        <v>-141</v>
      </c>
      <c r="L87" s="93" t="s">
        <v>130</v>
      </c>
      <c r="M87" s="87">
        <f>-B75</f>
        <v>-141</v>
      </c>
      <c r="N87" s="31"/>
      <c r="O87" s="87">
        <f>J87+K87-M87</f>
        <v>0</v>
      </c>
    </row>
    <row r="88" spans="1:16">
      <c r="H88" s="94" t="s">
        <v>103</v>
      </c>
      <c r="I88" s="65"/>
      <c r="J88" s="64">
        <v>0</v>
      </c>
      <c r="K88" s="65">
        <v>30</v>
      </c>
      <c r="L88" s="93" t="s">
        <v>138</v>
      </c>
      <c r="M88" s="87">
        <f>-B74</f>
        <v>30</v>
      </c>
      <c r="N88" s="31"/>
      <c r="O88" s="87">
        <f>J88+K88-M88</f>
        <v>0</v>
      </c>
    </row>
    <row r="89" spans="1:16">
      <c r="H89" s="94" t="s">
        <v>69</v>
      </c>
      <c r="I89" s="65"/>
      <c r="J89" s="64">
        <v>0</v>
      </c>
      <c r="K89" s="65">
        <v>-1208</v>
      </c>
      <c r="L89" s="93" t="s">
        <v>128</v>
      </c>
      <c r="M89" s="66">
        <f>-B78</f>
        <v>-1208</v>
      </c>
      <c r="N89" s="31"/>
      <c r="O89" s="87">
        <f>J89+K89-M89</f>
        <v>0</v>
      </c>
    </row>
    <row r="90" spans="1:16">
      <c r="H90" s="74"/>
      <c r="I90" s="67"/>
      <c r="J90" s="68"/>
      <c r="K90" s="65"/>
      <c r="L90" s="59"/>
      <c r="M90" s="68"/>
      <c r="N90" s="31"/>
      <c r="O90" s="90"/>
    </row>
    <row r="91" spans="1:16">
      <c r="H91" s="72"/>
      <c r="I91" s="65"/>
      <c r="J91" s="66"/>
      <c r="K91" s="65"/>
      <c r="L91" s="59"/>
      <c r="M91" s="72"/>
      <c r="N91" s="31"/>
      <c r="O91" s="72"/>
    </row>
    <row r="92" spans="1:16" ht="15" thickBot="1">
      <c r="H92" s="75" t="s">
        <v>127</v>
      </c>
      <c r="I92" s="69"/>
      <c r="J92" s="70">
        <f>SUM(J80:J91)</f>
        <v>-4416.3165500000014</v>
      </c>
      <c r="K92" s="69">
        <f>SUM(K58:K91)</f>
        <v>0</v>
      </c>
      <c r="L92" s="82"/>
      <c r="M92" s="70">
        <f>SUM(M80:M91)</f>
        <v>-4416</v>
      </c>
      <c r="N92" s="31"/>
      <c r="O92" s="91">
        <f>SUM(O80:O91)</f>
        <v>-0.31654999999993549</v>
      </c>
    </row>
    <row r="94" spans="1:16">
      <c r="H94" t="s">
        <v>194</v>
      </c>
    </row>
    <row r="95" spans="1:16">
      <c r="H95" s="31" t="s">
        <v>195</v>
      </c>
    </row>
    <row r="96" spans="1:16">
      <c r="H96" s="31" t="s">
        <v>219</v>
      </c>
    </row>
    <row r="97" spans="8:8">
      <c r="H97" s="31" t="s">
        <v>196</v>
      </c>
    </row>
    <row r="98" spans="8:8">
      <c r="H98" s="31" t="s">
        <v>197</v>
      </c>
    </row>
    <row r="99" spans="8:8">
      <c r="H99" s="92" t="s">
        <v>139</v>
      </c>
    </row>
  </sheetData>
  <mergeCells count="4">
    <mergeCell ref="I56:J56"/>
    <mergeCell ref="I57:J57"/>
    <mergeCell ref="I5:J5"/>
    <mergeCell ref="I6:J6"/>
  </mergeCells>
  <printOptions horizontalCentered="1"/>
  <pageMargins left="0.31496062992125984" right="0.31496062992125984" top="0.55118110236220474" bottom="0.55118110236220474" header="0.31496062992125984" footer="0.31496062992125984"/>
  <pageSetup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7"/>
  <sheetViews>
    <sheetView topLeftCell="A36" zoomScale="85" zoomScaleNormal="85" workbookViewId="0">
      <selection activeCell="I76" sqref="I76"/>
    </sheetView>
  </sheetViews>
  <sheetFormatPr defaultRowHeight="14.4"/>
  <cols>
    <col min="1" max="1" width="60.33203125" customWidth="1"/>
    <col min="2" max="2" width="19.5546875" customWidth="1"/>
    <col min="3" max="3" width="16.109375" hidden="1" customWidth="1"/>
    <col min="4" max="4" width="18.6640625" hidden="1" customWidth="1"/>
    <col min="5" max="5" width="3.33203125" hidden="1" customWidth="1"/>
    <col min="6" max="6" width="15.88671875" hidden="1" customWidth="1"/>
    <col min="8" max="8" width="43.6640625" customWidth="1"/>
    <col min="9" max="10" width="18.5546875" customWidth="1"/>
    <col min="11" max="11" width="18.6640625" customWidth="1"/>
    <col min="12" max="12" width="11" customWidth="1"/>
    <col min="13" max="13" width="20" customWidth="1"/>
    <col min="14" max="14" width="1.88671875" customWidth="1"/>
    <col min="15" max="15" width="17.88671875" customWidth="1"/>
  </cols>
  <sheetData>
    <row r="1" spans="1:16">
      <c r="H1" s="6" t="s">
        <v>47</v>
      </c>
      <c r="I1" s="31"/>
      <c r="J1" s="31"/>
      <c r="K1" s="31"/>
      <c r="L1" s="31"/>
      <c r="M1" s="31"/>
      <c r="N1" s="31"/>
      <c r="O1" s="31"/>
    </row>
    <row r="2" spans="1:16">
      <c r="H2" s="6" t="s">
        <v>0</v>
      </c>
      <c r="I2" s="31"/>
      <c r="J2" s="31"/>
      <c r="K2" s="31"/>
      <c r="L2" s="31"/>
      <c r="M2" s="31"/>
      <c r="N2" s="31"/>
      <c r="O2" s="31"/>
    </row>
    <row r="3" spans="1:16">
      <c r="H3" s="6" t="s">
        <v>156</v>
      </c>
      <c r="I3" s="31"/>
      <c r="J3" s="31"/>
      <c r="K3" s="31"/>
      <c r="L3" s="31"/>
      <c r="M3" s="31"/>
      <c r="N3" s="31"/>
      <c r="O3" s="31"/>
    </row>
    <row r="4" spans="1:16" ht="15" thickBot="1">
      <c r="H4" s="31"/>
      <c r="I4" s="31"/>
      <c r="J4" s="31"/>
      <c r="K4" s="31"/>
      <c r="L4" s="31"/>
      <c r="M4" s="31"/>
      <c r="N4" s="31"/>
      <c r="O4" s="31"/>
    </row>
    <row r="5" spans="1:16">
      <c r="A5" s="6" t="s">
        <v>47</v>
      </c>
      <c r="B5" s="31"/>
      <c r="C5" s="31"/>
      <c r="D5" s="31"/>
      <c r="E5" s="31"/>
      <c r="F5" s="31"/>
      <c r="H5" s="71"/>
      <c r="I5" s="105" t="s">
        <v>160</v>
      </c>
      <c r="J5" s="106"/>
      <c r="K5" s="76" t="s">
        <v>51</v>
      </c>
      <c r="L5" s="77"/>
      <c r="M5" s="83" t="s">
        <v>157</v>
      </c>
      <c r="N5" s="31"/>
      <c r="O5" s="83" t="s">
        <v>1</v>
      </c>
    </row>
    <row r="6" spans="1:16">
      <c r="A6" s="6" t="s">
        <v>0</v>
      </c>
      <c r="B6" s="31"/>
      <c r="C6" s="31"/>
      <c r="D6" s="31"/>
      <c r="E6" s="31"/>
      <c r="F6" s="31"/>
      <c r="H6" s="72"/>
      <c r="I6" s="107" t="s">
        <v>50</v>
      </c>
      <c r="J6" s="108"/>
      <c r="K6" s="78" t="s">
        <v>50</v>
      </c>
      <c r="L6" s="79"/>
      <c r="M6" s="84" t="s">
        <v>50</v>
      </c>
      <c r="N6" s="31"/>
      <c r="O6" s="84" t="s">
        <v>50</v>
      </c>
    </row>
    <row r="7" spans="1:16">
      <c r="A7" s="6" t="s">
        <v>156</v>
      </c>
      <c r="B7" s="31"/>
      <c r="C7" s="31"/>
      <c r="D7" s="31"/>
      <c r="E7" s="31"/>
      <c r="F7" s="31"/>
      <c r="H7" s="73" t="s">
        <v>2</v>
      </c>
      <c r="I7" s="65"/>
      <c r="J7" s="66"/>
      <c r="K7" s="65"/>
      <c r="L7" s="68"/>
      <c r="M7" s="87"/>
      <c r="N7" s="56"/>
      <c r="O7" s="87"/>
    </row>
    <row r="8" spans="1:16">
      <c r="A8" s="31"/>
      <c r="B8" s="3" t="s">
        <v>157</v>
      </c>
      <c r="C8" s="2" t="s">
        <v>51</v>
      </c>
      <c r="D8" s="4" t="s">
        <v>52</v>
      </c>
      <c r="E8" s="4"/>
      <c r="F8" s="4" t="s">
        <v>1</v>
      </c>
      <c r="H8" s="72"/>
      <c r="I8" s="65"/>
      <c r="J8" s="66"/>
      <c r="K8" s="65"/>
      <c r="L8" s="68"/>
      <c r="M8" s="87"/>
      <c r="N8" s="56"/>
      <c r="O8" s="87"/>
    </row>
    <row r="9" spans="1:16">
      <c r="A9" s="31"/>
      <c r="B9" s="43" t="s">
        <v>50</v>
      </c>
      <c r="C9" s="43" t="s">
        <v>50</v>
      </c>
      <c r="D9" s="43" t="s">
        <v>50</v>
      </c>
      <c r="E9" s="43"/>
      <c r="F9" s="43" t="s">
        <v>50</v>
      </c>
      <c r="H9" s="72" t="s">
        <v>141</v>
      </c>
      <c r="I9" s="65"/>
      <c r="J9" s="66">
        <v>26465.420999999998</v>
      </c>
      <c r="K9" s="65">
        <f>25.89-474.387+145.241--703.306</f>
        <v>400.05000000000007</v>
      </c>
      <c r="L9" s="68" t="s">
        <v>182</v>
      </c>
      <c r="M9" s="87">
        <f>B13+B14+B15+B16+B17+B19</f>
        <v>26865</v>
      </c>
      <c r="N9" s="56"/>
      <c r="O9" s="87">
        <f>J9+K9-M9</f>
        <v>0.4709999999977299</v>
      </c>
    </row>
    <row r="10" spans="1:16">
      <c r="A10" s="32" t="s">
        <v>2</v>
      </c>
      <c r="B10" s="33"/>
      <c r="H10" s="72" t="s">
        <v>142</v>
      </c>
      <c r="I10" s="65"/>
      <c r="J10" s="66">
        <v>265.36799999999999</v>
      </c>
      <c r="K10" s="65">
        <v>-25.89</v>
      </c>
      <c r="L10" s="68" t="s">
        <v>128</v>
      </c>
      <c r="M10" s="87">
        <f>B18</f>
        <v>239</v>
      </c>
      <c r="N10" s="56"/>
      <c r="O10" s="87">
        <f>J10+K10-M10</f>
        <v>0.47800000000000864</v>
      </c>
    </row>
    <row r="11" spans="1:16">
      <c r="A11" s="32" t="s">
        <v>3</v>
      </c>
      <c r="B11" s="34"/>
      <c r="H11" s="95" t="s">
        <v>143</v>
      </c>
      <c r="I11" s="65"/>
      <c r="J11" s="66">
        <v>247.49299999999999</v>
      </c>
      <c r="K11" s="102"/>
      <c r="L11" s="31"/>
      <c r="M11" s="87">
        <f>B26</f>
        <v>248</v>
      </c>
      <c r="N11" s="56"/>
      <c r="O11" s="87">
        <f>J11+K11-M11</f>
        <v>-0.507000000000005</v>
      </c>
      <c r="P11" s="55" t="s">
        <v>140</v>
      </c>
    </row>
    <row r="12" spans="1:16">
      <c r="B12" s="34"/>
      <c r="H12" s="95" t="s">
        <v>144</v>
      </c>
      <c r="I12" s="65"/>
      <c r="J12" s="66">
        <v>1494.174</v>
      </c>
      <c r="K12" s="102">
        <f>B46+474.387+88</f>
        <v>8525.3870000000006</v>
      </c>
      <c r="L12" s="68" t="s">
        <v>190</v>
      </c>
      <c r="M12" s="87">
        <f>B20+B23+B25</f>
        <v>10018.97280525</v>
      </c>
      <c r="N12" s="56"/>
      <c r="O12" s="87">
        <f>J12+K12-M12</f>
        <v>0.58819475000200327</v>
      </c>
      <c r="P12" s="55" t="s">
        <v>140</v>
      </c>
    </row>
    <row r="13" spans="1:16">
      <c r="A13" s="35" t="s">
        <v>108</v>
      </c>
      <c r="B13" s="34">
        <v>6204</v>
      </c>
      <c r="H13" s="95" t="s">
        <v>145</v>
      </c>
      <c r="I13" s="65">
        <v>153366.147</v>
      </c>
      <c r="J13" s="66"/>
      <c r="K13" s="65"/>
      <c r="L13" s="68"/>
      <c r="M13" s="87"/>
      <c r="N13" s="56"/>
      <c r="O13" s="87"/>
    </row>
    <row r="14" spans="1:16">
      <c r="A14" s="38" t="s">
        <v>77</v>
      </c>
      <c r="B14" s="34">
        <v>7615</v>
      </c>
      <c r="H14" s="95" t="s">
        <v>146</v>
      </c>
      <c r="I14" s="97">
        <v>-82657.305999999997</v>
      </c>
      <c r="J14" s="66">
        <f>SUM(I13:I14)</f>
        <v>70708.841</v>
      </c>
      <c r="K14" s="65"/>
      <c r="L14" s="68"/>
      <c r="M14" s="87">
        <f>B22</f>
        <v>70709</v>
      </c>
      <c r="N14" s="56"/>
      <c r="O14" s="87">
        <f>J14+K14-M14</f>
        <v>-0.15899999999965075</v>
      </c>
    </row>
    <row r="15" spans="1:16">
      <c r="A15" s="35" t="s">
        <v>4</v>
      </c>
      <c r="B15" s="34">
        <v>145</v>
      </c>
      <c r="H15" s="72"/>
      <c r="I15" s="65"/>
      <c r="J15" s="66"/>
      <c r="K15" s="65"/>
      <c r="L15" s="68"/>
      <c r="M15" s="87"/>
      <c r="N15" s="56"/>
      <c r="O15" s="87"/>
    </row>
    <row r="16" spans="1:16">
      <c r="A16" s="35" t="s">
        <v>5</v>
      </c>
      <c r="B16" s="34">
        <v>12357</v>
      </c>
      <c r="H16" s="96" t="s">
        <v>147</v>
      </c>
      <c r="I16" s="67"/>
      <c r="J16" s="68">
        <f>SUM(J9:J14)</f>
        <v>99181.296999999991</v>
      </c>
      <c r="K16" s="67"/>
      <c r="L16" s="68"/>
      <c r="M16" s="90">
        <f>SUM(M9:M14)</f>
        <v>108079.97280525</v>
      </c>
      <c r="N16" s="57"/>
      <c r="O16" s="90">
        <f>SUM(O9:O14)</f>
        <v>0.87119475000008606</v>
      </c>
    </row>
    <row r="17" spans="1:16">
      <c r="A17" s="38" t="s">
        <v>78</v>
      </c>
      <c r="B17" s="34">
        <v>408</v>
      </c>
      <c r="H17" s="72"/>
      <c r="I17" s="65"/>
      <c r="J17" s="66"/>
      <c r="K17" s="65"/>
      <c r="L17" s="68"/>
      <c r="M17" s="87"/>
      <c r="N17" s="56"/>
      <c r="O17" s="87"/>
    </row>
    <row r="18" spans="1:16">
      <c r="A18" s="35" t="s">
        <v>6</v>
      </c>
      <c r="B18" s="34">
        <v>239</v>
      </c>
      <c r="H18" s="72"/>
      <c r="I18" s="65"/>
      <c r="J18" s="66"/>
      <c r="K18" s="65"/>
      <c r="L18" s="68"/>
      <c r="M18" s="87"/>
      <c r="N18" s="56"/>
      <c r="O18" s="87"/>
    </row>
    <row r="19" spans="1:16">
      <c r="A19" s="35" t="s">
        <v>7</v>
      </c>
      <c r="B19" s="34">
        <v>136</v>
      </c>
      <c r="H19" s="72"/>
      <c r="I19" s="65"/>
      <c r="J19" s="66"/>
      <c r="K19" s="65"/>
      <c r="L19" s="68"/>
      <c r="M19" s="87"/>
      <c r="N19" s="56"/>
      <c r="O19" s="87"/>
    </row>
    <row r="20" spans="1:16">
      <c r="A20" s="35" t="s">
        <v>79</v>
      </c>
      <c r="B20" s="34">
        <v>586</v>
      </c>
      <c r="H20" s="73" t="s">
        <v>12</v>
      </c>
      <c r="I20" s="65"/>
      <c r="J20" s="66"/>
      <c r="K20" s="65"/>
      <c r="L20" s="68"/>
      <c r="M20" s="87"/>
      <c r="N20" s="56"/>
      <c r="O20" s="87"/>
    </row>
    <row r="21" spans="1:16">
      <c r="A21" s="32" t="s">
        <v>8</v>
      </c>
      <c r="B21" s="39">
        <v>27690</v>
      </c>
      <c r="H21" s="72"/>
      <c r="I21" s="65"/>
      <c r="J21" s="66"/>
      <c r="K21" s="65"/>
      <c r="L21" s="68"/>
      <c r="M21" s="87"/>
      <c r="N21" s="56"/>
      <c r="O21" s="87"/>
    </row>
    <row r="22" spans="1:16">
      <c r="A22" s="35" t="s">
        <v>80</v>
      </c>
      <c r="B22" s="34">
        <v>70709</v>
      </c>
      <c r="H22" s="72" t="s">
        <v>149</v>
      </c>
      <c r="I22" s="65"/>
      <c r="J22" s="100">
        <v>-15628.848</v>
      </c>
      <c r="K22" s="65">
        <f>-145.241-2065.345-586.417+-703.306</f>
        <v>-3500.3089999999997</v>
      </c>
      <c r="L22" s="68" t="s">
        <v>136</v>
      </c>
      <c r="M22" s="87">
        <f>-B38</f>
        <v>-19127</v>
      </c>
      <c r="N22" s="56"/>
      <c r="O22" s="87">
        <f>J22+K22-M22</f>
        <v>-2.1569999999992433</v>
      </c>
      <c r="P22" s="55" t="s">
        <v>140</v>
      </c>
    </row>
    <row r="23" spans="1:16">
      <c r="A23" s="35" t="s">
        <v>81</v>
      </c>
      <c r="B23" s="34">
        <v>474</v>
      </c>
      <c r="H23" s="72" t="s">
        <v>148</v>
      </c>
      <c r="I23" s="65"/>
      <c r="J23" s="100">
        <v>-15746.361000000001</v>
      </c>
      <c r="K23" s="65">
        <f>-B46+2065.345+586.417-332</f>
        <v>-5643.2380000000003</v>
      </c>
      <c r="L23" s="68" t="s">
        <v>189</v>
      </c>
      <c r="M23" s="87">
        <f>-(B41+B42+B44+B46)</f>
        <v>-21389.972849999998</v>
      </c>
      <c r="N23" s="56"/>
      <c r="O23" s="87">
        <f>J23+K23-M23</f>
        <v>0.37384999999630963</v>
      </c>
    </row>
    <row r="24" spans="1:16">
      <c r="A24" s="36" t="s">
        <v>82</v>
      </c>
      <c r="B24" s="34">
        <v>0</v>
      </c>
      <c r="H24" s="72" t="s">
        <v>153</v>
      </c>
      <c r="I24" s="65"/>
      <c r="J24" s="100">
        <v>0</v>
      </c>
      <c r="K24" s="65"/>
      <c r="L24" s="68"/>
      <c r="M24" s="87"/>
      <c r="N24" s="56"/>
      <c r="O24" s="87">
        <f>J24+K24-M24</f>
        <v>0</v>
      </c>
    </row>
    <row r="25" spans="1:16">
      <c r="A25" s="35" t="s">
        <v>83</v>
      </c>
      <c r="B25" s="34">
        <v>8958.9728052499995</v>
      </c>
      <c r="H25" s="72" t="s">
        <v>154</v>
      </c>
      <c r="I25" s="65"/>
      <c r="J25" s="100">
        <v>-30064</v>
      </c>
      <c r="K25" s="65"/>
      <c r="L25" s="68"/>
      <c r="M25" s="87">
        <f>-(B39+B40)</f>
        <v>-30064</v>
      </c>
      <c r="N25" s="56"/>
      <c r="O25" s="87">
        <f>J25+K25-M25</f>
        <v>0</v>
      </c>
    </row>
    <row r="26" spans="1:16">
      <c r="A26" s="35" t="s">
        <v>9</v>
      </c>
      <c r="B26" s="34">
        <v>248</v>
      </c>
      <c r="H26" s="72"/>
      <c r="I26" s="65"/>
      <c r="J26" s="100"/>
      <c r="K26" s="65"/>
      <c r="L26" s="68"/>
      <c r="M26" s="87"/>
      <c r="N26" s="56"/>
      <c r="O26" s="87"/>
    </row>
    <row r="27" spans="1:16">
      <c r="A27" s="32" t="s">
        <v>10</v>
      </c>
      <c r="B27" s="39">
        <v>80389.97280525</v>
      </c>
      <c r="H27" s="72" t="s">
        <v>150</v>
      </c>
      <c r="I27" s="65"/>
      <c r="J27" s="100">
        <v>-37742.088000000003</v>
      </c>
      <c r="K27" s="65">
        <f>332-88</f>
        <v>244</v>
      </c>
      <c r="L27" s="68" t="s">
        <v>176</v>
      </c>
      <c r="M27" s="87">
        <f>-B55</f>
        <v>-37498.999955250001</v>
      </c>
      <c r="N27" s="56"/>
      <c r="O27" s="87">
        <f>J27+K27-M27</f>
        <v>0.91195524999784539</v>
      </c>
      <c r="P27" s="55" t="s">
        <v>140</v>
      </c>
    </row>
    <row r="28" spans="1:16" ht="15" thickBot="1">
      <c r="A28" s="32" t="s">
        <v>11</v>
      </c>
      <c r="B28" s="40">
        <v>108079.97280525</v>
      </c>
      <c r="H28" s="72"/>
      <c r="I28" s="65"/>
      <c r="J28" s="100"/>
      <c r="K28" s="65"/>
      <c r="L28" s="68"/>
      <c r="M28" s="87"/>
      <c r="N28" s="56"/>
      <c r="O28" s="87"/>
    </row>
    <row r="29" spans="1:16">
      <c r="A29" s="35"/>
      <c r="B29" s="34"/>
      <c r="H29" s="74" t="s">
        <v>151</v>
      </c>
      <c r="I29" s="67"/>
      <c r="J29" s="101">
        <f>SUM(J22:J27)</f>
        <v>-99181.297000000006</v>
      </c>
      <c r="K29" s="67"/>
      <c r="L29" s="68"/>
      <c r="M29" s="90">
        <f>SUM(M21:M27)</f>
        <v>-108079.97280525</v>
      </c>
      <c r="N29" s="57"/>
      <c r="O29" s="90">
        <f>SUM(O21:O27)</f>
        <v>-0.87119475000508828</v>
      </c>
    </row>
    <row r="30" spans="1:16">
      <c r="A30" s="32" t="s">
        <v>12</v>
      </c>
      <c r="B30" s="34"/>
      <c r="H30" s="72"/>
      <c r="I30" s="65"/>
      <c r="J30" s="66"/>
      <c r="K30" s="65"/>
      <c r="L30" s="68"/>
      <c r="M30" s="87"/>
      <c r="N30" s="56"/>
      <c r="O30" s="87"/>
    </row>
    <row r="31" spans="1:16" ht="15" thickBot="1">
      <c r="A31" s="32" t="s">
        <v>3</v>
      </c>
      <c r="B31" s="34"/>
      <c r="H31" s="89"/>
      <c r="I31" s="81"/>
      <c r="J31" s="98"/>
      <c r="K31" s="81">
        <f>SUM(K7:K30)</f>
        <v>9.0949470177292824E-13</v>
      </c>
      <c r="L31" s="98"/>
      <c r="M31" s="99"/>
      <c r="N31" s="56"/>
      <c r="O31" s="99"/>
    </row>
    <row r="32" spans="1:16">
      <c r="A32" s="38" t="s">
        <v>89</v>
      </c>
      <c r="B32" s="34">
        <v>7552</v>
      </c>
      <c r="H32" s="31"/>
      <c r="I32" s="56"/>
      <c r="J32" s="56">
        <f>J16+J29</f>
        <v>0</v>
      </c>
      <c r="K32" s="56"/>
      <c r="L32" s="56"/>
      <c r="M32" s="56">
        <f>M16+M29</f>
        <v>0</v>
      </c>
      <c r="N32" s="56"/>
      <c r="O32" s="56"/>
    </row>
    <row r="33" spans="1:8">
      <c r="A33" s="35" t="s">
        <v>13</v>
      </c>
      <c r="B33" s="34">
        <v>5774</v>
      </c>
      <c r="H33" s="31" t="s">
        <v>178</v>
      </c>
    </row>
    <row r="34" spans="1:8">
      <c r="A34" s="38" t="s">
        <v>158</v>
      </c>
      <c r="B34" s="34">
        <v>0</v>
      </c>
      <c r="H34" s="103" t="s">
        <v>179</v>
      </c>
    </row>
    <row r="35" spans="1:8">
      <c r="A35" s="41" t="s">
        <v>84</v>
      </c>
      <c r="B35" s="34">
        <v>0</v>
      </c>
      <c r="H35" s="31" t="s">
        <v>181</v>
      </c>
    </row>
    <row r="36" spans="1:8">
      <c r="A36" s="35" t="s">
        <v>14</v>
      </c>
      <c r="B36" s="34">
        <v>2812</v>
      </c>
      <c r="H36" s="31" t="s">
        <v>183</v>
      </c>
    </row>
    <row r="37" spans="1:8">
      <c r="A37" s="35" t="s">
        <v>91</v>
      </c>
      <c r="B37" s="34">
        <v>2989</v>
      </c>
      <c r="H37" s="31" t="s">
        <v>184</v>
      </c>
    </row>
    <row r="38" spans="1:8">
      <c r="A38" s="32" t="s">
        <v>15</v>
      </c>
      <c r="B38" s="39">
        <v>19127</v>
      </c>
      <c r="H38" s="31" t="s">
        <v>191</v>
      </c>
    </row>
    <row r="39" spans="1:8">
      <c r="A39" s="38" t="s">
        <v>92</v>
      </c>
      <c r="B39" s="34">
        <v>23064</v>
      </c>
      <c r="H39" s="31" t="s">
        <v>186</v>
      </c>
    </row>
    <row r="40" spans="1:8">
      <c r="A40" s="35" t="s">
        <v>93</v>
      </c>
      <c r="B40" s="34">
        <v>7000</v>
      </c>
      <c r="H40" s="31" t="s">
        <v>202</v>
      </c>
    </row>
    <row r="41" spans="1:8">
      <c r="A41" s="35" t="s">
        <v>94</v>
      </c>
      <c r="B41" s="34">
        <v>331.97284999999988</v>
      </c>
      <c r="H41" s="31" t="s">
        <v>188</v>
      </c>
    </row>
    <row r="42" spans="1:8">
      <c r="A42" s="35" t="s">
        <v>16</v>
      </c>
      <c r="B42" s="34">
        <v>1689</v>
      </c>
    </row>
    <row r="43" spans="1:8">
      <c r="A43" s="36" t="s">
        <v>85</v>
      </c>
      <c r="B43" s="37">
        <v>0</v>
      </c>
    </row>
    <row r="44" spans="1:8">
      <c r="A44" s="35" t="s">
        <v>95</v>
      </c>
      <c r="B44" s="34">
        <v>11406</v>
      </c>
    </row>
    <row r="45" spans="1:8">
      <c r="A45" s="36" t="s">
        <v>86</v>
      </c>
      <c r="B45" s="34">
        <v>0</v>
      </c>
    </row>
    <row r="46" spans="1:8">
      <c r="A46" s="35" t="s">
        <v>96</v>
      </c>
      <c r="B46" s="34">
        <v>7963</v>
      </c>
    </row>
    <row r="47" spans="1:8">
      <c r="A47" s="35" t="s">
        <v>87</v>
      </c>
      <c r="B47" s="34">
        <v>0</v>
      </c>
    </row>
    <row r="48" spans="1:8">
      <c r="A48" s="32" t="s">
        <v>17</v>
      </c>
      <c r="B48" s="39">
        <v>51453.972849999998</v>
      </c>
    </row>
    <row r="49" spans="1:15">
      <c r="A49" s="32" t="s">
        <v>18</v>
      </c>
      <c r="B49" s="39">
        <v>70580.972849999991</v>
      </c>
    </row>
    <row r="50" spans="1:15">
      <c r="A50" s="35"/>
      <c r="B50" s="34"/>
    </row>
    <row r="51" spans="1:15">
      <c r="A51" s="32" t="s">
        <v>19</v>
      </c>
      <c r="B51" s="34"/>
    </row>
    <row r="52" spans="1:15">
      <c r="A52" s="38" t="s">
        <v>97</v>
      </c>
      <c r="B52" s="34">
        <v>23064</v>
      </c>
    </row>
    <row r="53" spans="1:15">
      <c r="A53" s="35" t="s">
        <v>20</v>
      </c>
      <c r="B53" s="34">
        <v>14679</v>
      </c>
    </row>
    <row r="54" spans="1:15">
      <c r="A54" s="35" t="s">
        <v>21</v>
      </c>
      <c r="B54" s="34">
        <v>-244.00004475000003</v>
      </c>
    </row>
    <row r="55" spans="1:15">
      <c r="A55" s="32" t="s">
        <v>22</v>
      </c>
      <c r="B55" s="39">
        <v>37498.999955250001</v>
      </c>
    </row>
    <row r="56" spans="1:15" ht="15" thickBot="1">
      <c r="A56" s="32" t="s">
        <v>23</v>
      </c>
      <c r="B56" s="40">
        <v>108079.97280525</v>
      </c>
    </row>
    <row r="60" spans="1:15">
      <c r="H60" s="6" t="s">
        <v>47</v>
      </c>
      <c r="I60" s="31"/>
      <c r="J60" s="31"/>
      <c r="K60" s="31"/>
      <c r="L60" s="31"/>
      <c r="M60" s="31"/>
      <c r="N60" s="31"/>
      <c r="O60" s="31"/>
    </row>
    <row r="61" spans="1:15">
      <c r="A61" s="6" t="s">
        <v>47</v>
      </c>
      <c r="B61" s="31"/>
      <c r="C61" s="31"/>
      <c r="D61" s="31"/>
      <c r="E61" s="31"/>
      <c r="F61" s="31"/>
      <c r="H61" s="6" t="s">
        <v>24</v>
      </c>
      <c r="I61" s="31"/>
      <c r="J61" s="31"/>
      <c r="K61" s="31"/>
      <c r="L61" s="31"/>
      <c r="M61" s="31"/>
      <c r="N61" s="31"/>
      <c r="O61" s="31"/>
    </row>
    <row r="62" spans="1:15">
      <c r="A62" s="6" t="s">
        <v>24</v>
      </c>
      <c r="B62" s="31"/>
      <c r="C62" s="31"/>
      <c r="D62" s="31"/>
      <c r="E62" s="31"/>
      <c r="F62" s="31"/>
      <c r="H62" s="6" t="s">
        <v>161</v>
      </c>
      <c r="I62" s="31"/>
      <c r="J62" s="31"/>
      <c r="K62" s="31"/>
      <c r="L62" s="31"/>
      <c r="M62" s="31"/>
      <c r="N62" s="31"/>
      <c r="O62" s="31"/>
    </row>
    <row r="63" spans="1:15" ht="15" thickBot="1">
      <c r="A63" s="6" t="s">
        <v>161</v>
      </c>
      <c r="B63" s="31"/>
      <c r="C63" s="31"/>
      <c r="D63" s="31"/>
      <c r="E63" s="31"/>
      <c r="F63" s="31"/>
      <c r="H63" s="31"/>
      <c r="I63" s="31"/>
      <c r="J63" s="31"/>
      <c r="K63" s="31"/>
      <c r="L63" s="31"/>
      <c r="M63" s="31"/>
      <c r="N63" s="31"/>
      <c r="O63" s="31"/>
    </row>
    <row r="64" spans="1:15">
      <c r="A64" s="9"/>
      <c r="B64" s="3" t="s">
        <v>157</v>
      </c>
      <c r="C64" s="2" t="s">
        <v>51</v>
      </c>
      <c r="D64" s="4" t="s">
        <v>160</v>
      </c>
      <c r="E64" s="4"/>
      <c r="F64" s="4" t="s">
        <v>1</v>
      </c>
      <c r="H64" s="71"/>
      <c r="I64" s="105" t="s">
        <v>160</v>
      </c>
      <c r="J64" s="106"/>
      <c r="K64" s="76" t="s">
        <v>51</v>
      </c>
      <c r="L64" s="77"/>
      <c r="M64" s="83" t="s">
        <v>157</v>
      </c>
      <c r="N64" s="31"/>
      <c r="O64" s="83" t="s">
        <v>1</v>
      </c>
    </row>
    <row r="65" spans="1:16">
      <c r="A65" s="26"/>
      <c r="B65" s="43" t="s">
        <v>50</v>
      </c>
      <c r="C65" s="43" t="s">
        <v>50</v>
      </c>
      <c r="D65" s="43" t="s">
        <v>50</v>
      </c>
      <c r="E65" s="43"/>
      <c r="F65" s="43" t="s">
        <v>50</v>
      </c>
      <c r="H65" s="72"/>
      <c r="I65" s="107" t="s">
        <v>50</v>
      </c>
      <c r="J65" s="108"/>
      <c r="K65" s="78" t="s">
        <v>50</v>
      </c>
      <c r="L65" s="79"/>
      <c r="M65" s="84" t="s">
        <v>50</v>
      </c>
      <c r="N65" s="31"/>
      <c r="O65" s="84" t="s">
        <v>50</v>
      </c>
    </row>
    <row r="66" spans="1:16">
      <c r="A66" s="32" t="s">
        <v>25</v>
      </c>
      <c r="B66" s="32"/>
      <c r="H66" s="72"/>
      <c r="I66" s="58"/>
      <c r="J66" s="59"/>
      <c r="K66" s="58"/>
      <c r="L66" s="59"/>
      <c r="M66" s="72"/>
      <c r="N66" s="31"/>
      <c r="O66" s="72"/>
    </row>
    <row r="67" spans="1:16">
      <c r="A67" s="35" t="s">
        <v>26</v>
      </c>
      <c r="B67" s="34">
        <v>114136</v>
      </c>
      <c r="H67" s="73" t="s">
        <v>25</v>
      </c>
      <c r="I67" s="60"/>
      <c r="J67" s="61"/>
      <c r="K67" s="65"/>
      <c r="L67" s="59"/>
      <c r="M67" s="72"/>
      <c r="N67" s="31"/>
      <c r="O67" s="72"/>
    </row>
    <row r="68" spans="1:16">
      <c r="A68" s="35" t="s">
        <v>27</v>
      </c>
      <c r="B68" s="34">
        <v>96182</v>
      </c>
      <c r="H68" s="72" t="s">
        <v>110</v>
      </c>
      <c r="I68" s="60">
        <v>-96181.990999999995</v>
      </c>
      <c r="J68" s="61"/>
      <c r="K68" s="80"/>
      <c r="L68" s="93"/>
      <c r="M68" s="72"/>
      <c r="N68" s="31"/>
      <c r="O68" s="72"/>
    </row>
    <row r="69" spans="1:16">
      <c r="A69" s="35" t="s">
        <v>28</v>
      </c>
      <c r="B69" s="39">
        <v>17954</v>
      </c>
      <c r="H69" s="72" t="s">
        <v>111</v>
      </c>
      <c r="I69" s="62">
        <v>-17954.060000000001</v>
      </c>
      <c r="J69" s="61">
        <f>SUM(I68:I69)</f>
        <v>-114136.05099999999</v>
      </c>
      <c r="K69" s="80"/>
      <c r="L69" s="93"/>
      <c r="M69" s="85">
        <f>-B67</f>
        <v>-114136</v>
      </c>
      <c r="N69" s="31"/>
      <c r="O69" s="85">
        <f>J69+K69-M69</f>
        <v>-5.0999999992200173E-2</v>
      </c>
    </row>
    <row r="70" spans="1:16">
      <c r="A70" s="36"/>
      <c r="B70" s="37"/>
      <c r="H70" s="72"/>
      <c r="I70" s="60"/>
      <c r="J70" s="61"/>
      <c r="K70" s="80"/>
      <c r="L70" s="93"/>
      <c r="M70" s="86"/>
      <c r="N70" s="31"/>
      <c r="O70" s="86"/>
    </row>
    <row r="71" spans="1:16">
      <c r="B71" s="34"/>
      <c r="H71" s="72" t="s">
        <v>112</v>
      </c>
      <c r="I71" s="60">
        <v>-1311.7360000000001</v>
      </c>
      <c r="J71" s="61"/>
      <c r="K71" s="80"/>
      <c r="L71" s="93"/>
      <c r="M71" s="72"/>
      <c r="N71" s="31"/>
      <c r="O71" s="85"/>
    </row>
    <row r="72" spans="1:16">
      <c r="A72" s="32" t="s">
        <v>29</v>
      </c>
      <c r="B72" s="37"/>
      <c r="H72" s="72" t="s">
        <v>113</v>
      </c>
      <c r="I72" s="62">
        <v>-411.81900000000002</v>
      </c>
      <c r="J72" s="61">
        <f>SUM(I71:I72)</f>
        <v>-1723.5550000000001</v>
      </c>
      <c r="K72" s="80">
        <v>-78.876000000000005</v>
      </c>
      <c r="L72" s="93" t="s">
        <v>128</v>
      </c>
      <c r="M72" s="85">
        <f>-B77</f>
        <v>-1803</v>
      </c>
      <c r="N72" s="31"/>
      <c r="O72" s="85">
        <f>J72+K72-M72</f>
        <v>0.56899999999995998</v>
      </c>
      <c r="P72" s="55" t="s">
        <v>140</v>
      </c>
    </row>
    <row r="73" spans="1:16">
      <c r="A73" s="35" t="s">
        <v>30</v>
      </c>
      <c r="B73" s="34">
        <v>1585</v>
      </c>
      <c r="H73" s="72"/>
      <c r="I73" s="58"/>
      <c r="J73" s="61"/>
      <c r="K73" s="80"/>
      <c r="L73" s="93"/>
      <c r="M73" s="86"/>
      <c r="N73" s="31"/>
      <c r="O73" s="86"/>
    </row>
    <row r="74" spans="1:16">
      <c r="A74" s="35" t="s">
        <v>31</v>
      </c>
      <c r="B74" s="34">
        <v>210</v>
      </c>
      <c r="H74" s="72" t="s">
        <v>107</v>
      </c>
      <c r="I74" s="60"/>
      <c r="J74" s="61">
        <v>-162.774</v>
      </c>
      <c r="K74" s="65">
        <v>163</v>
      </c>
      <c r="L74" s="93" t="s">
        <v>130</v>
      </c>
      <c r="M74" s="87">
        <v>0</v>
      </c>
      <c r="N74" s="31"/>
      <c r="O74" s="85">
        <f>J74+K74-M74</f>
        <v>0.22599999999999909</v>
      </c>
    </row>
    <row r="75" spans="1:16">
      <c r="A75" s="36"/>
      <c r="B75" s="37"/>
      <c r="H75" s="72"/>
      <c r="I75" s="60"/>
      <c r="J75" s="61"/>
      <c r="K75" s="65"/>
      <c r="L75" s="93"/>
      <c r="M75" s="72"/>
      <c r="N75" s="31"/>
      <c r="O75" s="72"/>
    </row>
    <row r="76" spans="1:16">
      <c r="A76" s="35" t="s">
        <v>32</v>
      </c>
      <c r="B76" s="34">
        <v>8</v>
      </c>
      <c r="H76" s="74" t="s">
        <v>114</v>
      </c>
      <c r="I76" s="63"/>
      <c r="J76" s="64">
        <f>SUM(J68:J74)</f>
        <v>-116022.37999999999</v>
      </c>
      <c r="K76" s="65"/>
      <c r="L76" s="93"/>
      <c r="M76" s="88">
        <f>SUM(M68:M74)</f>
        <v>-115939</v>
      </c>
      <c r="N76" s="31"/>
      <c r="O76" s="88">
        <f>SUM(O68:O74)</f>
        <v>0.7440000000077589</v>
      </c>
    </row>
    <row r="77" spans="1:16">
      <c r="A77" s="32" t="s">
        <v>33</v>
      </c>
      <c r="B77" s="39">
        <v>1803</v>
      </c>
      <c r="H77" s="72"/>
      <c r="I77" s="60"/>
      <c r="J77" s="61"/>
      <c r="K77" s="65"/>
      <c r="L77" s="93"/>
      <c r="M77" s="72"/>
      <c r="N77" s="31"/>
      <c r="O77" s="72"/>
    </row>
    <row r="78" spans="1:16">
      <c r="A78" s="32" t="s">
        <v>34</v>
      </c>
      <c r="B78" s="39">
        <v>19757</v>
      </c>
      <c r="H78" s="73" t="s">
        <v>35</v>
      </c>
      <c r="I78" s="60"/>
      <c r="J78" s="61"/>
      <c r="K78" s="65"/>
      <c r="L78" s="93"/>
      <c r="M78" s="72"/>
      <c r="N78" s="31"/>
      <c r="O78" s="72"/>
    </row>
    <row r="79" spans="1:16">
      <c r="A79" s="35"/>
      <c r="B79" s="34"/>
      <c r="H79" s="72" t="s">
        <v>115</v>
      </c>
      <c r="I79" s="60"/>
      <c r="J79" s="61">
        <v>0</v>
      </c>
      <c r="K79" s="65"/>
      <c r="L79" s="93"/>
      <c r="M79" s="72"/>
      <c r="N79" s="31"/>
      <c r="O79" s="85">
        <f>J79+K79-M79</f>
        <v>0</v>
      </c>
    </row>
    <row r="80" spans="1:16">
      <c r="A80" s="32" t="s">
        <v>35</v>
      </c>
      <c r="B80" s="34"/>
      <c r="H80" s="72" t="s">
        <v>116</v>
      </c>
      <c r="I80" s="60"/>
      <c r="J80" s="61">
        <v>96181.986999999994</v>
      </c>
      <c r="K80" s="65"/>
      <c r="L80" s="93"/>
      <c r="M80" s="87">
        <f>B68</f>
        <v>96182</v>
      </c>
      <c r="N80" s="31"/>
      <c r="O80" s="85">
        <f>J80+K80-M80</f>
        <v>-1.3000000006286427E-2</v>
      </c>
    </row>
    <row r="81" spans="1:16">
      <c r="A81" s="35" t="s">
        <v>36</v>
      </c>
      <c r="B81" s="34">
        <v>14915.424000000001</v>
      </c>
      <c r="H81" s="72" t="s">
        <v>117</v>
      </c>
      <c r="I81" s="60">
        <v>0</v>
      </c>
      <c r="J81" s="61"/>
      <c r="K81" s="65"/>
      <c r="L81" s="93"/>
      <c r="M81" s="72"/>
      <c r="N81" s="31"/>
      <c r="O81" s="72"/>
    </row>
    <row r="82" spans="1:16">
      <c r="A82" s="44" t="s">
        <v>37</v>
      </c>
      <c r="B82" s="34">
        <v>-3681</v>
      </c>
      <c r="H82" s="72" t="s">
        <v>118</v>
      </c>
      <c r="I82" s="60">
        <v>2262.096</v>
      </c>
      <c r="J82" s="64"/>
      <c r="K82" s="65"/>
      <c r="L82" s="93"/>
      <c r="M82" s="72"/>
      <c r="N82" s="31"/>
      <c r="O82" s="72"/>
    </row>
    <row r="83" spans="1:16">
      <c r="A83" s="32" t="s">
        <v>38</v>
      </c>
      <c r="B83" s="39">
        <v>11234.424000000001</v>
      </c>
      <c r="H83" s="72" t="s">
        <v>119</v>
      </c>
      <c r="I83" s="60">
        <v>0</v>
      </c>
      <c r="J83" s="61"/>
      <c r="K83" s="65"/>
      <c r="L83" s="93"/>
      <c r="M83" s="72"/>
      <c r="N83" s="31"/>
      <c r="O83" s="72"/>
    </row>
    <row r="84" spans="1:16">
      <c r="A84" s="44" t="s">
        <v>39</v>
      </c>
      <c r="B84" s="34">
        <v>8522.5759999999991</v>
      </c>
      <c r="H84" s="72" t="s">
        <v>120</v>
      </c>
      <c r="I84" s="60">
        <v>2398.0219999999999</v>
      </c>
      <c r="J84" s="61"/>
      <c r="K84" s="65"/>
      <c r="L84" s="93"/>
      <c r="M84" s="72"/>
      <c r="N84" s="31"/>
      <c r="O84" s="72"/>
    </row>
    <row r="85" spans="1:16">
      <c r="A85" s="35" t="s">
        <v>102</v>
      </c>
      <c r="B85" s="34">
        <v>-3036</v>
      </c>
      <c r="H85" s="72" t="s">
        <v>121</v>
      </c>
      <c r="I85" s="60">
        <v>996.51700000000005</v>
      </c>
      <c r="J85" s="61"/>
      <c r="K85" s="65"/>
      <c r="L85" s="93"/>
      <c r="M85" s="72"/>
      <c r="N85" s="31"/>
      <c r="O85" s="72"/>
    </row>
    <row r="86" spans="1:16">
      <c r="A86" s="35" t="s">
        <v>103</v>
      </c>
      <c r="B86" s="34">
        <v>-30.576000000000004</v>
      </c>
      <c r="H86" s="72" t="s">
        <v>122</v>
      </c>
      <c r="I86" s="62">
        <v>5410.4549999999999</v>
      </c>
      <c r="J86" s="61">
        <f>SUM(I81:I86)</f>
        <v>11067.09</v>
      </c>
      <c r="K86" s="65">
        <f>24.748+149.309+24.052-31</f>
        <v>167.10899999999998</v>
      </c>
      <c r="L86" s="93" t="s">
        <v>167</v>
      </c>
      <c r="M86" s="87">
        <f>B83</f>
        <v>11234.424000000001</v>
      </c>
      <c r="N86" s="31"/>
      <c r="O86" s="87">
        <f>J86+K86-M86</f>
        <v>-0.2250000000003638</v>
      </c>
    </row>
    <row r="87" spans="1:16">
      <c r="A87" s="35" t="s">
        <v>159</v>
      </c>
      <c r="B87" s="34">
        <v>-75</v>
      </c>
      <c r="H87" s="72"/>
      <c r="I87" s="60"/>
      <c r="J87" s="61"/>
      <c r="K87" s="65"/>
      <c r="L87" s="93"/>
      <c r="M87" s="72"/>
      <c r="N87" s="31"/>
      <c r="O87" s="72"/>
    </row>
    <row r="88" spans="1:16">
      <c r="A88" s="35" t="s">
        <v>43</v>
      </c>
      <c r="B88" s="34">
        <v>102</v>
      </c>
      <c r="H88" s="74" t="s">
        <v>215</v>
      </c>
      <c r="I88" s="63"/>
      <c r="J88" s="64">
        <f>SUM(J76:J86)</f>
        <v>-8773.3029999999962</v>
      </c>
      <c r="K88" s="65"/>
      <c r="L88" s="93"/>
      <c r="M88" s="64">
        <f>SUM(M76:M86)</f>
        <v>-8522.5759999999991</v>
      </c>
      <c r="N88" s="31"/>
      <c r="O88" s="88">
        <f>SUM(O76:O86)</f>
        <v>0.50600000000110867</v>
      </c>
    </row>
    <row r="89" spans="1:16">
      <c r="A89" s="35" t="s">
        <v>105</v>
      </c>
      <c r="B89" s="34">
        <v>-1920</v>
      </c>
      <c r="H89" s="72"/>
      <c r="I89" s="60"/>
      <c r="J89" s="61"/>
      <c r="K89" s="65"/>
      <c r="L89" s="93"/>
      <c r="M89" s="72"/>
      <c r="N89" s="31"/>
      <c r="O89" s="72"/>
    </row>
    <row r="90" spans="1:16">
      <c r="A90" s="35"/>
      <c r="B90" s="34"/>
      <c r="H90" s="72" t="s">
        <v>123</v>
      </c>
      <c r="I90" s="65"/>
      <c r="J90" s="66">
        <v>3031.9290000000001</v>
      </c>
      <c r="K90" s="65"/>
      <c r="L90" s="93"/>
      <c r="M90" s="87">
        <f>-B85</f>
        <v>3036</v>
      </c>
      <c r="N90" s="31"/>
      <c r="O90" s="87">
        <f>J90+K90-M90</f>
        <v>-4.0709999999999127</v>
      </c>
      <c r="P90" s="55" t="s">
        <v>140</v>
      </c>
    </row>
    <row r="91" spans="1:16">
      <c r="A91" s="35" t="s">
        <v>44</v>
      </c>
      <c r="B91" s="45">
        <v>3562.9999999999991</v>
      </c>
      <c r="H91" s="72" t="s">
        <v>124</v>
      </c>
      <c r="I91" s="65"/>
      <c r="J91" s="66">
        <v>2004.8579999999999</v>
      </c>
      <c r="K91" s="65">
        <v>-84.852999999999994</v>
      </c>
      <c r="L91" s="93" t="s">
        <v>130</v>
      </c>
      <c r="M91" s="87">
        <f>-B89</f>
        <v>1920</v>
      </c>
      <c r="N91" s="31"/>
      <c r="O91" s="87">
        <f t="shared" ref="O91:O94" si="0">J91+K91-M91</f>
        <v>4.9999999998817657E-3</v>
      </c>
    </row>
    <row r="92" spans="1:16">
      <c r="A92" s="35" t="s">
        <v>45</v>
      </c>
      <c r="B92" s="34"/>
      <c r="H92" s="72" t="s">
        <v>216</v>
      </c>
      <c r="I92" s="65"/>
      <c r="J92" s="66">
        <v>0</v>
      </c>
      <c r="K92" s="65">
        <f>-163+60.104</f>
        <v>-102.896</v>
      </c>
      <c r="L92" s="93" t="s">
        <v>130</v>
      </c>
      <c r="M92" s="87">
        <f>-B88</f>
        <v>-102</v>
      </c>
      <c r="N92" s="31"/>
      <c r="O92" s="87">
        <f t="shared" si="0"/>
        <v>-0.8960000000000008</v>
      </c>
      <c r="P92" s="55" t="s">
        <v>140</v>
      </c>
    </row>
    <row r="93" spans="1:16">
      <c r="A93" s="46" t="s">
        <v>106</v>
      </c>
      <c r="B93" s="34">
        <v>47</v>
      </c>
      <c r="H93" s="72" t="s">
        <v>125</v>
      </c>
      <c r="I93" s="65"/>
      <c r="J93" s="66">
        <v>196.80099999999999</v>
      </c>
      <c r="K93" s="65">
        <v>-149.309</v>
      </c>
      <c r="L93" s="93" t="s">
        <v>132</v>
      </c>
      <c r="M93" s="87">
        <f>B93</f>
        <v>47</v>
      </c>
      <c r="N93" s="31"/>
      <c r="O93" s="87">
        <f t="shared" si="0"/>
        <v>0.49199999999999022</v>
      </c>
    </row>
    <row r="94" spans="1:16">
      <c r="A94" s="32" t="s">
        <v>46</v>
      </c>
      <c r="B94" s="45">
        <v>3515.9999999999991</v>
      </c>
      <c r="H94" s="72" t="s">
        <v>126</v>
      </c>
      <c r="I94" s="65"/>
      <c r="J94" s="66">
        <v>24.052</v>
      </c>
      <c r="K94" s="65">
        <v>-24.052</v>
      </c>
      <c r="L94" s="93" t="s">
        <v>133</v>
      </c>
      <c r="M94" s="87">
        <v>0</v>
      </c>
      <c r="N94" s="31"/>
      <c r="O94" s="87">
        <f t="shared" si="0"/>
        <v>0</v>
      </c>
    </row>
    <row r="95" spans="1:16">
      <c r="H95" s="94" t="s">
        <v>104</v>
      </c>
      <c r="I95" s="65"/>
      <c r="J95" s="66">
        <v>0</v>
      </c>
      <c r="K95" s="65">
        <v>78.876000000000005</v>
      </c>
      <c r="L95" s="93" t="s">
        <v>128</v>
      </c>
      <c r="M95" s="87">
        <f>-B87</f>
        <v>75</v>
      </c>
      <c r="N95" s="31"/>
      <c r="O95" s="87">
        <f>J95+K95-M95</f>
        <v>3.8760000000000048</v>
      </c>
      <c r="P95" s="55" t="s">
        <v>140</v>
      </c>
    </row>
    <row r="96" spans="1:16">
      <c r="H96" s="94" t="s">
        <v>103</v>
      </c>
      <c r="I96" s="65"/>
      <c r="J96" s="64">
        <v>0</v>
      </c>
      <c r="K96" s="65">
        <v>31</v>
      </c>
      <c r="L96" s="93" t="s">
        <v>135</v>
      </c>
      <c r="M96" s="87">
        <f>-B86</f>
        <v>30.576000000000004</v>
      </c>
      <c r="N96" s="31"/>
      <c r="O96" s="87">
        <f>J96+K96-M96</f>
        <v>0.42399999999999594</v>
      </c>
    </row>
    <row r="97" spans="8:15">
      <c r="H97" s="72"/>
      <c r="I97" s="65"/>
      <c r="J97" s="64"/>
      <c r="K97" s="65"/>
      <c r="L97" s="93"/>
      <c r="M97" s="59"/>
      <c r="N97" s="31"/>
      <c r="O97" s="72"/>
    </row>
    <row r="98" spans="8:15">
      <c r="H98" s="74"/>
      <c r="I98" s="67"/>
      <c r="J98" s="68"/>
      <c r="K98" s="65"/>
      <c r="L98" s="59"/>
      <c r="M98" s="68"/>
      <c r="N98" s="31"/>
      <c r="O98" s="90"/>
    </row>
    <row r="99" spans="8:15">
      <c r="H99" s="72"/>
      <c r="I99" s="65"/>
      <c r="J99" s="66"/>
      <c r="K99" s="65"/>
      <c r="L99" s="59"/>
      <c r="M99" s="72"/>
      <c r="N99" s="31"/>
      <c r="O99" s="72"/>
    </row>
    <row r="100" spans="8:15" ht="15" thickBot="1">
      <c r="H100" s="75" t="s">
        <v>127</v>
      </c>
      <c r="I100" s="69"/>
      <c r="J100" s="70">
        <f>SUM(J88:J99)</f>
        <v>-3515.6629999999959</v>
      </c>
      <c r="K100" s="69">
        <f>SUM(K66:K99)</f>
        <v>-1.0000000000047748E-3</v>
      </c>
      <c r="L100" s="82"/>
      <c r="M100" s="70">
        <f>SUM(M88:M99)</f>
        <v>-3515.9999999999991</v>
      </c>
      <c r="N100" s="31"/>
      <c r="O100" s="91">
        <f>SUM(O88:O99)</f>
        <v>0.33600000000106789</v>
      </c>
    </row>
    <row r="102" spans="8:15">
      <c r="H102" s="31" t="s">
        <v>169</v>
      </c>
    </row>
    <row r="103" spans="8:15">
      <c r="H103" s="31" t="s">
        <v>220</v>
      </c>
    </row>
    <row r="104" spans="8:15">
      <c r="H104" s="104" t="s">
        <v>221</v>
      </c>
    </row>
    <row r="105" spans="8:15">
      <c r="H105" s="31" t="s">
        <v>163</v>
      </c>
    </row>
    <row r="106" spans="8:15">
      <c r="H106" s="31" t="s">
        <v>165</v>
      </c>
    </row>
    <row r="107" spans="8:15">
      <c r="H107" s="92" t="s">
        <v>168</v>
      </c>
    </row>
  </sheetData>
  <mergeCells count="4">
    <mergeCell ref="I5:J5"/>
    <mergeCell ref="I6:J6"/>
    <mergeCell ref="I64:J64"/>
    <mergeCell ref="I65:J65"/>
  </mergeCells>
  <printOptions horizontalCentered="1"/>
  <pageMargins left="0.31496062992125984" right="0.31496062992125984" top="0.55118110236220474" bottom="0.55118110236220474" header="0.31496062992125984" footer="0.31496062992125984"/>
  <pageSetup scale="7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5"/>
  <sheetViews>
    <sheetView tabSelected="1" topLeftCell="A33" zoomScale="85" zoomScaleNormal="85" workbookViewId="0">
      <selection activeCell="K51" sqref="K51"/>
    </sheetView>
  </sheetViews>
  <sheetFormatPr defaultColWidth="9.109375" defaultRowHeight="14.4"/>
  <cols>
    <col min="1" max="1" width="60.109375" style="31" customWidth="1"/>
    <col min="2" max="2" width="13.88671875" style="31" customWidth="1"/>
    <col min="3" max="3" width="14.33203125" style="31" hidden="1" customWidth="1"/>
    <col min="4" max="4" width="16.5546875" style="31" hidden="1" customWidth="1"/>
    <col min="5" max="5" width="2.5546875" style="31" hidden="1" customWidth="1"/>
    <col min="6" max="6" width="22.6640625" style="31" hidden="1" customWidth="1"/>
    <col min="7" max="7" width="9.109375" style="31"/>
    <col min="8" max="8" width="50.109375" style="31" customWidth="1"/>
    <col min="9" max="10" width="18.5546875" style="31" customWidth="1"/>
    <col min="11" max="11" width="18.6640625" style="31" customWidth="1"/>
    <col min="12" max="12" width="9.33203125" style="31" customWidth="1"/>
    <col min="13" max="13" width="20" style="31" customWidth="1"/>
    <col min="14" max="14" width="1.88671875" style="31" customWidth="1"/>
    <col min="15" max="15" width="17.88671875" style="31" customWidth="1"/>
    <col min="16" max="16384" width="9.109375" style="31"/>
  </cols>
  <sheetData>
    <row r="1" spans="1:16">
      <c r="H1" s="6" t="s">
        <v>47</v>
      </c>
    </row>
    <row r="2" spans="1:16">
      <c r="A2" s="6" t="s">
        <v>47</v>
      </c>
      <c r="H2" s="6" t="s">
        <v>0</v>
      </c>
    </row>
    <row r="3" spans="1:16">
      <c r="A3" s="6" t="s">
        <v>0</v>
      </c>
      <c r="H3" s="6" t="s">
        <v>74</v>
      </c>
    </row>
    <row r="4" spans="1:16" ht="15" thickBot="1">
      <c r="A4" s="6" t="s">
        <v>74</v>
      </c>
    </row>
    <row r="5" spans="1:16">
      <c r="B5" s="3" t="s">
        <v>98</v>
      </c>
      <c r="C5" s="2" t="s">
        <v>51</v>
      </c>
      <c r="D5" s="4" t="s">
        <v>52</v>
      </c>
      <c r="E5" s="4"/>
      <c r="F5" s="4" t="s">
        <v>1</v>
      </c>
      <c r="H5" s="71"/>
      <c r="I5" s="105" t="s">
        <v>109</v>
      </c>
      <c r="J5" s="106"/>
      <c r="K5" s="76" t="s">
        <v>51</v>
      </c>
      <c r="L5" s="77"/>
      <c r="M5" s="83" t="s">
        <v>98</v>
      </c>
      <c r="O5" s="83" t="s">
        <v>1</v>
      </c>
    </row>
    <row r="6" spans="1:16">
      <c r="B6" s="43" t="s">
        <v>50</v>
      </c>
      <c r="C6" s="43" t="s">
        <v>50</v>
      </c>
      <c r="D6" s="43" t="s">
        <v>50</v>
      </c>
      <c r="E6" s="43"/>
      <c r="F6" s="43" t="s">
        <v>50</v>
      </c>
      <c r="H6" s="72"/>
      <c r="I6" s="107" t="s">
        <v>50</v>
      </c>
      <c r="J6" s="108"/>
      <c r="K6" s="78" t="s">
        <v>50</v>
      </c>
      <c r="L6" s="79"/>
      <c r="M6" s="84" t="s">
        <v>50</v>
      </c>
      <c r="O6" s="84" t="s">
        <v>50</v>
      </c>
    </row>
    <row r="7" spans="1:16">
      <c r="A7" s="32" t="s">
        <v>2</v>
      </c>
      <c r="B7" s="33"/>
      <c r="H7" s="73" t="s">
        <v>2</v>
      </c>
      <c r="I7" s="65"/>
      <c r="J7" s="66"/>
      <c r="K7" s="65"/>
      <c r="L7" s="68"/>
      <c r="M7" s="87"/>
      <c r="N7" s="56"/>
      <c r="O7" s="87"/>
    </row>
    <row r="8" spans="1:16">
      <c r="A8" s="32" t="s">
        <v>3</v>
      </c>
      <c r="B8" s="34"/>
      <c r="H8" s="72"/>
      <c r="I8" s="65"/>
      <c r="J8" s="66"/>
      <c r="K8" s="65"/>
      <c r="L8" s="68"/>
      <c r="M8" s="87"/>
      <c r="N8" s="56"/>
      <c r="O8" s="87"/>
    </row>
    <row r="9" spans="1:16">
      <c r="B9" s="34"/>
      <c r="H9" s="72" t="s">
        <v>141</v>
      </c>
      <c r="I9" s="65"/>
      <c r="J9" s="66">
        <v>23443.943599999999</v>
      </c>
      <c r="K9" s="65">
        <f>(-13.65)-(-885.61-2553.69)-(-450.8)+151-444</f>
        <v>3583.4500000000003</v>
      </c>
      <c r="L9" s="68" t="s">
        <v>174</v>
      </c>
      <c r="M9" s="87">
        <f>B10+B13+B14+B15+B18</f>
        <v>27028.220999999998</v>
      </c>
      <c r="N9" s="56"/>
      <c r="O9" s="87">
        <f>J9+K9-M9</f>
        <v>-0.82739999999830616</v>
      </c>
      <c r="P9" s="55" t="s">
        <v>140</v>
      </c>
    </row>
    <row r="10" spans="1:16">
      <c r="A10" s="35" t="s">
        <v>108</v>
      </c>
      <c r="B10" s="34">
        <v>3427</v>
      </c>
      <c r="F10" s="33"/>
      <c r="H10" s="72" t="s">
        <v>142</v>
      </c>
      <c r="I10" s="65"/>
      <c r="J10" s="66">
        <v>37.540819999999997</v>
      </c>
      <c r="K10" s="65">
        <v>13.65475</v>
      </c>
      <c r="L10" s="68" t="s">
        <v>130</v>
      </c>
      <c r="M10" s="87">
        <f>B17</f>
        <v>51</v>
      </c>
      <c r="N10" s="56"/>
      <c r="O10" s="87">
        <f>J10+K10-M10</f>
        <v>0.19556999999999647</v>
      </c>
    </row>
    <row r="11" spans="1:16">
      <c r="A11" s="35" t="s">
        <v>75</v>
      </c>
      <c r="B11" s="37">
        <v>0</v>
      </c>
      <c r="H11" s="95" t="s">
        <v>143</v>
      </c>
      <c r="I11" s="65"/>
      <c r="J11" s="66">
        <v>171.76106999999999</v>
      </c>
      <c r="K11" s="102"/>
      <c r="M11" s="87">
        <f>B25</f>
        <v>174.5</v>
      </c>
      <c r="N11" s="56"/>
      <c r="O11" s="87">
        <f>J11+K11-M11</f>
        <v>-2.7389300000000105</v>
      </c>
      <c r="P11" s="55" t="s">
        <v>140</v>
      </c>
    </row>
    <row r="12" spans="1:16">
      <c r="A12" s="35" t="s">
        <v>76</v>
      </c>
      <c r="B12" s="34">
        <v>0</v>
      </c>
      <c r="H12" s="95" t="s">
        <v>144</v>
      </c>
      <c r="I12" s="65"/>
      <c r="J12" s="66">
        <v>3369.69326</v>
      </c>
      <c r="K12" s="102">
        <f>+B45+444+17</f>
        <v>5596</v>
      </c>
      <c r="L12" s="68" t="s">
        <v>177</v>
      </c>
      <c r="M12" s="87">
        <f>B19+B22+B24</f>
        <v>8965.4632164499999</v>
      </c>
      <c r="N12" s="56"/>
      <c r="O12" s="87">
        <f>J12+K12-M12</f>
        <v>0.23004355000011856</v>
      </c>
    </row>
    <row r="13" spans="1:16">
      <c r="A13" s="38" t="s">
        <v>77</v>
      </c>
      <c r="B13" s="34">
        <v>9972.2209999999995</v>
      </c>
      <c r="H13" s="95" t="s">
        <v>145</v>
      </c>
      <c r="I13" s="65">
        <v>160929.04514</v>
      </c>
      <c r="J13" s="66"/>
      <c r="K13" s="65"/>
      <c r="L13" s="68"/>
      <c r="M13" s="87"/>
      <c r="N13" s="56"/>
      <c r="O13" s="87"/>
    </row>
    <row r="14" spans="1:16">
      <c r="A14" s="35" t="s">
        <v>4</v>
      </c>
      <c r="B14" s="34">
        <v>451</v>
      </c>
      <c r="H14" s="95" t="s">
        <v>146</v>
      </c>
      <c r="I14" s="97">
        <v>-83425.526840000006</v>
      </c>
      <c r="J14" s="66">
        <f>SUM(I13:I14)</f>
        <v>77503.518299999996</v>
      </c>
      <c r="K14" s="65"/>
      <c r="L14" s="68"/>
      <c r="M14" s="87">
        <f>B21</f>
        <v>77504</v>
      </c>
      <c r="N14" s="56"/>
      <c r="O14" s="87">
        <f>J14+K14-M14</f>
        <v>-0.48170000000391155</v>
      </c>
    </row>
    <row r="15" spans="1:16">
      <c r="A15" s="35" t="s">
        <v>5</v>
      </c>
      <c r="B15" s="34">
        <v>13081</v>
      </c>
      <c r="H15" s="72"/>
      <c r="I15" s="65"/>
      <c r="J15" s="66"/>
      <c r="K15" s="65"/>
      <c r="L15" s="68"/>
      <c r="M15" s="87"/>
      <c r="N15" s="56"/>
      <c r="O15" s="87"/>
    </row>
    <row r="16" spans="1:16">
      <c r="A16" s="38" t="s">
        <v>78</v>
      </c>
      <c r="B16" s="34">
        <v>0</v>
      </c>
      <c r="H16" s="96" t="s">
        <v>147</v>
      </c>
      <c r="I16" s="67"/>
      <c r="J16" s="68">
        <f>SUM(J9:J14)</f>
        <v>104526.45705</v>
      </c>
      <c r="K16" s="67"/>
      <c r="L16" s="68"/>
      <c r="M16" s="90">
        <f>SUM(M9:M14)</f>
        <v>113723.18421645</v>
      </c>
      <c r="N16" s="57"/>
      <c r="O16" s="90">
        <f>SUM(O9:O14)</f>
        <v>-3.6224164500021132</v>
      </c>
    </row>
    <row r="17" spans="1:16">
      <c r="A17" s="35" t="s">
        <v>6</v>
      </c>
      <c r="B17" s="34">
        <v>51</v>
      </c>
      <c r="H17" s="72"/>
      <c r="I17" s="65"/>
      <c r="J17" s="66"/>
      <c r="K17" s="65"/>
      <c r="L17" s="68"/>
      <c r="M17" s="87"/>
      <c r="N17" s="56"/>
      <c r="O17" s="87"/>
    </row>
    <row r="18" spans="1:16">
      <c r="A18" s="35" t="s">
        <v>7</v>
      </c>
      <c r="B18" s="34">
        <v>97</v>
      </c>
      <c r="H18" s="72"/>
      <c r="I18" s="65"/>
      <c r="J18" s="66"/>
      <c r="K18" s="65"/>
      <c r="L18" s="68"/>
      <c r="M18" s="87"/>
      <c r="N18" s="56"/>
      <c r="O18" s="87"/>
    </row>
    <row r="19" spans="1:16">
      <c r="A19" s="35" t="s">
        <v>79</v>
      </c>
      <c r="B19" s="34">
        <v>586</v>
      </c>
      <c r="H19" s="72"/>
      <c r="I19" s="65"/>
      <c r="J19" s="66"/>
      <c r="K19" s="65"/>
      <c r="L19" s="68"/>
      <c r="M19" s="87"/>
      <c r="N19" s="56"/>
      <c r="O19" s="87"/>
    </row>
    <row r="20" spans="1:16">
      <c r="A20" s="32" t="s">
        <v>8</v>
      </c>
      <c r="B20" s="39">
        <v>27665.220999999998</v>
      </c>
      <c r="H20" s="73" t="s">
        <v>12</v>
      </c>
      <c r="I20" s="65"/>
      <c r="J20" s="66"/>
      <c r="K20" s="65"/>
      <c r="L20" s="68"/>
      <c r="M20" s="87"/>
      <c r="N20" s="56"/>
      <c r="O20" s="87"/>
    </row>
    <row r="21" spans="1:16">
      <c r="A21" s="35" t="s">
        <v>80</v>
      </c>
      <c r="B21" s="34">
        <v>77504</v>
      </c>
      <c r="H21" s="72"/>
      <c r="I21" s="65"/>
      <c r="J21" s="66"/>
      <c r="K21" s="65"/>
      <c r="L21" s="68"/>
      <c r="M21" s="87"/>
      <c r="N21" s="56"/>
      <c r="O21" s="87"/>
    </row>
    <row r="22" spans="1:16">
      <c r="A22" s="35" t="s">
        <v>81</v>
      </c>
      <c r="B22" s="34">
        <v>444</v>
      </c>
      <c r="H22" s="72" t="s">
        <v>149</v>
      </c>
      <c r="I22" s="65"/>
      <c r="J22" s="100">
        <v>-19601.410639999998</v>
      </c>
      <c r="K22" s="65">
        <f>(-2553.696-885.617)-1988.805-586.333-450.894-151</f>
        <v>-6616.3450000000003</v>
      </c>
      <c r="L22" s="68" t="s">
        <v>164</v>
      </c>
      <c r="M22" s="87">
        <f>-B31-B32-B33-B35-B36</f>
        <v>-26218.220999999998</v>
      </c>
      <c r="N22" s="56"/>
      <c r="O22" s="87">
        <f>J22+K22-M22</f>
        <v>0.46535999999832711</v>
      </c>
    </row>
    <row r="23" spans="1:16">
      <c r="A23" s="35" t="s">
        <v>82</v>
      </c>
      <c r="B23" s="34">
        <v>0</v>
      </c>
      <c r="H23" s="72" t="s">
        <v>148</v>
      </c>
      <c r="I23" s="65"/>
      <c r="J23" s="100">
        <v>-15917.068310000001</v>
      </c>
      <c r="K23" s="65">
        <f>-B45+(1988.905+586.333)-66</f>
        <v>-2625.7620000000002</v>
      </c>
      <c r="L23" s="68" t="s">
        <v>175</v>
      </c>
      <c r="M23" s="87">
        <f>-B43-B41-B45-B40</f>
        <v>-18542.898929999999</v>
      </c>
      <c r="N23" s="56"/>
      <c r="O23" s="87">
        <f>J23+K23-M23</f>
        <v>6.8619999998190906E-2</v>
      </c>
    </row>
    <row r="24" spans="1:16">
      <c r="A24" s="35" t="s">
        <v>83</v>
      </c>
      <c r="B24" s="34">
        <v>7935.4632164499999</v>
      </c>
      <c r="H24" s="72" t="s">
        <v>153</v>
      </c>
      <c r="I24" s="65"/>
      <c r="J24" s="100">
        <v>0</v>
      </c>
      <c r="K24" s="65"/>
      <c r="L24" s="68"/>
      <c r="M24" s="87"/>
      <c r="N24" s="56"/>
      <c r="O24" s="87">
        <f>J24+K24-M24</f>
        <v>0</v>
      </c>
    </row>
    <row r="25" spans="1:16">
      <c r="A25" s="35" t="s">
        <v>9</v>
      </c>
      <c r="B25" s="34">
        <v>174.5</v>
      </c>
      <c r="H25" s="72" t="s">
        <v>154</v>
      </c>
      <c r="I25" s="65"/>
      <c r="J25" s="100">
        <v>-30064</v>
      </c>
      <c r="K25" s="65"/>
      <c r="L25" s="68"/>
      <c r="M25" s="87">
        <f>-(B38+B39)</f>
        <v>-30064</v>
      </c>
      <c r="N25" s="56"/>
      <c r="O25" s="87">
        <f>J25+K25-M25</f>
        <v>0</v>
      </c>
    </row>
    <row r="26" spans="1:16">
      <c r="A26" s="32" t="s">
        <v>10</v>
      </c>
      <c r="B26" s="39">
        <v>86057.963216450007</v>
      </c>
      <c r="H26" s="72"/>
      <c r="I26" s="65"/>
      <c r="J26" s="100"/>
      <c r="K26" s="65"/>
      <c r="L26" s="68"/>
      <c r="M26" s="87"/>
      <c r="N26" s="56"/>
      <c r="O26" s="87"/>
    </row>
    <row r="27" spans="1:16" ht="15" thickBot="1">
      <c r="A27" s="32" t="s">
        <v>11</v>
      </c>
      <c r="B27" s="40">
        <v>113723.18421645</v>
      </c>
      <c r="H27" s="72" t="s">
        <v>150</v>
      </c>
      <c r="I27" s="65"/>
      <c r="J27" s="100">
        <v>-38943.9781</v>
      </c>
      <c r="K27" s="65">
        <f>66-17</f>
        <v>49</v>
      </c>
      <c r="L27" s="68" t="s">
        <v>176</v>
      </c>
      <c r="M27" s="87">
        <f>-B54</f>
        <v>-38897.564286449997</v>
      </c>
      <c r="N27" s="56"/>
      <c r="O27" s="87">
        <f>J27+K27-M27</f>
        <v>2.5861864499966032</v>
      </c>
      <c r="P27" s="55" t="s">
        <v>140</v>
      </c>
    </row>
    <row r="28" spans="1:16">
      <c r="A28" s="48"/>
      <c r="H28" s="72"/>
      <c r="I28" s="65"/>
      <c r="J28" s="100"/>
      <c r="K28" s="65"/>
      <c r="L28" s="68"/>
      <c r="M28" s="87"/>
      <c r="N28" s="56"/>
      <c r="O28" s="87"/>
    </row>
    <row r="29" spans="1:16">
      <c r="A29" s="32" t="s">
        <v>12</v>
      </c>
      <c r="B29" s="34"/>
      <c r="H29" s="74" t="s">
        <v>151</v>
      </c>
      <c r="I29" s="67"/>
      <c r="J29" s="101">
        <f>SUM(J22:J27)</f>
        <v>-104526.45705</v>
      </c>
      <c r="K29" s="67"/>
      <c r="L29" s="68"/>
      <c r="M29" s="90">
        <f>SUM(M21:M27)</f>
        <v>-113722.68421645</v>
      </c>
      <c r="N29" s="57"/>
      <c r="O29" s="90">
        <f>SUM(O21:O27)</f>
        <v>3.1201664499931212</v>
      </c>
    </row>
    <row r="30" spans="1:16">
      <c r="A30" s="32" t="s">
        <v>3</v>
      </c>
      <c r="B30" s="34"/>
      <c r="H30" s="72"/>
      <c r="I30" s="65"/>
      <c r="J30" s="66"/>
      <c r="K30" s="65"/>
      <c r="L30" s="68"/>
      <c r="M30" s="87"/>
      <c r="N30" s="56"/>
      <c r="O30" s="87"/>
    </row>
    <row r="31" spans="1:16" ht="15" thickBot="1">
      <c r="A31" s="38" t="s">
        <v>89</v>
      </c>
      <c r="B31" s="34">
        <v>11728</v>
      </c>
      <c r="H31" s="89"/>
      <c r="I31" s="81"/>
      <c r="J31" s="98"/>
      <c r="K31" s="81">
        <f>SUM(K7:K30)</f>
        <v>-2.250000000003638E-3</v>
      </c>
      <c r="L31" s="98"/>
      <c r="M31" s="99"/>
      <c r="N31" s="56"/>
      <c r="O31" s="99"/>
    </row>
    <row r="32" spans="1:16">
      <c r="A32" s="35" t="s">
        <v>13</v>
      </c>
      <c r="B32" s="34">
        <v>6526.2209999999995</v>
      </c>
      <c r="I32" s="56"/>
      <c r="J32" s="56">
        <f>J16+J29</f>
        <v>0</v>
      </c>
      <c r="K32" s="56"/>
      <c r="L32" s="56"/>
      <c r="M32" s="56">
        <f>M16+M29</f>
        <v>0.5</v>
      </c>
      <c r="N32" s="56"/>
      <c r="O32" s="56"/>
    </row>
    <row r="33" spans="1:15">
      <c r="A33" s="38" t="s">
        <v>90</v>
      </c>
      <c r="B33" s="34">
        <v>2554</v>
      </c>
      <c r="I33" s="56"/>
      <c r="J33" s="56"/>
      <c r="K33" s="56"/>
      <c r="L33" s="56"/>
      <c r="M33" s="56"/>
      <c r="N33" s="56"/>
      <c r="O33" s="56"/>
    </row>
    <row r="34" spans="1:15">
      <c r="A34" s="38" t="s">
        <v>84</v>
      </c>
      <c r="B34" s="34">
        <v>0</v>
      </c>
      <c r="H34" s="103" t="s">
        <v>155</v>
      </c>
      <c r="I34" s="8"/>
      <c r="J34" s="8"/>
      <c r="K34" s="8"/>
      <c r="L34" s="56"/>
      <c r="M34" s="56"/>
      <c r="N34" s="56"/>
      <c r="O34" s="56"/>
    </row>
    <row r="35" spans="1:15">
      <c r="A35" s="35" t="s">
        <v>14</v>
      </c>
      <c r="B35" s="34">
        <v>2511</v>
      </c>
      <c r="H35" s="31" t="s">
        <v>152</v>
      </c>
      <c r="I35" s="56"/>
      <c r="J35" s="56"/>
      <c r="K35" s="56"/>
      <c r="L35" s="56"/>
      <c r="M35" s="56"/>
      <c r="N35" s="56"/>
      <c r="O35" s="56"/>
    </row>
    <row r="36" spans="1:15">
      <c r="A36" s="35" t="s">
        <v>91</v>
      </c>
      <c r="B36" s="34">
        <v>2899</v>
      </c>
      <c r="H36" s="31" t="s">
        <v>170</v>
      </c>
      <c r="I36" s="56"/>
      <c r="J36" s="56"/>
      <c r="K36" s="56"/>
      <c r="L36" s="56"/>
      <c r="M36" s="56"/>
      <c r="N36" s="56"/>
      <c r="O36" s="56"/>
    </row>
    <row r="37" spans="1:15">
      <c r="A37" s="32" t="s">
        <v>15</v>
      </c>
      <c r="B37" s="39">
        <v>26218.220999999998</v>
      </c>
      <c r="H37" s="31" t="s">
        <v>192</v>
      </c>
      <c r="I37" s="56"/>
      <c r="J37" s="56"/>
      <c r="K37" s="56"/>
      <c r="L37" s="56"/>
      <c r="M37" s="56"/>
      <c r="N37" s="56"/>
      <c r="O37" s="56"/>
    </row>
    <row r="38" spans="1:15">
      <c r="A38" s="38" t="s">
        <v>92</v>
      </c>
      <c r="B38" s="34">
        <v>23064</v>
      </c>
      <c r="H38" s="31" t="s">
        <v>171</v>
      </c>
      <c r="I38" s="56"/>
      <c r="J38" s="56"/>
      <c r="K38" s="56"/>
      <c r="L38" s="56"/>
      <c r="M38" s="56"/>
      <c r="N38" s="56"/>
      <c r="O38" s="56"/>
    </row>
    <row r="39" spans="1:15">
      <c r="A39" s="35" t="s">
        <v>93</v>
      </c>
      <c r="B39" s="34">
        <v>7000</v>
      </c>
      <c r="H39" s="31" t="s">
        <v>172</v>
      </c>
      <c r="I39" s="56"/>
      <c r="J39" s="56"/>
      <c r="K39" s="56"/>
      <c r="L39" s="56"/>
      <c r="M39" s="56"/>
      <c r="N39" s="56"/>
      <c r="O39" s="56"/>
    </row>
    <row r="40" spans="1:15">
      <c r="A40" s="35" t="s">
        <v>94</v>
      </c>
      <c r="B40" s="34">
        <v>65.898930000000092</v>
      </c>
      <c r="H40" s="31" t="s">
        <v>185</v>
      </c>
      <c r="I40" s="56"/>
      <c r="J40" s="56"/>
      <c r="K40" s="56"/>
      <c r="L40" s="56"/>
      <c r="M40" s="56"/>
      <c r="N40" s="56"/>
      <c r="O40" s="56"/>
    </row>
    <row r="41" spans="1:15">
      <c r="A41" s="35" t="s">
        <v>16</v>
      </c>
      <c r="B41" s="34">
        <v>1664</v>
      </c>
      <c r="H41" s="31" t="s">
        <v>173</v>
      </c>
      <c r="I41" s="56"/>
      <c r="J41" s="56"/>
      <c r="K41" s="56"/>
      <c r="L41" s="56"/>
      <c r="M41" s="56"/>
      <c r="N41" s="56"/>
      <c r="O41" s="56"/>
    </row>
    <row r="42" spans="1:15">
      <c r="A42" s="35" t="s">
        <v>85</v>
      </c>
      <c r="B42" s="37">
        <v>0</v>
      </c>
      <c r="H42" s="31" t="s">
        <v>201</v>
      </c>
      <c r="I42" s="56"/>
      <c r="J42" s="56"/>
      <c r="K42" s="56"/>
      <c r="L42" s="56"/>
      <c r="M42" s="56"/>
      <c r="N42" s="56"/>
      <c r="O42" s="56"/>
    </row>
    <row r="43" spans="1:15">
      <c r="A43" s="35" t="s">
        <v>95</v>
      </c>
      <c r="B43" s="34">
        <v>11678</v>
      </c>
      <c r="H43" s="31" t="s">
        <v>187</v>
      </c>
      <c r="I43" s="56"/>
      <c r="J43" s="56"/>
      <c r="K43" s="56"/>
      <c r="L43" s="56"/>
      <c r="M43" s="56"/>
      <c r="N43" s="56"/>
      <c r="O43" s="56"/>
    </row>
    <row r="44" spans="1:15">
      <c r="A44" s="35" t="s">
        <v>86</v>
      </c>
      <c r="B44" s="34">
        <v>0</v>
      </c>
      <c r="I44" s="56"/>
      <c r="J44" s="56"/>
      <c r="K44" s="56"/>
      <c r="L44" s="56"/>
      <c r="M44" s="56"/>
      <c r="N44" s="56"/>
      <c r="O44" s="56"/>
    </row>
    <row r="45" spans="1:15">
      <c r="A45" s="35" t="s">
        <v>96</v>
      </c>
      <c r="B45" s="34">
        <v>5135</v>
      </c>
      <c r="C45" s="56"/>
      <c r="D45" s="56"/>
    </row>
    <row r="46" spans="1:15">
      <c r="A46" s="35" t="s">
        <v>87</v>
      </c>
      <c r="B46" s="34">
        <v>0</v>
      </c>
    </row>
    <row r="47" spans="1:15">
      <c r="A47" s="32" t="s">
        <v>17</v>
      </c>
      <c r="B47" s="39">
        <v>48606.898929999996</v>
      </c>
    </row>
    <row r="48" spans="1:15">
      <c r="A48" s="32" t="s">
        <v>18</v>
      </c>
      <c r="B48" s="39">
        <v>74825.119929999986</v>
      </c>
    </row>
    <row r="49" spans="1:15">
      <c r="A49" s="35"/>
      <c r="B49" s="34"/>
    </row>
    <row r="50" spans="1:15">
      <c r="A50" s="32" t="s">
        <v>19</v>
      </c>
      <c r="B50" s="34"/>
    </row>
    <row r="51" spans="1:15">
      <c r="A51" s="38" t="s">
        <v>97</v>
      </c>
      <c r="B51" s="34">
        <v>23064</v>
      </c>
    </row>
    <row r="52" spans="1:15">
      <c r="A52" s="35" t="s">
        <v>20</v>
      </c>
      <c r="B52" s="34">
        <v>15882</v>
      </c>
    </row>
    <row r="53" spans="1:15">
      <c r="A53" s="35" t="s">
        <v>88</v>
      </c>
      <c r="B53" s="34">
        <v>-48.435713550000074</v>
      </c>
    </row>
    <row r="54" spans="1:15">
      <c r="A54" s="32" t="s">
        <v>22</v>
      </c>
      <c r="B54" s="39">
        <v>38897.564286449997</v>
      </c>
    </row>
    <row r="55" spans="1:15" ht="15" thickBot="1">
      <c r="A55" s="32" t="s">
        <v>23</v>
      </c>
      <c r="B55" s="40">
        <v>113722.68421644998</v>
      </c>
    </row>
    <row r="57" spans="1:15">
      <c r="A57" s="6" t="s">
        <v>47</v>
      </c>
      <c r="H57" s="6" t="s">
        <v>47</v>
      </c>
    </row>
    <row r="58" spans="1:15">
      <c r="A58" s="6" t="s">
        <v>24</v>
      </c>
      <c r="H58" s="6" t="s">
        <v>24</v>
      </c>
    </row>
    <row r="59" spans="1:15">
      <c r="A59" s="6" t="s">
        <v>99</v>
      </c>
      <c r="H59" s="6" t="s">
        <v>99</v>
      </c>
    </row>
    <row r="60" spans="1:15" ht="15" thickBot="1">
      <c r="A60" s="9"/>
      <c r="B60" s="3" t="s">
        <v>98</v>
      </c>
      <c r="C60" s="2" t="s">
        <v>51</v>
      </c>
      <c r="D60" s="4" t="s">
        <v>109</v>
      </c>
      <c r="E60" s="4"/>
      <c r="F60" s="4" t="s">
        <v>1</v>
      </c>
    </row>
    <row r="61" spans="1:15">
      <c r="A61" s="26"/>
      <c r="B61" s="43" t="s">
        <v>50</v>
      </c>
      <c r="C61" s="43" t="s">
        <v>50</v>
      </c>
      <c r="D61" s="43" t="s">
        <v>50</v>
      </c>
      <c r="E61" s="43"/>
      <c r="F61" s="43" t="s">
        <v>50</v>
      </c>
      <c r="H61" s="71"/>
      <c r="I61" s="105" t="s">
        <v>109</v>
      </c>
      <c r="J61" s="106"/>
      <c r="K61" s="76" t="s">
        <v>51</v>
      </c>
      <c r="L61" s="77"/>
      <c r="M61" s="83" t="s">
        <v>98</v>
      </c>
      <c r="O61" s="83" t="s">
        <v>1</v>
      </c>
    </row>
    <row r="62" spans="1:15">
      <c r="H62" s="72"/>
      <c r="I62" s="107" t="s">
        <v>50</v>
      </c>
      <c r="J62" s="108"/>
      <c r="K62" s="78" t="s">
        <v>50</v>
      </c>
      <c r="L62" s="79"/>
      <c r="M62" s="84" t="s">
        <v>50</v>
      </c>
      <c r="O62" s="84" t="s">
        <v>50</v>
      </c>
    </row>
    <row r="63" spans="1:15">
      <c r="A63" s="32" t="s">
        <v>25</v>
      </c>
      <c r="B63" s="32"/>
      <c r="H63" s="72"/>
      <c r="I63" s="58"/>
      <c r="J63" s="59"/>
      <c r="K63" s="58"/>
      <c r="L63" s="59"/>
      <c r="M63" s="72"/>
      <c r="O63" s="72"/>
    </row>
    <row r="64" spans="1:15">
      <c r="A64" s="35" t="s">
        <v>26</v>
      </c>
      <c r="B64" s="33">
        <v>120085</v>
      </c>
      <c r="D64" s="51">
        <v>120085.39577000002</v>
      </c>
      <c r="F64" s="33">
        <f>B64+C64-D64</f>
        <v>-0.39577000001736451</v>
      </c>
      <c r="H64" s="73" t="s">
        <v>25</v>
      </c>
      <c r="I64" s="60"/>
      <c r="J64" s="61"/>
      <c r="K64" s="65"/>
      <c r="L64" s="59"/>
      <c r="M64" s="72"/>
      <c r="O64" s="72"/>
    </row>
    <row r="65" spans="1:15">
      <c r="A65" s="35" t="s">
        <v>27</v>
      </c>
      <c r="B65" s="33">
        <v>102012</v>
      </c>
      <c r="D65" s="51">
        <v>102012.05591999998</v>
      </c>
      <c r="F65" s="33">
        <f>B65+C65-D65</f>
        <v>-5.5919999984325841E-2</v>
      </c>
      <c r="H65" s="72" t="s">
        <v>110</v>
      </c>
      <c r="I65" s="60">
        <v>-102012.4137</v>
      </c>
      <c r="J65" s="61"/>
      <c r="K65" s="80"/>
      <c r="L65" s="93"/>
      <c r="M65" s="72"/>
      <c r="O65" s="72"/>
    </row>
    <row r="66" spans="1:15">
      <c r="A66" s="32" t="s">
        <v>28</v>
      </c>
      <c r="B66" s="39">
        <v>18073</v>
      </c>
      <c r="C66" s="6"/>
      <c r="D66" s="50">
        <f>D64-D65</f>
        <v>18073.339850000033</v>
      </c>
      <c r="E66" s="6"/>
      <c r="F66" s="39">
        <f>B66+C66-D66</f>
        <v>-0.33985000003303867</v>
      </c>
      <c r="H66" s="72" t="s">
        <v>111</v>
      </c>
      <c r="I66" s="62">
        <v>-18335.03729</v>
      </c>
      <c r="J66" s="61">
        <f>SUM(I65:I66)</f>
        <v>-120347.45099000001</v>
      </c>
      <c r="K66" s="80">
        <v>262.05500000000001</v>
      </c>
      <c r="L66" s="93" t="s">
        <v>128</v>
      </c>
      <c r="M66" s="85">
        <f>-B64</f>
        <v>-120085</v>
      </c>
      <c r="O66" s="85">
        <f>J66+K66-M66</f>
        <v>-0.3959900000190828</v>
      </c>
    </row>
    <row r="67" spans="1:15">
      <c r="A67" s="35"/>
      <c r="B67" s="37"/>
      <c r="D67" s="49"/>
      <c r="F67" s="37"/>
      <c r="H67" s="72"/>
      <c r="I67" s="60"/>
      <c r="J67" s="61"/>
      <c r="K67" s="80"/>
      <c r="L67" s="93"/>
      <c r="M67" s="86"/>
      <c r="O67" s="86"/>
    </row>
    <row r="68" spans="1:15">
      <c r="A68" s="35"/>
      <c r="B68" s="33"/>
      <c r="C68" s="42"/>
      <c r="D68" s="53"/>
      <c r="F68" s="33"/>
      <c r="H68" s="72" t="s">
        <v>112</v>
      </c>
      <c r="I68" s="60">
        <v>-1263.5448899999999</v>
      </c>
      <c r="J68" s="61"/>
      <c r="K68" s="80"/>
      <c r="L68" s="93"/>
      <c r="M68" s="72"/>
      <c r="O68" s="85"/>
    </row>
    <row r="69" spans="1:15" ht="15" customHeight="1">
      <c r="A69" s="35"/>
      <c r="B69" s="33"/>
      <c r="D69" s="51"/>
      <c r="F69" s="33"/>
      <c r="H69" s="72" t="s">
        <v>113</v>
      </c>
      <c r="I69" s="62">
        <v>-107.78357</v>
      </c>
      <c r="J69" s="61">
        <f>SUM(I68:I69)</f>
        <v>-1371.32846</v>
      </c>
      <c r="K69" s="80">
        <f>-262.055-208.419</f>
        <v>-470.47400000000005</v>
      </c>
      <c r="L69" s="93" t="s">
        <v>129</v>
      </c>
      <c r="M69" s="85">
        <f>-B75</f>
        <v>-1842</v>
      </c>
      <c r="O69" s="85">
        <f>J69+K69-M69</f>
        <v>0.19754000000011729</v>
      </c>
    </row>
    <row r="70" spans="1:15" ht="15" customHeight="1">
      <c r="A70" s="35" t="s">
        <v>100</v>
      </c>
      <c r="B70" s="33">
        <v>0</v>
      </c>
      <c r="D70" s="51"/>
      <c r="F70" s="33">
        <f t="shared" ref="F70:F76" si="0">B70+C70-D70</f>
        <v>0</v>
      </c>
      <c r="H70" s="72"/>
      <c r="I70" s="58"/>
      <c r="J70" s="61"/>
      <c r="K70" s="80"/>
      <c r="L70" s="93"/>
      <c r="M70" s="86"/>
      <c r="O70" s="86"/>
    </row>
    <row r="71" spans="1:15" ht="15" customHeight="1">
      <c r="A71" s="35" t="s">
        <v>30</v>
      </c>
      <c r="B71" s="33">
        <v>1476</v>
      </c>
      <c r="D71" s="51"/>
      <c r="F71" s="33">
        <f t="shared" si="0"/>
        <v>1476</v>
      </c>
      <c r="H71" s="72" t="s">
        <v>107</v>
      </c>
      <c r="I71" s="60"/>
      <c r="J71" s="61">
        <v>-152.03934000000001</v>
      </c>
      <c r="K71" s="65">
        <v>152</v>
      </c>
      <c r="L71" s="93" t="s">
        <v>132</v>
      </c>
      <c r="M71" s="87">
        <v>0</v>
      </c>
      <c r="O71" s="85">
        <f>J71+K71-M71</f>
        <v>-3.9340000000009923E-2</v>
      </c>
    </row>
    <row r="72" spans="1:15" ht="15" customHeight="1">
      <c r="A72" s="35" t="s">
        <v>31</v>
      </c>
      <c r="B72" s="33">
        <v>236</v>
      </c>
      <c r="D72" s="51"/>
      <c r="F72" s="33">
        <f t="shared" si="0"/>
        <v>236</v>
      </c>
      <c r="H72" s="72"/>
      <c r="I72" s="60"/>
      <c r="J72" s="61"/>
      <c r="K72" s="65"/>
      <c r="L72" s="93"/>
      <c r="M72" s="72"/>
      <c r="O72" s="72"/>
    </row>
    <row r="73" spans="1:15" ht="15" customHeight="1">
      <c r="A73" s="35" t="s">
        <v>101</v>
      </c>
      <c r="B73" s="33">
        <v>0</v>
      </c>
      <c r="D73" s="51"/>
      <c r="F73" s="33">
        <f t="shared" si="0"/>
        <v>0</v>
      </c>
      <c r="H73" s="74" t="s">
        <v>114</v>
      </c>
      <c r="I73" s="63"/>
      <c r="J73" s="64">
        <f>SUM(J65:J71)</f>
        <v>-121870.81879000002</v>
      </c>
      <c r="K73" s="65"/>
      <c r="L73" s="93"/>
      <c r="M73" s="88">
        <f>SUM(M65:M71)</f>
        <v>-121927</v>
      </c>
      <c r="O73" s="88">
        <f>SUM(O65:O71)</f>
        <v>-0.23779000001897543</v>
      </c>
    </row>
    <row r="74" spans="1:15" ht="15" customHeight="1">
      <c r="A74" s="35" t="s">
        <v>32</v>
      </c>
      <c r="B74" s="54">
        <v>130</v>
      </c>
      <c r="D74" s="51"/>
      <c r="F74" s="33">
        <f t="shared" si="0"/>
        <v>130</v>
      </c>
      <c r="H74" s="72"/>
      <c r="I74" s="60"/>
      <c r="J74" s="61"/>
      <c r="K74" s="65"/>
      <c r="L74" s="93"/>
      <c r="M74" s="72"/>
      <c r="O74" s="72"/>
    </row>
    <row r="75" spans="1:15">
      <c r="A75" s="35" t="s">
        <v>29</v>
      </c>
      <c r="B75" s="54">
        <f>SUM(B70:B74)</f>
        <v>1842</v>
      </c>
      <c r="C75" s="42"/>
      <c r="D75" s="54">
        <v>1841.8059999999996</v>
      </c>
      <c r="F75" s="54">
        <f t="shared" si="0"/>
        <v>0.19400000000041473</v>
      </c>
      <c r="H75" s="73" t="s">
        <v>35</v>
      </c>
      <c r="I75" s="60"/>
      <c r="J75" s="61"/>
      <c r="K75" s="65"/>
      <c r="L75" s="93"/>
      <c r="M75" s="72"/>
      <c r="O75" s="72"/>
    </row>
    <row r="76" spans="1:15">
      <c r="A76" s="32" t="s">
        <v>34</v>
      </c>
      <c r="B76" s="39">
        <f>B66+B75</f>
        <v>19915</v>
      </c>
      <c r="D76" s="39">
        <f>D66+D75</f>
        <v>19915.145850000034</v>
      </c>
      <c r="F76" s="39">
        <f t="shared" si="0"/>
        <v>-0.14585000003353343</v>
      </c>
      <c r="H76" s="72" t="s">
        <v>115</v>
      </c>
      <c r="I76" s="60"/>
      <c r="J76" s="61">
        <v>0</v>
      </c>
      <c r="K76" s="65"/>
      <c r="L76" s="93"/>
      <c r="M76" s="72"/>
      <c r="O76" s="85">
        <f>J76+K76-M76</f>
        <v>0</v>
      </c>
    </row>
    <row r="77" spans="1:15">
      <c r="A77" s="35"/>
      <c r="B77" s="34"/>
      <c r="D77" s="49"/>
      <c r="F77" s="34"/>
      <c r="H77" s="72" t="s">
        <v>116</v>
      </c>
      <c r="I77" s="60"/>
      <c r="J77" s="61">
        <v>102012.05592</v>
      </c>
      <c r="K77" s="65"/>
      <c r="L77" s="93"/>
      <c r="M77" s="87">
        <f>B65</f>
        <v>102012</v>
      </c>
      <c r="O77" s="85">
        <f>J77+K77-M77</f>
        <v>5.5919999998877756E-2</v>
      </c>
    </row>
    <row r="78" spans="1:15">
      <c r="A78" s="32" t="s">
        <v>35</v>
      </c>
      <c r="B78" s="34"/>
      <c r="D78" s="49"/>
      <c r="F78" s="34"/>
      <c r="H78" s="72" t="s">
        <v>117</v>
      </c>
      <c r="I78" s="60">
        <v>0</v>
      </c>
      <c r="J78" s="61"/>
      <c r="K78" s="65"/>
      <c r="L78" s="93"/>
      <c r="M78" s="72"/>
      <c r="O78" s="72"/>
    </row>
    <row r="79" spans="1:15">
      <c r="A79" s="35" t="s">
        <v>36</v>
      </c>
      <c r="B79" s="33">
        <v>15205.724</v>
      </c>
      <c r="D79" s="51"/>
      <c r="F79" s="33">
        <f t="shared" ref="F79:F88" si="1">B79+C79-D79</f>
        <v>15205.724</v>
      </c>
      <c r="H79" s="72" t="s">
        <v>118</v>
      </c>
      <c r="I79" s="60">
        <v>2233.1117199999999</v>
      </c>
      <c r="J79" s="64"/>
      <c r="K79" s="65"/>
      <c r="L79" s="93"/>
      <c r="M79" s="72"/>
      <c r="O79" s="72"/>
    </row>
    <row r="80" spans="1:15">
      <c r="A80" s="44" t="s">
        <v>37</v>
      </c>
      <c r="B80" s="33">
        <v>-4001</v>
      </c>
      <c r="D80" s="51"/>
      <c r="F80" s="33">
        <f t="shared" si="1"/>
        <v>-4001</v>
      </c>
      <c r="H80" s="72" t="s">
        <v>119</v>
      </c>
      <c r="I80" s="60">
        <v>0</v>
      </c>
      <c r="J80" s="61"/>
      <c r="K80" s="65"/>
      <c r="L80" s="93"/>
      <c r="M80" s="72"/>
      <c r="O80" s="72"/>
    </row>
    <row r="81" spans="1:16">
      <c r="A81" s="32" t="s">
        <v>38</v>
      </c>
      <c r="B81" s="50">
        <f>SUM(B79:B80)</f>
        <v>11204.724</v>
      </c>
      <c r="D81" s="50">
        <v>11210.094849999999</v>
      </c>
      <c r="F81" s="39">
        <f t="shared" si="1"/>
        <v>-5.3708499999993364</v>
      </c>
      <c r="H81" s="72" t="s">
        <v>120</v>
      </c>
      <c r="I81" s="60">
        <v>2462.8228800000002</v>
      </c>
      <c r="J81" s="61"/>
      <c r="K81" s="65"/>
      <c r="L81" s="93"/>
      <c r="M81" s="72"/>
      <c r="O81" s="72"/>
    </row>
    <row r="82" spans="1:16">
      <c r="A82" s="44" t="s">
        <v>39</v>
      </c>
      <c r="B82" s="34">
        <f>B76-B81</f>
        <v>8710.2759999999998</v>
      </c>
      <c r="D82" s="34">
        <f>D76-D81</f>
        <v>8705.051000000034</v>
      </c>
      <c r="F82" s="34">
        <f t="shared" si="1"/>
        <v>5.224999999965803</v>
      </c>
      <c r="H82" s="72" t="s">
        <v>121</v>
      </c>
      <c r="I82" s="60">
        <v>1085.26214</v>
      </c>
      <c r="J82" s="61"/>
      <c r="K82" s="65"/>
      <c r="L82" s="93"/>
      <c r="M82" s="72"/>
      <c r="O82" s="72"/>
    </row>
    <row r="83" spans="1:16">
      <c r="A83" s="35" t="s">
        <v>102</v>
      </c>
      <c r="B83" s="33">
        <v>-3652.5810000000001</v>
      </c>
      <c r="D83" s="51">
        <v>-3652.1437400000009</v>
      </c>
      <c r="F83" s="33">
        <f t="shared" si="1"/>
        <v>-0.4372599999992417</v>
      </c>
      <c r="H83" s="72" t="s">
        <v>122</v>
      </c>
      <c r="I83" s="62">
        <v>5252.2941099999998</v>
      </c>
      <c r="J83" s="61">
        <f>SUM(I78:I83)</f>
        <v>11033.49085</v>
      </c>
      <c r="K83" s="65">
        <f>152.292+24</f>
        <v>176.292</v>
      </c>
      <c r="L83" s="93" t="s">
        <v>136</v>
      </c>
      <c r="M83" s="87">
        <f>B81</f>
        <v>11204.724</v>
      </c>
      <c r="O83" s="87">
        <f>J83+K83-M83</f>
        <v>5.0588499999994383</v>
      </c>
      <c r="P83" s="55" t="s">
        <v>140</v>
      </c>
    </row>
    <row r="84" spans="1:16">
      <c r="A84" s="35" t="s">
        <v>103</v>
      </c>
      <c r="B84" s="33">
        <v>-30.276000000000003</v>
      </c>
      <c r="C84" s="31">
        <v>30</v>
      </c>
      <c r="D84" s="51"/>
      <c r="F84" s="33">
        <f t="shared" si="1"/>
        <v>-0.27600000000000335</v>
      </c>
      <c r="H84" s="72"/>
      <c r="I84" s="60"/>
      <c r="J84" s="61"/>
      <c r="K84" s="65"/>
      <c r="L84" s="93"/>
      <c r="M84" s="72"/>
      <c r="O84" s="72"/>
    </row>
    <row r="85" spans="1:16">
      <c r="A85" s="35" t="s">
        <v>104</v>
      </c>
      <c r="B85" s="33">
        <v>-208.41900000000001</v>
      </c>
      <c r="D85" s="51">
        <v>-208.41925000000001</v>
      </c>
      <c r="F85" s="33">
        <f t="shared" si="1"/>
        <v>2.4999999999408828E-4</v>
      </c>
      <c r="H85" s="74" t="s">
        <v>215</v>
      </c>
      <c r="I85" s="63"/>
      <c r="J85" s="64">
        <f>SUM(J73:J83)</f>
        <v>-8825.2720200000203</v>
      </c>
      <c r="K85" s="65"/>
      <c r="L85" s="93"/>
      <c r="M85" s="64">
        <f>SUM(M73:M83)</f>
        <v>-8710.2759999999998</v>
      </c>
      <c r="O85" s="88">
        <f>SUM(O73:O83)</f>
        <v>4.8769799999793406</v>
      </c>
    </row>
    <row r="86" spans="1:16">
      <c r="A86" s="35" t="s">
        <v>43</v>
      </c>
      <c r="B86" s="33">
        <v>48</v>
      </c>
      <c r="C86" s="31">
        <v>104</v>
      </c>
      <c r="D86" s="51">
        <v>152.03934000000001</v>
      </c>
      <c r="F86" s="33">
        <f t="shared" si="1"/>
        <v>-3.9340000000009923E-2</v>
      </c>
      <c r="H86" s="72"/>
      <c r="I86" s="60"/>
      <c r="J86" s="61"/>
      <c r="K86" s="65"/>
      <c r="L86" s="93"/>
      <c r="M86" s="72"/>
      <c r="O86" s="72"/>
    </row>
    <row r="87" spans="1:16">
      <c r="A87" s="35" t="s">
        <v>70</v>
      </c>
      <c r="B87" s="33">
        <v>-1802</v>
      </c>
      <c r="C87" s="31">
        <f>-104-30</f>
        <v>-134</v>
      </c>
      <c r="D87" s="51">
        <v>-1933.0195699999999</v>
      </c>
      <c r="F87" s="33">
        <f t="shared" si="1"/>
        <v>-2.9804300000000694</v>
      </c>
      <c r="H87" s="72" t="s">
        <v>123</v>
      </c>
      <c r="I87" s="65"/>
      <c r="J87" s="66">
        <v>3652.14374</v>
      </c>
      <c r="K87" s="65"/>
      <c r="L87" s="93"/>
      <c r="M87" s="87">
        <f>-B83</f>
        <v>3652.5810000000001</v>
      </c>
      <c r="O87" s="87">
        <f>J87+K87-M87</f>
        <v>-0.43726000000015119</v>
      </c>
    </row>
    <row r="88" spans="1:16">
      <c r="A88" s="35" t="s">
        <v>44</v>
      </c>
      <c r="B88" s="45">
        <f>SUM(B82:B87)</f>
        <v>3065</v>
      </c>
      <c r="D88" s="45">
        <f>SUM(D82:D87)</f>
        <v>3063.5077800000331</v>
      </c>
      <c r="F88" s="45">
        <f t="shared" si="1"/>
        <v>1.4922199999668919</v>
      </c>
      <c r="H88" s="72" t="s">
        <v>124</v>
      </c>
      <c r="I88" s="65"/>
      <c r="J88" s="66">
        <v>1933.0195699999999</v>
      </c>
      <c r="K88" s="65">
        <f>-104-30</f>
        <v>-134</v>
      </c>
      <c r="L88" s="93" t="s">
        <v>166</v>
      </c>
      <c r="M88" s="87">
        <f>-B87</f>
        <v>1802</v>
      </c>
      <c r="O88" s="87">
        <f t="shared" ref="O88:O91" si="2">J88+K88-M88</f>
        <v>-2.9804300000000694</v>
      </c>
      <c r="P88" s="55" t="s">
        <v>140</v>
      </c>
    </row>
    <row r="89" spans="1:16">
      <c r="A89" s="35" t="s">
        <v>45</v>
      </c>
      <c r="B89" s="34"/>
      <c r="D89" s="49"/>
      <c r="F89" s="34"/>
      <c r="H89" s="72" t="s">
        <v>216</v>
      </c>
      <c r="I89" s="65"/>
      <c r="J89" s="66">
        <v>0</v>
      </c>
      <c r="K89" s="65">
        <f>-152+104</f>
        <v>-48</v>
      </c>
      <c r="L89" s="93" t="s">
        <v>218</v>
      </c>
      <c r="M89" s="87">
        <f>-B86</f>
        <v>-48</v>
      </c>
      <c r="O89" s="87">
        <f t="shared" si="2"/>
        <v>0</v>
      </c>
    </row>
    <row r="90" spans="1:16">
      <c r="A90" s="46" t="s">
        <v>106</v>
      </c>
      <c r="B90" s="33">
        <v>162</v>
      </c>
      <c r="D90" s="52">
        <v>161.61600000000001</v>
      </c>
      <c r="F90" s="34">
        <f>B90+C90-D90</f>
        <v>0.38399999999998613</v>
      </c>
      <c r="H90" s="72" t="s">
        <v>125</v>
      </c>
      <c r="I90" s="65"/>
      <c r="J90" s="66">
        <v>313.90800000000002</v>
      </c>
      <c r="K90" s="65">
        <v>-152.292</v>
      </c>
      <c r="L90" s="93" t="s">
        <v>133</v>
      </c>
      <c r="M90" s="87">
        <f>B90</f>
        <v>162</v>
      </c>
      <c r="O90" s="87">
        <f t="shared" si="2"/>
        <v>-0.38399999999998613</v>
      </c>
    </row>
    <row r="91" spans="1:16">
      <c r="A91" s="32" t="s">
        <v>46</v>
      </c>
      <c r="B91" s="45">
        <f>B88-B90</f>
        <v>2903</v>
      </c>
      <c r="D91" s="45">
        <f>D88-D90</f>
        <v>2901.8917800000331</v>
      </c>
      <c r="F91" s="45">
        <f>B91+C91-D91</f>
        <v>1.1082199999668774</v>
      </c>
      <c r="H91" s="72" t="s">
        <v>126</v>
      </c>
      <c r="I91" s="65"/>
      <c r="J91" s="66">
        <v>24.312000000000001</v>
      </c>
      <c r="K91" s="65">
        <v>-24</v>
      </c>
      <c r="L91" s="93" t="s">
        <v>135</v>
      </c>
      <c r="M91" s="87">
        <v>0</v>
      </c>
      <c r="O91" s="87">
        <f t="shared" si="2"/>
        <v>0.31200000000000117</v>
      </c>
    </row>
    <row r="92" spans="1:16">
      <c r="D92" s="47"/>
      <c r="F92" s="56"/>
      <c r="H92" s="94" t="s">
        <v>104</v>
      </c>
      <c r="I92" s="65"/>
      <c r="J92" s="66">
        <v>0</v>
      </c>
      <c r="K92" s="65">
        <f>208.419</f>
        <v>208.41900000000001</v>
      </c>
      <c r="L92" s="93" t="s">
        <v>130</v>
      </c>
      <c r="M92" s="87">
        <f>-B85</f>
        <v>208.41900000000001</v>
      </c>
      <c r="O92" s="87">
        <f>J92+K92-M92</f>
        <v>0</v>
      </c>
    </row>
    <row r="93" spans="1:16">
      <c r="F93" s="56"/>
      <c r="H93" s="94" t="s">
        <v>103</v>
      </c>
      <c r="I93" s="65"/>
      <c r="J93" s="64">
        <v>0</v>
      </c>
      <c r="K93" s="65">
        <v>30</v>
      </c>
      <c r="L93" s="93" t="s">
        <v>138</v>
      </c>
      <c r="M93" s="87">
        <f>-B84</f>
        <v>30.276000000000003</v>
      </c>
      <c r="O93" s="87">
        <f>J93+K93-M93</f>
        <v>-0.27600000000000335</v>
      </c>
    </row>
    <row r="94" spans="1:16">
      <c r="F94" s="56"/>
      <c r="H94" s="72"/>
      <c r="I94" s="65"/>
      <c r="J94" s="64"/>
      <c r="K94" s="65"/>
      <c r="L94" s="93"/>
      <c r="M94" s="59"/>
      <c r="O94" s="72"/>
    </row>
    <row r="95" spans="1:16">
      <c r="F95" s="56"/>
      <c r="H95" s="74"/>
      <c r="I95" s="67"/>
      <c r="J95" s="68"/>
      <c r="K95" s="65"/>
      <c r="L95" s="59"/>
      <c r="M95" s="68"/>
      <c r="O95" s="90"/>
    </row>
    <row r="96" spans="1:16">
      <c r="F96" s="56"/>
      <c r="H96" s="72"/>
      <c r="I96" s="65"/>
      <c r="J96" s="66"/>
      <c r="K96" s="65"/>
      <c r="L96" s="59"/>
      <c r="M96" s="72"/>
      <c r="O96" s="72"/>
    </row>
    <row r="97" spans="8:15" ht="15" thickBot="1">
      <c r="H97" s="75" t="s">
        <v>127</v>
      </c>
      <c r="I97" s="69"/>
      <c r="J97" s="70">
        <f>SUM(J85:J96)</f>
        <v>-2901.8887100000211</v>
      </c>
      <c r="K97" s="69">
        <f>SUM(K63:K96)</f>
        <v>-2.8421709430404007E-14</v>
      </c>
      <c r="L97" s="82"/>
      <c r="M97" s="70">
        <f>SUM(M85:M96)</f>
        <v>-2903</v>
      </c>
      <c r="O97" s="91">
        <f>SUM(O85:O96)</f>
        <v>1.1112899999791317</v>
      </c>
    </row>
    <row r="98" spans="8:15">
      <c r="J98" s="56"/>
      <c r="K98" s="56"/>
    </row>
    <row r="99" spans="8:15">
      <c r="H99" s="31" t="s">
        <v>162</v>
      </c>
      <c r="J99" s="56"/>
      <c r="K99" s="56"/>
    </row>
    <row r="100" spans="8:15">
      <c r="H100" s="31" t="s">
        <v>131</v>
      </c>
      <c r="J100" s="56"/>
      <c r="K100" s="56"/>
    </row>
    <row r="101" spans="8:15">
      <c r="H101" s="31" t="s">
        <v>217</v>
      </c>
      <c r="J101" s="57"/>
      <c r="K101" s="56"/>
    </row>
    <row r="102" spans="8:15">
      <c r="H102" s="31" t="s">
        <v>134</v>
      </c>
      <c r="J102" s="56"/>
    </row>
    <row r="103" spans="8:15">
      <c r="H103" s="31" t="s">
        <v>137</v>
      </c>
      <c r="J103" s="57"/>
    </row>
    <row r="104" spans="8:15">
      <c r="H104" s="92" t="s">
        <v>139</v>
      </c>
      <c r="I104" s="56"/>
      <c r="J104" s="56"/>
    </row>
    <row r="105" spans="8:15">
      <c r="I105" s="56"/>
      <c r="J105" s="56"/>
    </row>
  </sheetData>
  <mergeCells count="4">
    <mergeCell ref="I62:J62"/>
    <mergeCell ref="I61:J61"/>
    <mergeCell ref="I5:J5"/>
    <mergeCell ref="I6:J6"/>
  </mergeCells>
  <printOptions horizontalCentered="1"/>
  <pageMargins left="0.31496062992125984" right="0.31496062992125984" top="0.55118110236220474" bottom="0.55118110236220474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2011</vt:lpstr>
      <vt:lpstr>2012</vt:lpstr>
      <vt:lpstr>2013</vt:lpstr>
      <vt:lpstr>'2011'!Print_Area</vt:lpstr>
      <vt:lpstr>'2012'!Print_Area</vt:lpstr>
      <vt:lpstr>'2013'!Print_Area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Rudzinski</dc:creator>
  <cp:lastModifiedBy>_</cp:lastModifiedBy>
  <cp:lastPrinted>2015-01-26T20:18:54Z</cp:lastPrinted>
  <dcterms:created xsi:type="dcterms:W3CDTF">2014-12-23T21:03:45Z</dcterms:created>
  <dcterms:modified xsi:type="dcterms:W3CDTF">2015-01-29T15:14:45Z</dcterms:modified>
</cp:coreProperties>
</file>