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6275" windowHeight="46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25" i="1"/>
  <c r="P25" s="1"/>
  <c r="H25"/>
  <c r="G25"/>
  <c r="F25"/>
  <c r="M25" s="1"/>
  <c r="E25"/>
  <c r="L25" s="1"/>
  <c r="O25"/>
  <c r="N25"/>
  <c r="I24"/>
  <c r="P24" s="1"/>
  <c r="H24"/>
  <c r="G24"/>
  <c r="N24" s="1"/>
  <c r="F24"/>
  <c r="M24" s="1"/>
  <c r="E24"/>
  <c r="O24"/>
  <c r="I23"/>
  <c r="P23" s="1"/>
  <c r="H23"/>
  <c r="O23" s="1"/>
  <c r="G23"/>
  <c r="N23" s="1"/>
  <c r="F23"/>
  <c r="M23" s="1"/>
  <c r="E23"/>
  <c r="L23" s="1"/>
  <c r="I22"/>
  <c r="H22"/>
  <c r="G22"/>
  <c r="N22" s="1"/>
  <c r="F22"/>
  <c r="M22" s="1"/>
  <c r="P22"/>
  <c r="O22"/>
  <c r="E22"/>
  <c r="L22" s="1"/>
  <c r="I21"/>
  <c r="P21" s="1"/>
  <c r="H21"/>
  <c r="O21" s="1"/>
  <c r="G21"/>
  <c r="F21"/>
  <c r="M21" s="1"/>
  <c r="E21"/>
  <c r="I20"/>
  <c r="P20" s="1"/>
  <c r="H20"/>
  <c r="O20" s="1"/>
  <c r="G20"/>
  <c r="F20"/>
  <c r="M20" s="1"/>
  <c r="E20"/>
  <c r="I19"/>
  <c r="P19" s="1"/>
  <c r="H19"/>
  <c r="O19" s="1"/>
  <c r="G19"/>
  <c r="N19" s="1"/>
  <c r="F19"/>
  <c r="E19"/>
  <c r="M19"/>
  <c r="H18"/>
  <c r="I18"/>
  <c r="P18" s="1"/>
  <c r="G18"/>
  <c r="F18"/>
  <c r="M18" s="1"/>
  <c r="O18"/>
  <c r="E18"/>
  <c r="L18" s="1"/>
  <c r="I17"/>
  <c r="P17" s="1"/>
  <c r="H17"/>
  <c r="O17" s="1"/>
  <c r="G17"/>
  <c r="F17"/>
  <c r="M17" s="1"/>
  <c r="E17"/>
  <c r="L17" s="1"/>
  <c r="I16"/>
  <c r="P16" s="1"/>
  <c r="H16"/>
  <c r="G16"/>
  <c r="F16"/>
  <c r="M16" s="1"/>
  <c r="O16"/>
  <c r="E16"/>
  <c r="L16" s="1"/>
  <c r="I15"/>
  <c r="H15"/>
  <c r="O15" s="1"/>
  <c r="G15"/>
  <c r="N15" s="1"/>
  <c r="F15"/>
  <c r="M15" s="1"/>
  <c r="P15"/>
  <c r="E15"/>
  <c r="L15" s="1"/>
  <c r="I14"/>
  <c r="P14" s="1"/>
  <c r="H14"/>
  <c r="O14" s="1"/>
  <c r="G14"/>
  <c r="F14"/>
  <c r="M14" s="1"/>
  <c r="E14"/>
  <c r="L14" s="1"/>
  <c r="I13"/>
  <c r="P13" s="1"/>
  <c r="H13"/>
  <c r="O13" s="1"/>
  <c r="G13"/>
  <c r="F13"/>
  <c r="M13" s="1"/>
  <c r="E13"/>
  <c r="L13" s="1"/>
  <c r="I12"/>
  <c r="H12"/>
  <c r="O12" s="1"/>
  <c r="G12"/>
  <c r="F12"/>
  <c r="M12" s="1"/>
  <c r="P12"/>
  <c r="E12"/>
  <c r="L12" s="1"/>
  <c r="I11"/>
  <c r="P11" s="1"/>
  <c r="H11"/>
  <c r="O11" s="1"/>
  <c r="G11"/>
  <c r="F11"/>
  <c r="M11" s="1"/>
  <c r="E11"/>
  <c r="L11" s="1"/>
  <c r="H10"/>
  <c r="G10"/>
  <c r="F10"/>
  <c r="M10" s="1"/>
  <c r="E10"/>
  <c r="L10" s="1"/>
  <c r="O10"/>
  <c r="I10"/>
  <c r="P10" s="1"/>
  <c r="I9"/>
  <c r="P9" s="1"/>
  <c r="H9"/>
  <c r="O9" s="1"/>
  <c r="G9"/>
  <c r="F9"/>
  <c r="M9" s="1"/>
  <c r="E9"/>
  <c r="L9" s="1"/>
  <c r="I7"/>
  <c r="P7" s="1"/>
  <c r="H7"/>
  <c r="O7" s="1"/>
  <c r="G7"/>
  <c r="N7" s="1"/>
  <c r="F7"/>
  <c r="M7" s="1"/>
  <c r="E7"/>
  <c r="L7" s="1"/>
  <c r="I8"/>
  <c r="P8" s="1"/>
  <c r="H8"/>
  <c r="O8" s="1"/>
  <c r="G8"/>
  <c r="N8" s="1"/>
  <c r="F8"/>
  <c r="M8" s="1"/>
  <c r="E8"/>
  <c r="L8" s="1"/>
  <c r="I6"/>
  <c r="P6" s="1"/>
  <c r="H6"/>
  <c r="O6" s="1"/>
  <c r="F6"/>
  <c r="M6" s="1"/>
  <c r="G6"/>
  <c r="E6"/>
  <c r="L6" s="1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I5"/>
  <c r="P5" s="1"/>
  <c r="H5"/>
  <c r="O5" s="1"/>
  <c r="G5"/>
  <c r="F5"/>
  <c r="M5" s="1"/>
  <c r="E5"/>
  <c r="J21" l="1"/>
  <c r="K21" s="1"/>
  <c r="L21"/>
  <c r="R21" s="1"/>
  <c r="N9"/>
  <c r="Q9" s="1"/>
  <c r="N13"/>
  <c r="J19"/>
  <c r="K19" s="1"/>
  <c r="R15"/>
  <c r="S15" s="1"/>
  <c r="R7"/>
  <c r="S7" s="1"/>
  <c r="N21"/>
  <c r="R25"/>
  <c r="S25" s="1"/>
  <c r="J7"/>
  <c r="K7" s="1"/>
  <c r="N17"/>
  <c r="Q17" s="1"/>
  <c r="R8"/>
  <c r="S8" s="1"/>
  <c r="N14"/>
  <c r="Q14" s="1"/>
  <c r="R22"/>
  <c r="J5"/>
  <c r="K5" s="1"/>
  <c r="N6"/>
  <c r="R10"/>
  <c r="J13"/>
  <c r="K13" s="1"/>
  <c r="N18"/>
  <c r="R11"/>
  <c r="R14"/>
  <c r="S14" s="1"/>
  <c r="J10"/>
  <c r="K10" s="1"/>
  <c r="N16"/>
  <c r="R23"/>
  <c r="S23" s="1"/>
  <c r="R9"/>
  <c r="R12"/>
  <c r="R17"/>
  <c r="S17" s="1"/>
  <c r="J20"/>
  <c r="K20" s="1"/>
  <c r="J22"/>
  <c r="K22" s="1"/>
  <c r="R13"/>
  <c r="N5"/>
  <c r="N11"/>
  <c r="N12"/>
  <c r="R16"/>
  <c r="R18"/>
  <c r="L19"/>
  <c r="R19" s="1"/>
  <c r="S19" s="1"/>
  <c r="N20"/>
  <c r="J18"/>
  <c r="K18" s="1"/>
  <c r="J24"/>
  <c r="K24" s="1"/>
  <c r="R6"/>
  <c r="J6"/>
  <c r="K6" s="1"/>
  <c r="J14"/>
  <c r="K14" s="1"/>
  <c r="J9"/>
  <c r="K9" s="1"/>
  <c r="J17"/>
  <c r="K17" s="1"/>
  <c r="L20"/>
  <c r="R20" s="1"/>
  <c r="J8"/>
  <c r="K8" s="1"/>
  <c r="J12"/>
  <c r="K12" s="1"/>
  <c r="J16"/>
  <c r="K16" s="1"/>
  <c r="L24"/>
  <c r="R24" s="1"/>
  <c r="S24" s="1"/>
  <c r="N10"/>
  <c r="Q10" s="1"/>
  <c r="J11"/>
  <c r="K11" s="1"/>
  <c r="J15"/>
  <c r="K15" s="1"/>
  <c r="J23"/>
  <c r="K23" s="1"/>
  <c r="Q25"/>
  <c r="J25"/>
  <c r="K25" s="1"/>
  <c r="Q23"/>
  <c r="Q15"/>
  <c r="Q8"/>
  <c r="Q7"/>
  <c r="L5"/>
  <c r="Q19" l="1"/>
  <c r="Q21"/>
  <c r="S9"/>
  <c r="S16"/>
  <c r="S21"/>
  <c r="S10"/>
  <c r="Q13"/>
  <c r="S13"/>
  <c r="Q22"/>
  <c r="S22"/>
  <c r="S12"/>
  <c r="Q18"/>
  <c r="S18"/>
  <c r="S20"/>
  <c r="Q6"/>
  <c r="S6"/>
  <c r="S11"/>
  <c r="Q12"/>
  <c r="Q16"/>
  <c r="Q11"/>
  <c r="Q20"/>
  <c r="Q24"/>
  <c r="Q5"/>
  <c r="R5"/>
  <c r="S5" s="1"/>
</calcChain>
</file>

<file path=xl/sharedStrings.xml><?xml version="1.0" encoding="utf-8"?>
<sst xmlns="http://schemas.openxmlformats.org/spreadsheetml/2006/main" count="41" uniqueCount="41">
  <si>
    <t>Asset</t>
  </si>
  <si>
    <t>% very poor</t>
  </si>
  <si>
    <t>% fair</t>
  </si>
  <si>
    <t>% very good</t>
  </si>
  <si>
    <t>% poor</t>
  </si>
  <si>
    <t>% good</t>
  </si>
  <si>
    <t># very poor</t>
  </si>
  <si>
    <t># poor</t>
  </si>
  <si>
    <t># fair</t>
  </si>
  <si>
    <t># good</t>
  </si>
  <si>
    <t># very good</t>
  </si>
  <si>
    <t>Population</t>
  </si>
  <si>
    <t>Total</t>
  </si>
  <si>
    <t>Station Switchgear</t>
  </si>
  <si>
    <t>Air Blast Circuit Breakers</t>
  </si>
  <si>
    <t>Sample Size %</t>
  </si>
  <si>
    <t>Air Magnetic Circuit Breakers</t>
  </si>
  <si>
    <t>Oil Circuit Breakers</t>
  </si>
  <si>
    <t>Oil KSO Breakers</t>
  </si>
  <si>
    <t>SF6 Circuit Breaker</t>
  </si>
  <si>
    <t>Vacuum Circuit Breakers</t>
  </si>
  <si>
    <t>Submersible Transformers</t>
  </si>
  <si>
    <t>Vault Transformers</t>
  </si>
  <si>
    <t>Padmounted Transformers</t>
  </si>
  <si>
    <t>Padmounted Switches</t>
  </si>
  <si>
    <t>3 Phase O/H Gang Manual Switches</t>
  </si>
  <si>
    <t>3 Phase O/H Gang Remote Switches</t>
  </si>
  <si>
    <t>SCADAMATE Switches</t>
  </si>
  <si>
    <t>Wood Poles</t>
  </si>
  <si>
    <t>Automatic Transfer Switches</t>
  </si>
  <si>
    <t>Network Transformers</t>
  </si>
  <si>
    <t>Network Protectors</t>
  </si>
  <si>
    <t>Network Vaults</t>
  </si>
  <si>
    <t>Cable Cambers</t>
  </si>
  <si>
    <t>Station Power Transformer</t>
  </si>
  <si>
    <t>% very poor &amp; poor</t>
  </si>
  <si>
    <t>% very poor,  poor &amp; fair</t>
  </si>
  <si>
    <t>AMPCO Table</t>
  </si>
  <si>
    <t># very poor &amp; poor</t>
  </si>
  <si>
    <t># very poor,  poor &amp; fair</t>
  </si>
  <si>
    <t>Exhibit 2B Section D2 Appendix A: 2014 Audit Results By Asset Class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</si>
</sst>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2" fontId="0" fillId="0" borderId="0" xfId="0" applyNumberFormat="1"/>
    <xf numFmtId="0" fontId="0" fillId="0" borderId="4" xfId="0" applyBorder="1"/>
    <xf numFmtId="0" fontId="0" fillId="0" borderId="0" xfId="0" applyBorder="1"/>
    <xf numFmtId="2" fontId="0" fillId="0" borderId="2" xfId="0" applyNumberFormat="1" applyBorder="1"/>
    <xf numFmtId="0" fontId="0" fillId="0" borderId="6" xfId="0" applyBorder="1"/>
    <xf numFmtId="0" fontId="1" fillId="0" borderId="7" xfId="0" applyFont="1" applyBorder="1"/>
    <xf numFmtId="0" fontId="0" fillId="0" borderId="7" xfId="0" applyBorder="1"/>
    <xf numFmtId="2" fontId="0" fillId="0" borderId="7" xfId="0" applyNumberFormat="1" applyBorder="1"/>
    <xf numFmtId="0" fontId="0" fillId="0" borderId="8" xfId="0" applyBorder="1"/>
    <xf numFmtId="0" fontId="1" fillId="0" borderId="0" xfId="0" applyFont="1" applyBorder="1"/>
    <xf numFmtId="2" fontId="1" fillId="0" borderId="0" xfId="0" applyNumberFormat="1" applyFont="1" applyBorder="1"/>
    <xf numFmtId="0" fontId="1" fillId="0" borderId="2" xfId="0" applyFont="1" applyBorder="1"/>
    <xf numFmtId="10" fontId="0" fillId="0" borderId="0" xfId="0" applyNumberFormat="1" applyBorder="1"/>
    <xf numFmtId="10" fontId="2" fillId="0" borderId="0" xfId="0" applyNumberFormat="1" applyFont="1" applyBorder="1"/>
    <xf numFmtId="10" fontId="0" fillId="0" borderId="0" xfId="0" applyNumberFormat="1" applyFont="1" applyBorder="1"/>
    <xf numFmtId="1" fontId="0" fillId="0" borderId="0" xfId="0" applyNumberFormat="1" applyBorder="1"/>
    <xf numFmtId="0" fontId="0" fillId="0" borderId="5" xfId="0" applyBorder="1"/>
    <xf numFmtId="0" fontId="0" fillId="0" borderId="1" xfId="0" applyBorder="1"/>
    <xf numFmtId="2" fontId="0" fillId="0" borderId="3" xfId="0" applyNumberFormat="1" applyBorder="1"/>
    <xf numFmtId="10" fontId="0" fillId="0" borderId="1" xfId="0" applyNumberFormat="1" applyBorder="1"/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2" fontId="1" fillId="0" borderId="10" xfId="0" applyNumberFormat="1" applyFont="1" applyBorder="1" applyAlignment="1">
      <alignment horizontal="right" wrapText="1"/>
    </xf>
    <xf numFmtId="0" fontId="1" fillId="0" borderId="9" xfId="0" applyFont="1" applyBorder="1" applyAlignment="1">
      <alignment horizontal="right" wrapText="1"/>
    </xf>
    <xf numFmtId="0" fontId="0" fillId="0" borderId="0" xfId="0" applyFont="1" applyBorder="1"/>
    <xf numFmtId="0" fontId="0" fillId="0" borderId="1" xfId="0" applyFont="1" applyBorder="1"/>
    <xf numFmtId="0" fontId="1" fillId="0" borderId="12" xfId="0" applyFont="1" applyBorder="1" applyAlignment="1">
      <alignment horizontal="right" wrapText="1"/>
    </xf>
    <xf numFmtId="0" fontId="1" fillId="0" borderId="13" xfId="0" applyFont="1" applyBorder="1" applyAlignment="1">
      <alignment horizontal="right"/>
    </xf>
    <xf numFmtId="0" fontId="1" fillId="0" borderId="13" xfId="0" applyFont="1" applyBorder="1" applyAlignment="1">
      <alignment horizontal="right" wrapText="1"/>
    </xf>
    <xf numFmtId="0" fontId="1" fillId="0" borderId="13" xfId="0" applyFont="1" applyFill="1" applyBorder="1" applyAlignment="1">
      <alignment horizontal="right" wrapText="1"/>
    </xf>
    <xf numFmtId="0" fontId="1" fillId="0" borderId="14" xfId="0" applyFont="1" applyBorder="1" applyAlignment="1">
      <alignment horizontal="right" wrapText="1"/>
    </xf>
    <xf numFmtId="0" fontId="0" fillId="0" borderId="15" xfId="0" applyBorder="1"/>
    <xf numFmtId="0" fontId="0" fillId="0" borderId="16" xfId="0" applyBorder="1"/>
    <xf numFmtId="1" fontId="0" fillId="0" borderId="15" xfId="0" applyNumberFormat="1" applyBorder="1"/>
    <xf numFmtId="1" fontId="0" fillId="0" borderId="16" xfId="0" applyNumberFormat="1" applyBorder="1"/>
    <xf numFmtId="1" fontId="0" fillId="0" borderId="17" xfId="0" applyNumberFormat="1" applyBorder="1"/>
    <xf numFmtId="1" fontId="0" fillId="0" borderId="18" xfId="0" applyNumberFormat="1" applyBorder="1"/>
    <xf numFmtId="1" fontId="0" fillId="0" borderId="19" xfId="0" applyNumberFormat="1" applyBorder="1"/>
    <xf numFmtId="0" fontId="1" fillId="0" borderId="11" xfId="0" applyFont="1" applyBorder="1"/>
    <xf numFmtId="2" fontId="0" fillId="0" borderId="0" xfId="0" applyNumberFormat="1" applyBorder="1"/>
    <xf numFmtId="0" fontId="1" fillId="0" borderId="20" xfId="0" applyFont="1" applyBorder="1" applyAlignment="1">
      <alignment horizontal="right" wrapText="1"/>
    </xf>
    <xf numFmtId="0" fontId="1" fillId="0" borderId="21" xfId="0" applyFont="1" applyBorder="1" applyAlignment="1">
      <alignment horizontal="right" wrapText="1"/>
    </xf>
    <xf numFmtId="10" fontId="0" fillId="0" borderId="15" xfId="0" applyNumberFormat="1" applyFont="1" applyBorder="1"/>
    <xf numFmtId="10" fontId="0" fillId="0" borderId="16" xfId="0" applyNumberFormat="1" applyFont="1" applyBorder="1"/>
    <xf numFmtId="10" fontId="0" fillId="0" borderId="22" xfId="0" applyNumberFormat="1" applyFont="1" applyBorder="1"/>
    <xf numFmtId="10" fontId="0" fillId="0" borderId="23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6"/>
  <sheetViews>
    <sheetView tabSelected="1" topLeftCell="A4" workbookViewId="0">
      <selection activeCell="S6" sqref="S6"/>
    </sheetView>
  </sheetViews>
  <sheetFormatPr defaultRowHeight="15"/>
  <cols>
    <col min="1" max="1" width="3" customWidth="1"/>
    <col min="2" max="2" width="32.140625" customWidth="1"/>
    <col min="3" max="3" width="10.7109375" customWidth="1"/>
    <col min="4" max="4" width="8.140625" style="1" customWidth="1"/>
    <col min="5" max="5" width="7.7109375" customWidth="1"/>
    <col min="6" max="6" width="7.42578125" customWidth="1"/>
    <col min="7" max="7" width="7.140625" customWidth="1"/>
    <col min="8" max="8" width="7.42578125" customWidth="1"/>
    <col min="9" max="9" width="7.28515625" customWidth="1"/>
    <col min="10" max="10" width="8.42578125" customWidth="1"/>
    <col min="12" max="12" width="7.85546875" customWidth="1"/>
    <col min="13" max="13" width="7.5703125" customWidth="1"/>
    <col min="14" max="14" width="6.85546875" customWidth="1"/>
    <col min="15" max="15" width="7.140625" customWidth="1"/>
    <col min="16" max="16" width="6.28515625" customWidth="1"/>
    <col min="17" max="17" width="7.85546875" customWidth="1"/>
    <col min="18" max="18" width="8.28515625" customWidth="1"/>
  </cols>
  <sheetData>
    <row r="1" spans="1:19">
      <c r="A1" s="5"/>
      <c r="B1" s="6" t="s">
        <v>37</v>
      </c>
      <c r="C1" s="7"/>
      <c r="D1" s="8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9"/>
    </row>
    <row r="2" spans="1:19" ht="15.75" thickBot="1">
      <c r="A2" s="2"/>
      <c r="B2" s="10" t="s">
        <v>40</v>
      </c>
      <c r="C2" s="10"/>
      <c r="D2" s="11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3"/>
      <c r="R2" s="10"/>
      <c r="S2" s="12"/>
    </row>
    <row r="3" spans="1:19" ht="60.75" thickTop="1">
      <c r="A3" s="39"/>
      <c r="B3" s="21" t="s">
        <v>0</v>
      </c>
      <c r="C3" s="22" t="s">
        <v>11</v>
      </c>
      <c r="D3" s="23" t="s">
        <v>15</v>
      </c>
      <c r="E3" s="24" t="s">
        <v>1</v>
      </c>
      <c r="F3" s="24" t="s">
        <v>4</v>
      </c>
      <c r="G3" s="24" t="s">
        <v>2</v>
      </c>
      <c r="H3" s="24" t="s">
        <v>5</v>
      </c>
      <c r="I3" s="24" t="s">
        <v>3</v>
      </c>
      <c r="J3" s="41" t="s">
        <v>35</v>
      </c>
      <c r="K3" s="42" t="s">
        <v>36</v>
      </c>
      <c r="L3" s="27" t="s">
        <v>6</v>
      </c>
      <c r="M3" s="28" t="s">
        <v>7</v>
      </c>
      <c r="N3" s="29" t="s">
        <v>8</v>
      </c>
      <c r="O3" s="29" t="s">
        <v>9</v>
      </c>
      <c r="P3" s="29" t="s">
        <v>10</v>
      </c>
      <c r="Q3" s="30" t="s">
        <v>12</v>
      </c>
      <c r="R3" s="27" t="s">
        <v>38</v>
      </c>
      <c r="S3" s="31" t="s">
        <v>39</v>
      </c>
    </row>
    <row r="4" spans="1:19">
      <c r="A4" s="2"/>
      <c r="B4" s="3"/>
      <c r="C4" s="3"/>
      <c r="D4" s="4"/>
      <c r="E4" s="3"/>
      <c r="F4" s="3"/>
      <c r="G4" s="3"/>
      <c r="H4" s="3"/>
      <c r="I4" s="3"/>
      <c r="J4" s="32"/>
      <c r="K4" s="33"/>
      <c r="L4" s="32"/>
      <c r="M4" s="3"/>
      <c r="N4" s="3"/>
      <c r="O4" s="3"/>
      <c r="P4" s="3"/>
      <c r="Q4" s="3"/>
      <c r="R4" s="32"/>
      <c r="S4" s="33"/>
    </row>
    <row r="5" spans="1:19">
      <c r="A5" s="2">
        <v>1</v>
      </c>
      <c r="B5" s="25" t="s">
        <v>34</v>
      </c>
      <c r="C5" s="3">
        <v>268</v>
      </c>
      <c r="D5" s="4">
        <v>90.3</v>
      </c>
      <c r="E5" s="13">
        <f>124%/100</f>
        <v>1.24E-2</v>
      </c>
      <c r="F5" s="13">
        <f>1364%/100</f>
        <v>0.13639999999999999</v>
      </c>
      <c r="G5" s="14">
        <f>4959%/100</f>
        <v>0.49590000000000001</v>
      </c>
      <c r="H5" s="13">
        <f>2314%/100</f>
        <v>0.23139999999999999</v>
      </c>
      <c r="I5" s="13">
        <f>1240%/100</f>
        <v>0.124</v>
      </c>
      <c r="J5" s="43">
        <f t="shared" ref="J5:J25" si="0">SUM(E5:F5)</f>
        <v>0.14879999999999999</v>
      </c>
      <c r="K5" s="44">
        <f>J5+G5</f>
        <v>0.64470000000000005</v>
      </c>
      <c r="L5" s="34">
        <f t="shared" ref="L5:L25" si="1">C5*E5</f>
        <v>3.3231999999999999</v>
      </c>
      <c r="M5" s="16">
        <f t="shared" ref="M5:M25" si="2">C5*F5</f>
        <v>36.555199999999999</v>
      </c>
      <c r="N5" s="16">
        <f t="shared" ref="N5:N25" si="3">C5*G5</f>
        <v>132.90119999999999</v>
      </c>
      <c r="O5" s="16">
        <f t="shared" ref="O5:O25" si="4">C5*H5</f>
        <v>62.0152</v>
      </c>
      <c r="P5" s="16">
        <f t="shared" ref="P5:P25" si="5">C5*I5</f>
        <v>33.231999999999999</v>
      </c>
      <c r="Q5" s="16">
        <f t="shared" ref="Q5:Q25" si="6">SUM(L5:P5)</f>
        <v>268.02679999999998</v>
      </c>
      <c r="R5" s="34">
        <f t="shared" ref="R5:R25" si="7">SUM(L5:M5)</f>
        <v>39.878399999999999</v>
      </c>
      <c r="S5" s="35">
        <f>R5+N5</f>
        <v>172.77959999999999</v>
      </c>
    </row>
    <row r="6" spans="1:19">
      <c r="A6" s="2">
        <f>A5+1</f>
        <v>2</v>
      </c>
      <c r="B6" s="25" t="s">
        <v>13</v>
      </c>
      <c r="C6" s="3">
        <v>279</v>
      </c>
      <c r="D6" s="4">
        <v>88.89</v>
      </c>
      <c r="E6" s="13">
        <f>484%/100</f>
        <v>4.8399999999999999E-2</v>
      </c>
      <c r="F6" s="13">
        <f>3669%/100</f>
        <v>0.3669</v>
      </c>
      <c r="G6" s="14">
        <f>3347%/100</f>
        <v>0.3347</v>
      </c>
      <c r="H6" s="13">
        <f>927%/100</f>
        <v>9.2699999999999991E-2</v>
      </c>
      <c r="I6" s="13">
        <f>1573%/100</f>
        <v>0.1573</v>
      </c>
      <c r="J6" s="43">
        <f t="shared" si="0"/>
        <v>0.4153</v>
      </c>
      <c r="K6" s="44">
        <f t="shared" ref="K6:K25" si="8">J6+G6</f>
        <v>0.75</v>
      </c>
      <c r="L6" s="34">
        <f t="shared" si="1"/>
        <v>13.503599999999999</v>
      </c>
      <c r="M6" s="16">
        <f t="shared" si="2"/>
        <v>102.3651</v>
      </c>
      <c r="N6" s="16">
        <f t="shared" si="3"/>
        <v>93.381299999999996</v>
      </c>
      <c r="O6" s="16">
        <f t="shared" si="4"/>
        <v>25.863299999999999</v>
      </c>
      <c r="P6" s="16">
        <f t="shared" si="5"/>
        <v>43.886699999999998</v>
      </c>
      <c r="Q6" s="16">
        <f t="shared" si="6"/>
        <v>279</v>
      </c>
      <c r="R6" s="34">
        <f t="shared" si="7"/>
        <v>115.86869999999999</v>
      </c>
      <c r="S6" s="35">
        <f t="shared" ref="S6:S25" si="9">R6+N6</f>
        <v>209.25</v>
      </c>
    </row>
    <row r="7" spans="1:19">
      <c r="A7" s="2">
        <f t="shared" ref="A7:A25" si="10">A6+1</f>
        <v>3</v>
      </c>
      <c r="B7" s="25" t="s">
        <v>14</v>
      </c>
      <c r="C7" s="3">
        <v>290</v>
      </c>
      <c r="D7" s="4">
        <v>62.07</v>
      </c>
      <c r="E7" s="13">
        <f>0%/100</f>
        <v>0</v>
      </c>
      <c r="F7" s="13">
        <f>389%/100</f>
        <v>3.8900000000000004E-2</v>
      </c>
      <c r="G7" s="14">
        <f>8778%/100</f>
        <v>0.87780000000000002</v>
      </c>
      <c r="H7" s="13">
        <f>278%/100</f>
        <v>2.7799999999999998E-2</v>
      </c>
      <c r="I7" s="13">
        <f>556%/100</f>
        <v>5.5599999999999997E-2</v>
      </c>
      <c r="J7" s="43">
        <f t="shared" si="0"/>
        <v>3.8900000000000004E-2</v>
      </c>
      <c r="K7" s="44">
        <f t="shared" si="8"/>
        <v>0.91670000000000007</v>
      </c>
      <c r="L7" s="34">
        <f t="shared" si="1"/>
        <v>0</v>
      </c>
      <c r="M7" s="16">
        <f t="shared" si="2"/>
        <v>11.281000000000001</v>
      </c>
      <c r="N7" s="16">
        <f t="shared" si="3"/>
        <v>254.56200000000001</v>
      </c>
      <c r="O7" s="16">
        <f t="shared" si="4"/>
        <v>8.0619999999999994</v>
      </c>
      <c r="P7" s="16">
        <f t="shared" si="5"/>
        <v>16.123999999999999</v>
      </c>
      <c r="Q7" s="16">
        <f t="shared" si="6"/>
        <v>290.02900000000005</v>
      </c>
      <c r="R7" s="34">
        <f t="shared" si="7"/>
        <v>11.281000000000001</v>
      </c>
      <c r="S7" s="35">
        <f t="shared" si="9"/>
        <v>265.84300000000002</v>
      </c>
    </row>
    <row r="8" spans="1:19">
      <c r="A8" s="2">
        <f t="shared" si="10"/>
        <v>4</v>
      </c>
      <c r="B8" s="25" t="s">
        <v>16</v>
      </c>
      <c r="C8" s="3">
        <v>627</v>
      </c>
      <c r="D8" s="4">
        <v>74.319999999999993</v>
      </c>
      <c r="E8" s="13">
        <f>21%/100</f>
        <v>2.0999999999999999E-3</v>
      </c>
      <c r="F8" s="13">
        <f>472%/100</f>
        <v>4.7199999999999999E-2</v>
      </c>
      <c r="G8" s="14">
        <f>7425%/100</f>
        <v>0.74250000000000005</v>
      </c>
      <c r="H8" s="13">
        <f>1888%/100</f>
        <v>0.1888</v>
      </c>
      <c r="I8" s="13">
        <f>193%/100</f>
        <v>1.9299999999999998E-2</v>
      </c>
      <c r="J8" s="43">
        <f t="shared" si="0"/>
        <v>4.9299999999999997E-2</v>
      </c>
      <c r="K8" s="44">
        <f t="shared" si="8"/>
        <v>0.79180000000000006</v>
      </c>
      <c r="L8" s="34">
        <f t="shared" si="1"/>
        <v>1.3167</v>
      </c>
      <c r="M8" s="16">
        <f t="shared" si="2"/>
        <v>29.5944</v>
      </c>
      <c r="N8" s="16">
        <f t="shared" si="3"/>
        <v>465.54750000000001</v>
      </c>
      <c r="O8" s="16">
        <f t="shared" si="4"/>
        <v>118.3776</v>
      </c>
      <c r="P8" s="16">
        <f t="shared" si="5"/>
        <v>12.101099999999999</v>
      </c>
      <c r="Q8" s="16">
        <f t="shared" si="6"/>
        <v>626.93729999999994</v>
      </c>
      <c r="R8" s="34">
        <f t="shared" si="7"/>
        <v>30.911100000000001</v>
      </c>
      <c r="S8" s="35">
        <f t="shared" si="9"/>
        <v>496.45859999999999</v>
      </c>
    </row>
    <row r="9" spans="1:19">
      <c r="A9" s="2">
        <f t="shared" si="10"/>
        <v>5</v>
      </c>
      <c r="B9" s="25" t="s">
        <v>17</v>
      </c>
      <c r="C9" s="3">
        <v>332</v>
      </c>
      <c r="D9" s="4">
        <v>47.29</v>
      </c>
      <c r="E9" s="13">
        <f>64%/100</f>
        <v>6.4000000000000003E-3</v>
      </c>
      <c r="F9" s="13">
        <f>1019%/100</f>
        <v>0.10189999999999999</v>
      </c>
      <c r="G9" s="14">
        <f>8280%/100</f>
        <v>0.82799999999999996</v>
      </c>
      <c r="H9" s="13">
        <f>637%/100</f>
        <v>6.3700000000000007E-2</v>
      </c>
      <c r="I9" s="13">
        <f>0%/100</f>
        <v>0</v>
      </c>
      <c r="J9" s="43">
        <f t="shared" si="0"/>
        <v>0.10829999999999999</v>
      </c>
      <c r="K9" s="44">
        <f t="shared" si="8"/>
        <v>0.93629999999999991</v>
      </c>
      <c r="L9" s="34">
        <f t="shared" si="1"/>
        <v>2.1248</v>
      </c>
      <c r="M9" s="16">
        <f t="shared" si="2"/>
        <v>33.830799999999996</v>
      </c>
      <c r="N9" s="16">
        <f t="shared" si="3"/>
        <v>274.89599999999996</v>
      </c>
      <c r="O9" s="16">
        <f t="shared" si="4"/>
        <v>21.148400000000002</v>
      </c>
      <c r="P9" s="16">
        <f t="shared" si="5"/>
        <v>0</v>
      </c>
      <c r="Q9" s="16">
        <f t="shared" si="6"/>
        <v>331.99999999999994</v>
      </c>
      <c r="R9" s="34">
        <f t="shared" si="7"/>
        <v>35.955599999999997</v>
      </c>
      <c r="S9" s="35">
        <f t="shared" si="9"/>
        <v>310.85159999999996</v>
      </c>
    </row>
    <row r="10" spans="1:19">
      <c r="A10" s="2">
        <f t="shared" si="10"/>
        <v>6</v>
      </c>
      <c r="B10" s="25" t="s">
        <v>18</v>
      </c>
      <c r="C10" s="3">
        <v>59</v>
      </c>
      <c r="D10" s="4">
        <v>37.29</v>
      </c>
      <c r="E10" s="13">
        <f t="shared" ref="E10:E18" si="11">0%/100</f>
        <v>0</v>
      </c>
      <c r="F10" s="13">
        <f>455%/100</f>
        <v>4.5499999999999999E-2</v>
      </c>
      <c r="G10" s="14">
        <f>8182%/100</f>
        <v>0.81819999999999993</v>
      </c>
      <c r="H10" s="13">
        <f>1364%/100</f>
        <v>0.13639999999999999</v>
      </c>
      <c r="I10" s="13">
        <f>0%/100</f>
        <v>0</v>
      </c>
      <c r="J10" s="43">
        <f t="shared" si="0"/>
        <v>4.5499999999999999E-2</v>
      </c>
      <c r="K10" s="44">
        <f t="shared" si="8"/>
        <v>0.86369999999999991</v>
      </c>
      <c r="L10" s="34">
        <f t="shared" si="1"/>
        <v>0</v>
      </c>
      <c r="M10" s="16">
        <f t="shared" si="2"/>
        <v>2.6844999999999999</v>
      </c>
      <c r="N10" s="16">
        <f t="shared" si="3"/>
        <v>48.273799999999994</v>
      </c>
      <c r="O10" s="16">
        <f t="shared" si="4"/>
        <v>8.0475999999999992</v>
      </c>
      <c r="P10" s="16">
        <f t="shared" si="5"/>
        <v>0</v>
      </c>
      <c r="Q10" s="16">
        <f t="shared" si="6"/>
        <v>59.005899999999997</v>
      </c>
      <c r="R10" s="34">
        <f t="shared" si="7"/>
        <v>2.6844999999999999</v>
      </c>
      <c r="S10" s="35">
        <f t="shared" si="9"/>
        <v>50.958299999999994</v>
      </c>
    </row>
    <row r="11" spans="1:19">
      <c r="A11" s="2">
        <f t="shared" si="10"/>
        <v>7</v>
      </c>
      <c r="B11" s="25" t="s">
        <v>19</v>
      </c>
      <c r="C11" s="3">
        <v>201</v>
      </c>
      <c r="D11" s="4">
        <v>32.340000000000003</v>
      </c>
      <c r="E11" s="13">
        <f t="shared" si="11"/>
        <v>0</v>
      </c>
      <c r="F11" s="13">
        <f>0%/100</f>
        <v>0</v>
      </c>
      <c r="G11" s="14">
        <f>769%/100</f>
        <v>7.690000000000001E-2</v>
      </c>
      <c r="H11" s="13">
        <f>4615%/100</f>
        <v>0.46149999999999997</v>
      </c>
      <c r="I11" s="13">
        <f>4615%/100</f>
        <v>0.46149999999999997</v>
      </c>
      <c r="J11" s="43">
        <f t="shared" si="0"/>
        <v>0</v>
      </c>
      <c r="K11" s="44">
        <f t="shared" si="8"/>
        <v>7.690000000000001E-2</v>
      </c>
      <c r="L11" s="34">
        <f t="shared" si="1"/>
        <v>0</v>
      </c>
      <c r="M11" s="16">
        <f t="shared" si="2"/>
        <v>0</v>
      </c>
      <c r="N11" s="16">
        <f t="shared" si="3"/>
        <v>15.456900000000003</v>
      </c>
      <c r="O11" s="16">
        <f t="shared" si="4"/>
        <v>92.761499999999998</v>
      </c>
      <c r="P11" s="16">
        <f t="shared" si="5"/>
        <v>92.761499999999998</v>
      </c>
      <c r="Q11" s="16">
        <f t="shared" si="6"/>
        <v>200.97989999999999</v>
      </c>
      <c r="R11" s="34">
        <f t="shared" si="7"/>
        <v>0</v>
      </c>
      <c r="S11" s="35">
        <f t="shared" si="9"/>
        <v>15.456900000000003</v>
      </c>
    </row>
    <row r="12" spans="1:19">
      <c r="A12" s="2">
        <f t="shared" si="10"/>
        <v>8</v>
      </c>
      <c r="B12" s="25" t="s">
        <v>20</v>
      </c>
      <c r="C12" s="3">
        <v>675</v>
      </c>
      <c r="D12" s="4">
        <v>70.81</v>
      </c>
      <c r="E12" s="13">
        <f t="shared" si="11"/>
        <v>0</v>
      </c>
      <c r="F12" s="13">
        <f>21%/100</f>
        <v>2.0999999999999999E-3</v>
      </c>
      <c r="G12" s="14">
        <f>314%/100</f>
        <v>3.1400000000000004E-2</v>
      </c>
      <c r="H12" s="13">
        <f>1025%/100</f>
        <v>0.10249999999999999</v>
      </c>
      <c r="I12" s="13">
        <f>8640%/100</f>
        <v>0.8640000000000001</v>
      </c>
      <c r="J12" s="43">
        <f t="shared" si="0"/>
        <v>2.0999999999999999E-3</v>
      </c>
      <c r="K12" s="44">
        <f t="shared" si="8"/>
        <v>3.3500000000000002E-2</v>
      </c>
      <c r="L12" s="34">
        <f t="shared" si="1"/>
        <v>0</v>
      </c>
      <c r="M12" s="16">
        <f t="shared" si="2"/>
        <v>1.4175</v>
      </c>
      <c r="N12" s="16">
        <f t="shared" si="3"/>
        <v>21.195000000000004</v>
      </c>
      <c r="O12" s="16">
        <f t="shared" si="4"/>
        <v>69.1875</v>
      </c>
      <c r="P12" s="16">
        <f t="shared" si="5"/>
        <v>583.20000000000005</v>
      </c>
      <c r="Q12" s="16">
        <f t="shared" si="6"/>
        <v>675</v>
      </c>
      <c r="R12" s="34">
        <f t="shared" si="7"/>
        <v>1.4175</v>
      </c>
      <c r="S12" s="35">
        <f t="shared" si="9"/>
        <v>22.612500000000004</v>
      </c>
    </row>
    <row r="13" spans="1:19">
      <c r="A13" s="2">
        <f t="shared" si="10"/>
        <v>9</v>
      </c>
      <c r="B13" s="25" t="s">
        <v>21</v>
      </c>
      <c r="C13" s="3">
        <v>9554</v>
      </c>
      <c r="D13" s="4">
        <v>95.2</v>
      </c>
      <c r="E13" s="13">
        <f t="shared" si="11"/>
        <v>0</v>
      </c>
      <c r="F13" s="13">
        <f>2%/100</f>
        <v>2.0000000000000001E-4</v>
      </c>
      <c r="G13" s="14">
        <f>668%/100</f>
        <v>6.6799999999999998E-2</v>
      </c>
      <c r="H13" s="13">
        <f>3493%/100</f>
        <v>0.3493</v>
      </c>
      <c r="I13" s="13">
        <f>5836%/100</f>
        <v>0.58360000000000001</v>
      </c>
      <c r="J13" s="43">
        <f t="shared" si="0"/>
        <v>2.0000000000000001E-4</v>
      </c>
      <c r="K13" s="44">
        <f t="shared" si="8"/>
        <v>6.7000000000000004E-2</v>
      </c>
      <c r="L13" s="34">
        <f t="shared" si="1"/>
        <v>0</v>
      </c>
      <c r="M13" s="16">
        <f t="shared" si="2"/>
        <v>1.9108000000000001</v>
      </c>
      <c r="N13" s="16">
        <f t="shared" si="3"/>
        <v>638.20719999999994</v>
      </c>
      <c r="O13" s="16">
        <f t="shared" si="4"/>
        <v>3337.2121999999999</v>
      </c>
      <c r="P13" s="16">
        <f t="shared" si="5"/>
        <v>5575.7143999999998</v>
      </c>
      <c r="Q13" s="16">
        <f t="shared" si="6"/>
        <v>9553.0445999999993</v>
      </c>
      <c r="R13" s="34">
        <f t="shared" si="7"/>
        <v>1.9108000000000001</v>
      </c>
      <c r="S13" s="35">
        <f t="shared" si="9"/>
        <v>640.11799999999994</v>
      </c>
    </row>
    <row r="14" spans="1:19">
      <c r="A14" s="2">
        <f t="shared" si="10"/>
        <v>10</v>
      </c>
      <c r="B14" s="25" t="s">
        <v>22</v>
      </c>
      <c r="C14" s="3">
        <v>13034</v>
      </c>
      <c r="D14" s="4">
        <v>88.24</v>
      </c>
      <c r="E14" s="13">
        <f t="shared" si="11"/>
        <v>0</v>
      </c>
      <c r="F14" s="13">
        <f>23%/100</f>
        <v>2.3E-3</v>
      </c>
      <c r="G14" s="14">
        <f>2348%/100</f>
        <v>0.23480000000000001</v>
      </c>
      <c r="H14" s="13">
        <f>3980%/100</f>
        <v>0.39799999999999996</v>
      </c>
      <c r="I14" s="13">
        <f>3650%/100</f>
        <v>0.36499999999999999</v>
      </c>
      <c r="J14" s="43">
        <f t="shared" si="0"/>
        <v>2.3E-3</v>
      </c>
      <c r="K14" s="44">
        <f t="shared" si="8"/>
        <v>0.23710000000000001</v>
      </c>
      <c r="L14" s="34">
        <f t="shared" si="1"/>
        <v>0</v>
      </c>
      <c r="M14" s="16">
        <f t="shared" si="2"/>
        <v>29.978200000000001</v>
      </c>
      <c r="N14" s="16">
        <f t="shared" si="3"/>
        <v>3060.3832000000002</v>
      </c>
      <c r="O14" s="16">
        <f t="shared" si="4"/>
        <v>5187.5319999999992</v>
      </c>
      <c r="P14" s="16">
        <f t="shared" si="5"/>
        <v>4757.41</v>
      </c>
      <c r="Q14" s="16">
        <f t="shared" si="6"/>
        <v>13035.303399999999</v>
      </c>
      <c r="R14" s="34">
        <f t="shared" si="7"/>
        <v>29.978200000000001</v>
      </c>
      <c r="S14" s="35">
        <f t="shared" si="9"/>
        <v>3090.3614000000002</v>
      </c>
    </row>
    <row r="15" spans="1:19">
      <c r="A15" s="2">
        <f t="shared" si="10"/>
        <v>11</v>
      </c>
      <c r="B15" s="25" t="s">
        <v>23</v>
      </c>
      <c r="C15" s="3">
        <v>7160</v>
      </c>
      <c r="D15" s="4">
        <v>84.55</v>
      </c>
      <c r="E15" s="13">
        <f t="shared" si="11"/>
        <v>0</v>
      </c>
      <c r="F15" s="13">
        <f>2%/100</f>
        <v>2.0000000000000001E-4</v>
      </c>
      <c r="G15" s="14">
        <f>1009%/100</f>
        <v>0.1009</v>
      </c>
      <c r="H15" s="13">
        <f>4351%/100</f>
        <v>0.43509999999999999</v>
      </c>
      <c r="I15" s="13">
        <f>4638%/100</f>
        <v>0.46380000000000005</v>
      </c>
      <c r="J15" s="43">
        <f t="shared" si="0"/>
        <v>2.0000000000000001E-4</v>
      </c>
      <c r="K15" s="44">
        <f t="shared" si="8"/>
        <v>0.10110000000000001</v>
      </c>
      <c r="L15" s="34">
        <f t="shared" si="1"/>
        <v>0</v>
      </c>
      <c r="M15" s="16">
        <f t="shared" si="2"/>
        <v>1.4320000000000002</v>
      </c>
      <c r="N15" s="16">
        <f t="shared" si="3"/>
        <v>722.44400000000007</v>
      </c>
      <c r="O15" s="16">
        <f t="shared" si="4"/>
        <v>3115.3159999999998</v>
      </c>
      <c r="P15" s="16">
        <f t="shared" si="5"/>
        <v>3320.8080000000004</v>
      </c>
      <c r="Q15" s="16">
        <f t="shared" si="6"/>
        <v>7160</v>
      </c>
      <c r="R15" s="34">
        <f t="shared" si="7"/>
        <v>1.4320000000000002</v>
      </c>
      <c r="S15" s="35">
        <f t="shared" si="9"/>
        <v>723.87600000000009</v>
      </c>
    </row>
    <row r="16" spans="1:19">
      <c r="A16" s="2">
        <f t="shared" si="10"/>
        <v>12</v>
      </c>
      <c r="B16" s="25" t="s">
        <v>24</v>
      </c>
      <c r="C16" s="3">
        <v>802</v>
      </c>
      <c r="D16" s="4">
        <v>97.01</v>
      </c>
      <c r="E16" s="13">
        <f t="shared" si="11"/>
        <v>0</v>
      </c>
      <c r="F16" s="13">
        <f>39%/100</f>
        <v>3.9000000000000003E-3</v>
      </c>
      <c r="G16" s="14">
        <f>720%/100</f>
        <v>7.2000000000000008E-2</v>
      </c>
      <c r="H16" s="13">
        <f>3612%/100</f>
        <v>0.36119999999999997</v>
      </c>
      <c r="I16" s="13">
        <f>5630%/100</f>
        <v>0.56299999999999994</v>
      </c>
      <c r="J16" s="43">
        <f t="shared" si="0"/>
        <v>3.9000000000000003E-3</v>
      </c>
      <c r="K16" s="44">
        <f t="shared" si="8"/>
        <v>7.5900000000000009E-2</v>
      </c>
      <c r="L16" s="34">
        <f t="shared" si="1"/>
        <v>0</v>
      </c>
      <c r="M16" s="16">
        <f t="shared" si="2"/>
        <v>3.1278000000000001</v>
      </c>
      <c r="N16" s="16">
        <f t="shared" si="3"/>
        <v>57.744000000000007</v>
      </c>
      <c r="O16" s="16">
        <f t="shared" si="4"/>
        <v>289.68239999999997</v>
      </c>
      <c r="P16" s="16">
        <f t="shared" si="5"/>
        <v>451.52599999999995</v>
      </c>
      <c r="Q16" s="16">
        <f t="shared" si="6"/>
        <v>802.08019999999988</v>
      </c>
      <c r="R16" s="34">
        <f t="shared" si="7"/>
        <v>3.1278000000000001</v>
      </c>
      <c r="S16" s="35">
        <f t="shared" si="9"/>
        <v>60.871800000000007</v>
      </c>
    </row>
    <row r="17" spans="1:19">
      <c r="A17" s="2">
        <f t="shared" si="10"/>
        <v>13</v>
      </c>
      <c r="B17" s="25" t="s">
        <v>25</v>
      </c>
      <c r="C17" s="3">
        <v>1108</v>
      </c>
      <c r="D17" s="4">
        <v>32.94</v>
      </c>
      <c r="E17" s="13">
        <f t="shared" si="11"/>
        <v>0</v>
      </c>
      <c r="F17" s="13">
        <f>39%/100</f>
        <v>3.9000000000000003E-3</v>
      </c>
      <c r="G17" s="14">
        <f>301%/100</f>
        <v>3.0099999999999998E-2</v>
      </c>
      <c r="H17" s="13">
        <f>6384%/100</f>
        <v>0.63840000000000008</v>
      </c>
      <c r="I17" s="13">
        <f>3315%/100</f>
        <v>0.33149999999999996</v>
      </c>
      <c r="J17" s="43">
        <f t="shared" si="0"/>
        <v>3.9000000000000003E-3</v>
      </c>
      <c r="K17" s="44">
        <f t="shared" si="8"/>
        <v>3.3999999999999996E-2</v>
      </c>
      <c r="L17" s="34">
        <f t="shared" si="1"/>
        <v>0</v>
      </c>
      <c r="M17" s="16">
        <f t="shared" si="2"/>
        <v>4.3212000000000002</v>
      </c>
      <c r="N17" s="16">
        <f t="shared" si="3"/>
        <v>33.3508</v>
      </c>
      <c r="O17" s="16">
        <f t="shared" si="4"/>
        <v>707.34720000000004</v>
      </c>
      <c r="P17" s="16">
        <f t="shared" si="5"/>
        <v>367.30199999999996</v>
      </c>
      <c r="Q17" s="16">
        <f t="shared" si="6"/>
        <v>1112.3212000000001</v>
      </c>
      <c r="R17" s="34">
        <f t="shared" si="7"/>
        <v>4.3212000000000002</v>
      </c>
      <c r="S17" s="35">
        <f t="shared" si="9"/>
        <v>37.671999999999997</v>
      </c>
    </row>
    <row r="18" spans="1:19">
      <c r="A18" s="2">
        <f t="shared" si="10"/>
        <v>14</v>
      </c>
      <c r="B18" s="25" t="s">
        <v>26</v>
      </c>
      <c r="C18" s="3">
        <v>15</v>
      </c>
      <c r="D18" s="4">
        <v>86.67</v>
      </c>
      <c r="E18" s="13">
        <f t="shared" si="11"/>
        <v>0</v>
      </c>
      <c r="F18" s="13">
        <f>0%/100</f>
        <v>0</v>
      </c>
      <c r="G18" s="13">
        <f>1538%/100</f>
        <v>0.15380000000000002</v>
      </c>
      <c r="H18" s="13">
        <f>7692%/100</f>
        <v>0.76919999999999999</v>
      </c>
      <c r="I18" s="13">
        <f>769%/100</f>
        <v>7.690000000000001E-2</v>
      </c>
      <c r="J18" s="43">
        <f t="shared" si="0"/>
        <v>0</v>
      </c>
      <c r="K18" s="44">
        <f t="shared" si="8"/>
        <v>0.15380000000000002</v>
      </c>
      <c r="L18" s="34">
        <f t="shared" si="1"/>
        <v>0</v>
      </c>
      <c r="M18" s="16">
        <f t="shared" si="2"/>
        <v>0</v>
      </c>
      <c r="N18" s="16">
        <f t="shared" si="3"/>
        <v>2.3070000000000004</v>
      </c>
      <c r="O18" s="16">
        <f t="shared" si="4"/>
        <v>11.538</v>
      </c>
      <c r="P18" s="16">
        <f t="shared" si="5"/>
        <v>1.1535000000000002</v>
      </c>
      <c r="Q18" s="16">
        <f t="shared" si="6"/>
        <v>14.9985</v>
      </c>
      <c r="R18" s="34">
        <f t="shared" si="7"/>
        <v>0</v>
      </c>
      <c r="S18" s="35">
        <f t="shared" si="9"/>
        <v>2.3070000000000004</v>
      </c>
    </row>
    <row r="19" spans="1:19">
      <c r="A19" s="2">
        <f t="shared" si="10"/>
        <v>15</v>
      </c>
      <c r="B19" s="25" t="s">
        <v>27</v>
      </c>
      <c r="C19" s="3">
        <v>926</v>
      </c>
      <c r="D19" s="4">
        <v>85.31</v>
      </c>
      <c r="E19" s="13">
        <f>13%/100</f>
        <v>1.2999999999999999E-3</v>
      </c>
      <c r="F19" s="13">
        <f>0%/100</f>
        <v>0</v>
      </c>
      <c r="G19" s="13">
        <f>114%/100</f>
        <v>1.1399999999999999E-2</v>
      </c>
      <c r="H19" s="13">
        <f>5734%/100</f>
        <v>0.57340000000000002</v>
      </c>
      <c r="I19" s="13">
        <f>4139%/100</f>
        <v>0.41389999999999999</v>
      </c>
      <c r="J19" s="43">
        <f t="shared" si="0"/>
        <v>1.2999999999999999E-3</v>
      </c>
      <c r="K19" s="44">
        <f t="shared" si="8"/>
        <v>1.2699999999999999E-2</v>
      </c>
      <c r="L19" s="34">
        <f t="shared" si="1"/>
        <v>1.2038</v>
      </c>
      <c r="M19" s="16">
        <f t="shared" si="2"/>
        <v>0</v>
      </c>
      <c r="N19" s="16">
        <f t="shared" si="3"/>
        <v>10.556399999999998</v>
      </c>
      <c r="O19" s="16">
        <f t="shared" si="4"/>
        <v>530.96839999999997</v>
      </c>
      <c r="P19" s="16">
        <f t="shared" si="5"/>
        <v>383.27139999999997</v>
      </c>
      <c r="Q19" s="16">
        <f t="shared" si="6"/>
        <v>925.99999999999989</v>
      </c>
      <c r="R19" s="34">
        <f t="shared" si="7"/>
        <v>1.2038</v>
      </c>
      <c r="S19" s="35">
        <f t="shared" si="9"/>
        <v>11.760199999999998</v>
      </c>
    </row>
    <row r="20" spans="1:19">
      <c r="A20" s="2">
        <f t="shared" si="10"/>
        <v>16</v>
      </c>
      <c r="B20" s="25" t="s">
        <v>28</v>
      </c>
      <c r="C20" s="3">
        <v>123280</v>
      </c>
      <c r="D20" s="4">
        <v>37.659999999999997</v>
      </c>
      <c r="E20" s="13">
        <f>234%/100</f>
        <v>2.3399999999999997E-2</v>
      </c>
      <c r="F20" s="13">
        <f>764%/100</f>
        <v>7.6399999999999996E-2</v>
      </c>
      <c r="G20" s="13">
        <f>4413%/100</f>
        <v>0.44130000000000003</v>
      </c>
      <c r="H20" s="13">
        <f>728%/100</f>
        <v>7.2800000000000004E-2</v>
      </c>
      <c r="I20" s="13">
        <f>3861%/100</f>
        <v>0.3861</v>
      </c>
      <c r="J20" s="43">
        <f t="shared" si="0"/>
        <v>9.98E-2</v>
      </c>
      <c r="K20" s="44">
        <f t="shared" si="8"/>
        <v>0.54110000000000003</v>
      </c>
      <c r="L20" s="34">
        <f t="shared" si="1"/>
        <v>2884.7519999999995</v>
      </c>
      <c r="M20" s="16">
        <f t="shared" si="2"/>
        <v>9418.5919999999987</v>
      </c>
      <c r="N20" s="16">
        <f t="shared" si="3"/>
        <v>54403.464</v>
      </c>
      <c r="O20" s="16">
        <f t="shared" si="4"/>
        <v>8974.7839999999997</v>
      </c>
      <c r="P20" s="16">
        <f t="shared" si="5"/>
        <v>47598.408000000003</v>
      </c>
      <c r="Q20" s="16">
        <f t="shared" si="6"/>
        <v>123280</v>
      </c>
      <c r="R20" s="34">
        <f t="shared" si="7"/>
        <v>12303.343999999997</v>
      </c>
      <c r="S20" s="35">
        <f t="shared" si="9"/>
        <v>66706.80799999999</v>
      </c>
    </row>
    <row r="21" spans="1:19">
      <c r="A21" s="2">
        <f t="shared" si="10"/>
        <v>17</v>
      </c>
      <c r="B21" s="25" t="s">
        <v>29</v>
      </c>
      <c r="C21" s="3">
        <v>58</v>
      </c>
      <c r="D21" s="4">
        <v>91.38</v>
      </c>
      <c r="E21" s="13">
        <f>0%/100</f>
        <v>0</v>
      </c>
      <c r="F21" s="13">
        <f>1698%/100</f>
        <v>0.16980000000000001</v>
      </c>
      <c r="G21" s="13">
        <f>3208%/100</f>
        <v>0.32079999999999997</v>
      </c>
      <c r="H21" s="13">
        <f>3019%/100</f>
        <v>0.3019</v>
      </c>
      <c r="I21" s="13">
        <f>2075%/100</f>
        <v>0.20749999999999999</v>
      </c>
      <c r="J21" s="43">
        <f t="shared" si="0"/>
        <v>0.16980000000000001</v>
      </c>
      <c r="K21" s="44">
        <f t="shared" si="8"/>
        <v>0.49059999999999998</v>
      </c>
      <c r="L21" s="34">
        <f t="shared" si="1"/>
        <v>0</v>
      </c>
      <c r="M21" s="16">
        <f t="shared" si="2"/>
        <v>9.8483999999999998</v>
      </c>
      <c r="N21" s="16">
        <f t="shared" si="3"/>
        <v>18.606399999999997</v>
      </c>
      <c r="O21" s="16">
        <f t="shared" si="4"/>
        <v>17.510200000000001</v>
      </c>
      <c r="P21" s="16">
        <f t="shared" si="5"/>
        <v>12.035</v>
      </c>
      <c r="Q21" s="16">
        <f t="shared" si="6"/>
        <v>58</v>
      </c>
      <c r="R21" s="34">
        <f t="shared" si="7"/>
        <v>9.8483999999999998</v>
      </c>
      <c r="S21" s="35">
        <f t="shared" si="9"/>
        <v>28.454799999999999</v>
      </c>
    </row>
    <row r="22" spans="1:19">
      <c r="A22" s="2">
        <f t="shared" si="10"/>
        <v>18</v>
      </c>
      <c r="B22" s="25" t="s">
        <v>30</v>
      </c>
      <c r="C22" s="3">
        <v>1892</v>
      </c>
      <c r="D22" s="4">
        <v>99.58</v>
      </c>
      <c r="E22" s="13">
        <f>0%/100</f>
        <v>0</v>
      </c>
      <c r="F22" s="13">
        <f>0%/100</f>
        <v>0</v>
      </c>
      <c r="G22" s="13">
        <f>1640%/100</f>
        <v>0.16399999999999998</v>
      </c>
      <c r="H22" s="13">
        <f>4145%/100</f>
        <v>0.41450000000000004</v>
      </c>
      <c r="I22" s="13">
        <f>4214%/100</f>
        <v>0.4214</v>
      </c>
      <c r="J22" s="43">
        <f t="shared" si="0"/>
        <v>0</v>
      </c>
      <c r="K22" s="44">
        <f t="shared" si="8"/>
        <v>0.16399999999999998</v>
      </c>
      <c r="L22" s="34">
        <f t="shared" si="1"/>
        <v>0</v>
      </c>
      <c r="M22" s="16">
        <f t="shared" si="2"/>
        <v>0</v>
      </c>
      <c r="N22" s="16">
        <f t="shared" si="3"/>
        <v>310.28799999999995</v>
      </c>
      <c r="O22" s="16">
        <f t="shared" si="4"/>
        <v>784.23400000000004</v>
      </c>
      <c r="P22" s="16">
        <f t="shared" si="5"/>
        <v>797.28880000000004</v>
      </c>
      <c r="Q22" s="16">
        <f t="shared" si="6"/>
        <v>1891.8108</v>
      </c>
      <c r="R22" s="34">
        <f t="shared" si="7"/>
        <v>0</v>
      </c>
      <c r="S22" s="35">
        <f t="shared" si="9"/>
        <v>310.28799999999995</v>
      </c>
    </row>
    <row r="23" spans="1:19">
      <c r="A23" s="2">
        <f t="shared" si="10"/>
        <v>19</v>
      </c>
      <c r="B23" s="25" t="s">
        <v>31</v>
      </c>
      <c r="C23" s="3">
        <v>1615</v>
      </c>
      <c r="D23" s="4">
        <v>97.52</v>
      </c>
      <c r="E23" s="13">
        <f>0%/100</f>
        <v>0</v>
      </c>
      <c r="F23" s="13">
        <f>0%/100</f>
        <v>0</v>
      </c>
      <c r="G23" s="13">
        <f>375%/100</f>
        <v>3.7499999999999999E-2</v>
      </c>
      <c r="H23" s="13">
        <f>3225%/100</f>
        <v>0.32250000000000001</v>
      </c>
      <c r="I23" s="13">
        <f>6400%/100</f>
        <v>0.64</v>
      </c>
      <c r="J23" s="43">
        <f t="shared" si="0"/>
        <v>0</v>
      </c>
      <c r="K23" s="44">
        <f t="shared" si="8"/>
        <v>3.7499999999999999E-2</v>
      </c>
      <c r="L23" s="34">
        <f t="shared" si="1"/>
        <v>0</v>
      </c>
      <c r="M23" s="16">
        <f t="shared" si="2"/>
        <v>0</v>
      </c>
      <c r="N23" s="16">
        <f t="shared" si="3"/>
        <v>60.5625</v>
      </c>
      <c r="O23" s="16">
        <f t="shared" si="4"/>
        <v>520.83749999999998</v>
      </c>
      <c r="P23" s="16">
        <f t="shared" si="5"/>
        <v>1033.5999999999999</v>
      </c>
      <c r="Q23" s="16">
        <f t="shared" si="6"/>
        <v>1615</v>
      </c>
      <c r="R23" s="34">
        <f t="shared" si="7"/>
        <v>0</v>
      </c>
      <c r="S23" s="35">
        <f t="shared" si="9"/>
        <v>60.5625</v>
      </c>
    </row>
    <row r="24" spans="1:19">
      <c r="A24" s="2">
        <f t="shared" si="10"/>
        <v>20</v>
      </c>
      <c r="B24" s="25" t="s">
        <v>32</v>
      </c>
      <c r="C24" s="3">
        <v>1062</v>
      </c>
      <c r="D24" s="4">
        <v>99.53</v>
      </c>
      <c r="E24" s="13">
        <f>170%/100</f>
        <v>1.7000000000000001E-2</v>
      </c>
      <c r="F24" s="13">
        <f>880%/100</f>
        <v>8.8000000000000009E-2</v>
      </c>
      <c r="G24" s="14">
        <f>7237%/100</f>
        <v>0.72370000000000001</v>
      </c>
      <c r="H24" s="13">
        <f>1608%/100</f>
        <v>0.16079999999999997</v>
      </c>
      <c r="I24" s="13">
        <f>104%/100</f>
        <v>1.04E-2</v>
      </c>
      <c r="J24" s="43">
        <f t="shared" si="0"/>
        <v>0.10500000000000001</v>
      </c>
      <c r="K24" s="44">
        <f t="shared" si="8"/>
        <v>0.82869999999999999</v>
      </c>
      <c r="L24" s="34">
        <f t="shared" si="1"/>
        <v>18.054000000000002</v>
      </c>
      <c r="M24" s="16">
        <f t="shared" si="2"/>
        <v>93.456000000000003</v>
      </c>
      <c r="N24" s="16">
        <f t="shared" si="3"/>
        <v>768.56939999999997</v>
      </c>
      <c r="O24" s="16">
        <f t="shared" si="4"/>
        <v>170.76959999999997</v>
      </c>
      <c r="P24" s="16">
        <f t="shared" si="5"/>
        <v>11.044799999999999</v>
      </c>
      <c r="Q24" s="16">
        <f t="shared" si="6"/>
        <v>1061.8937999999998</v>
      </c>
      <c r="R24" s="34">
        <f t="shared" si="7"/>
        <v>111.51</v>
      </c>
      <c r="S24" s="35">
        <f t="shared" si="9"/>
        <v>880.07939999999996</v>
      </c>
    </row>
    <row r="25" spans="1:19" ht="15.75" thickBot="1">
      <c r="A25" s="17">
        <f t="shared" si="10"/>
        <v>21</v>
      </c>
      <c r="B25" s="26" t="s">
        <v>33</v>
      </c>
      <c r="C25" s="18">
        <v>10902</v>
      </c>
      <c r="D25" s="19">
        <v>35.01</v>
      </c>
      <c r="E25" s="20">
        <f>26%/100</f>
        <v>2.5999999999999999E-3</v>
      </c>
      <c r="F25" s="20">
        <f>160%/100</f>
        <v>1.6E-2</v>
      </c>
      <c r="G25" s="20">
        <f>1077%/100</f>
        <v>0.10769999999999999</v>
      </c>
      <c r="H25" s="20">
        <f>5017%/100</f>
        <v>0.50170000000000003</v>
      </c>
      <c r="I25" s="20">
        <f>3720%/100</f>
        <v>0.37200000000000005</v>
      </c>
      <c r="J25" s="45">
        <f t="shared" si="0"/>
        <v>1.8599999999999998E-2</v>
      </c>
      <c r="K25" s="46">
        <f t="shared" si="8"/>
        <v>0.1263</v>
      </c>
      <c r="L25" s="36">
        <f t="shared" si="1"/>
        <v>28.345199999999998</v>
      </c>
      <c r="M25" s="37">
        <f t="shared" si="2"/>
        <v>174.43200000000002</v>
      </c>
      <c r="N25" s="37">
        <f t="shared" si="3"/>
        <v>1174.1453999999999</v>
      </c>
      <c r="O25" s="37">
        <f t="shared" si="4"/>
        <v>5469.5334000000003</v>
      </c>
      <c r="P25" s="37">
        <f t="shared" si="5"/>
        <v>4055.5440000000008</v>
      </c>
      <c r="Q25" s="37">
        <f t="shared" si="6"/>
        <v>10902</v>
      </c>
      <c r="R25" s="36">
        <f t="shared" si="7"/>
        <v>202.77720000000002</v>
      </c>
      <c r="S25" s="38">
        <f t="shared" si="9"/>
        <v>1376.9225999999999</v>
      </c>
    </row>
    <row r="26" spans="1:19" ht="15.75" thickTop="1">
      <c r="A26" s="3"/>
      <c r="B26" s="25"/>
      <c r="C26" s="3"/>
      <c r="D26" s="40"/>
      <c r="E26" s="13"/>
      <c r="F26" s="13"/>
      <c r="G26" s="13"/>
      <c r="H26" s="13"/>
      <c r="I26" s="13"/>
      <c r="J26" s="15"/>
      <c r="K26" s="15"/>
      <c r="L26" s="16"/>
      <c r="M26" s="16"/>
      <c r="N26" s="16"/>
      <c r="O26" s="16"/>
      <c r="P26" s="16"/>
      <c r="Q26" s="16"/>
      <c r="R26" s="16"/>
      <c r="S26" s="16"/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</dc:creator>
  <cp:lastModifiedBy>Shelley</cp:lastModifiedBy>
  <cp:lastPrinted>2015-02-20T21:29:23Z</cp:lastPrinted>
  <dcterms:created xsi:type="dcterms:W3CDTF">2015-02-14T15:05:41Z</dcterms:created>
  <dcterms:modified xsi:type="dcterms:W3CDTF">2015-02-21T11:46:45Z</dcterms:modified>
</cp:coreProperties>
</file>