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ulatory\2014\IRM 2015 Rates Application - EB-2014-0064\08_IR Responses\1_Submission\"/>
    </mc:Choice>
  </mc:AlternateContent>
  <bookViews>
    <workbookView xWindow="600" yWindow="990" windowWidth="19620" windowHeight="6660" tabRatio="741" firstSheet="1" activeTab="8"/>
  </bookViews>
  <sheets>
    <sheet name="1. Balances for Disposition" sheetId="5" r:id="rId1"/>
    <sheet name="2. Threshold Test" sheetId="10" r:id="rId2"/>
    <sheet name="3A. CK Calculation" sheetId="7" r:id="rId3"/>
    <sheet name="3B. CK Calculation" sheetId="15" r:id="rId4"/>
    <sheet name="4. SMP Calculation" sheetId="4" r:id="rId5"/>
    <sheet name="5. DUT Calculation" sheetId="8" r:id="rId6"/>
    <sheet name="6. NEW Calculations" sheetId="9" r:id="rId7"/>
    <sheet name="7. CK LRAM" sheetId="12" r:id="rId8"/>
    <sheet name="8. SMP LRAM" sheetId="13" r:id="rId9"/>
  </sheets>
  <definedNames>
    <definedName name="CK_DISYR" localSheetId="3">'3B. CK Calculation'!$G$43</definedName>
    <definedName name="CK_DISYR">'3A. CK Calculation'!$I$48</definedName>
    <definedName name="NEW_DISYR">'6. NEW Calculations'!$I$34</definedName>
    <definedName name="_xlnm.Print_Area" localSheetId="0">'1. Balances for Disposition'!$A$1:$N$66</definedName>
    <definedName name="_xlnm.Print_Area" localSheetId="1">'2. Threshold Test'!$B$1:$G$11</definedName>
    <definedName name="_xlnm.Print_Area" localSheetId="2">'3A. CK Calculation'!$B$1:$I$60</definedName>
    <definedName name="_xlnm.Print_Area" localSheetId="3">'3B. CK Calculation'!$B$1:$G$51</definedName>
    <definedName name="_xlnm.Print_Area" localSheetId="4">'4. SMP Calculation'!$A$1:$I$60</definedName>
    <definedName name="_xlnm.Print_Area" localSheetId="5">'5. DUT Calculation'!$B$1:$I$38</definedName>
    <definedName name="_xlnm.Print_Area" localSheetId="6">'6. NEW Calculations'!$B$1:$I$40</definedName>
    <definedName name="_xlnm.Print_Area" localSheetId="7">'7. CK LRAM'!$B$1:$G$27</definedName>
    <definedName name="_xlnm.Print_Area" localSheetId="8">'8. SMP LRAM'!$B$1:$G$36</definedName>
    <definedName name="_xlnm.Print_Titles" localSheetId="0">'1. Balances for Disposition'!$1:$6</definedName>
    <definedName name="SMP_DISYR">'4. SMP Calculation'!$I$42</definedName>
  </definedNames>
  <calcPr calcId="152511"/>
</workbook>
</file>

<file path=xl/calcChain.xml><?xml version="1.0" encoding="utf-8"?>
<calcChain xmlns="http://schemas.openxmlformats.org/spreadsheetml/2006/main">
  <c r="E15" i="15" l="1"/>
  <c r="D15" i="15"/>
  <c r="F52" i="7"/>
  <c r="C15" i="15" l="1"/>
  <c r="G15" i="15"/>
  <c r="F15" i="15"/>
  <c r="E37" i="15"/>
  <c r="F37" i="15" s="1"/>
  <c r="D49" i="15" s="1"/>
  <c r="E32" i="15"/>
  <c r="F32" i="15" s="1"/>
  <c r="D44" i="15" s="1"/>
  <c r="C39" i="15"/>
  <c r="E35" i="15"/>
  <c r="F35" i="15" s="1"/>
  <c r="D47" i="15" s="1"/>
  <c r="E36" i="15"/>
  <c r="F36" i="15" s="1"/>
  <c r="D48" i="15" s="1"/>
  <c r="E48" i="15" s="1"/>
  <c r="E38" i="15"/>
  <c r="F38" i="15" s="1"/>
  <c r="D50" i="15" s="1"/>
  <c r="E33" i="15"/>
  <c r="F33" i="15" s="1"/>
  <c r="D45" i="15" s="1"/>
  <c r="E31" i="15"/>
  <c r="F31" i="15" s="1"/>
  <c r="D43" i="15" s="1"/>
  <c r="E34" i="15"/>
  <c r="F34" i="15" s="1"/>
  <c r="D46" i="15" s="1"/>
  <c r="E39" i="15" l="1"/>
  <c r="D39" i="15"/>
  <c r="F39" i="15" l="1"/>
  <c r="D51" i="15"/>
  <c r="D35" i="13" l="1"/>
  <c r="D24" i="13"/>
  <c r="D27" i="12"/>
  <c r="I15" i="5" l="1"/>
  <c r="I16" i="5"/>
  <c r="I17" i="5"/>
  <c r="I18" i="5"/>
  <c r="I19" i="5"/>
  <c r="I20" i="5"/>
  <c r="I21" i="5"/>
  <c r="C21" i="5" l="1"/>
  <c r="H21" i="5" s="1"/>
  <c r="L21" i="5" s="1"/>
  <c r="E21" i="5"/>
  <c r="M21" i="5"/>
  <c r="N21" i="5" l="1"/>
  <c r="G49" i="4"/>
  <c r="G50" i="4"/>
  <c r="G52" i="4"/>
  <c r="G53" i="4"/>
  <c r="G54" i="4"/>
  <c r="G55" i="4"/>
  <c r="G48" i="4"/>
  <c r="E51" i="4"/>
  <c r="C10" i="13"/>
  <c r="C11" i="13"/>
  <c r="C12" i="13"/>
  <c r="C9" i="13"/>
  <c r="C8" i="13"/>
  <c r="C7" i="13"/>
  <c r="C6" i="13"/>
  <c r="C7" i="12" l="1"/>
  <c r="C19" i="15"/>
  <c r="C8" i="12"/>
  <c r="C20" i="15"/>
  <c r="C12" i="12"/>
  <c r="C24" i="15"/>
  <c r="C10" i="12"/>
  <c r="C22" i="15"/>
  <c r="C11" i="12"/>
  <c r="C23" i="15"/>
  <c r="C14" i="12"/>
  <c r="C26" i="15"/>
  <c r="C9" i="12"/>
  <c r="C21" i="15"/>
  <c r="C13" i="12"/>
  <c r="C25" i="15"/>
  <c r="C13" i="13"/>
  <c r="C14" i="4"/>
  <c r="C15" i="7"/>
  <c r="C15" i="12" l="1"/>
  <c r="C27" i="15"/>
  <c r="C10" i="9" l="1"/>
  <c r="I53" i="5" l="1"/>
  <c r="H54" i="5"/>
  <c r="I54" i="5"/>
  <c r="H55" i="5"/>
  <c r="I55" i="5"/>
  <c r="H56" i="5"/>
  <c r="I56" i="5"/>
  <c r="I57" i="5"/>
  <c r="I59" i="5"/>
  <c r="M59" i="5" s="1"/>
  <c r="E60" i="5"/>
  <c r="H61" i="5"/>
  <c r="L61" i="5" s="1"/>
  <c r="E61" i="5"/>
  <c r="E62" i="5"/>
  <c r="I63" i="5"/>
  <c r="M63" i="5" s="1"/>
  <c r="E64" i="5"/>
  <c r="H52" i="5"/>
  <c r="I64" i="5"/>
  <c r="M64" i="5" s="1"/>
  <c r="H63" i="5"/>
  <c r="L63" i="5" s="1"/>
  <c r="E63" i="5"/>
  <c r="I62" i="5"/>
  <c r="M62" i="5" s="1"/>
  <c r="I61" i="5"/>
  <c r="M61" i="5" s="1"/>
  <c r="I60" i="5"/>
  <c r="M60" i="5" s="1"/>
  <c r="H60" i="5"/>
  <c r="L60" i="5" s="1"/>
  <c r="H57" i="5"/>
  <c r="H53" i="5"/>
  <c r="E53" i="5" l="1"/>
  <c r="E57" i="5"/>
  <c r="E55" i="5"/>
  <c r="H62" i="5"/>
  <c r="L62" i="5" s="1"/>
  <c r="N62" i="5" s="1"/>
  <c r="N60" i="5"/>
  <c r="L55" i="5"/>
  <c r="K55" i="5"/>
  <c r="J55" i="5"/>
  <c r="J56" i="5"/>
  <c r="L56" i="5"/>
  <c r="K56" i="5"/>
  <c r="L53" i="5"/>
  <c r="K53" i="5"/>
  <c r="J53" i="5"/>
  <c r="J54" i="5"/>
  <c r="L54" i="5"/>
  <c r="K54" i="5"/>
  <c r="N61" i="5"/>
  <c r="J52" i="5"/>
  <c r="L52" i="5"/>
  <c r="K52" i="5"/>
  <c r="L57" i="5"/>
  <c r="K57" i="5"/>
  <c r="J57" i="5"/>
  <c r="N63" i="5"/>
  <c r="E54" i="5"/>
  <c r="E56" i="5"/>
  <c r="H64" i="5"/>
  <c r="L64" i="5" s="1"/>
  <c r="N64" i="5" s="1"/>
  <c r="M53" i="5" l="1"/>
  <c r="M55" i="5"/>
  <c r="N55" i="5" s="1"/>
  <c r="F14" i="9" s="1"/>
  <c r="M54" i="5"/>
  <c r="N54" i="5" s="1"/>
  <c r="E14" i="9" s="1"/>
  <c r="M56" i="5"/>
  <c r="N56" i="5" s="1"/>
  <c r="G14" i="9" s="1"/>
  <c r="M57" i="5"/>
  <c r="N57" i="5" s="1"/>
  <c r="H14" i="9" s="1"/>
  <c r="N53" i="5"/>
  <c r="D14" i="9" s="1"/>
  <c r="D17" i="9" l="1"/>
  <c r="D16" i="9"/>
  <c r="D20" i="9" l="1"/>
  <c r="I39" i="5"/>
  <c r="I40" i="5"/>
  <c r="I41" i="5"/>
  <c r="I42" i="5"/>
  <c r="I43" i="5"/>
  <c r="H39" i="5"/>
  <c r="H40" i="5"/>
  <c r="K40" i="5" s="1"/>
  <c r="H41" i="5"/>
  <c r="H42" i="5"/>
  <c r="K42" i="5" s="1"/>
  <c r="H43" i="5"/>
  <c r="H38" i="5"/>
  <c r="K38" i="5" s="1"/>
  <c r="I50" i="5"/>
  <c r="M50" i="5" s="1"/>
  <c r="I49" i="5"/>
  <c r="M49" i="5" s="1"/>
  <c r="H49" i="5"/>
  <c r="L49" i="5" s="1"/>
  <c r="E49" i="5"/>
  <c r="I48" i="5"/>
  <c r="M48" i="5" s="1"/>
  <c r="H48" i="5"/>
  <c r="L48" i="5" s="1"/>
  <c r="E48" i="5"/>
  <c r="I47" i="5"/>
  <c r="M47" i="5" s="1"/>
  <c r="H47" i="5"/>
  <c r="L47" i="5" s="1"/>
  <c r="E47" i="5"/>
  <c r="I46" i="5"/>
  <c r="M46" i="5" s="1"/>
  <c r="H46" i="5"/>
  <c r="L46" i="5" s="1"/>
  <c r="E46" i="5"/>
  <c r="I45" i="5"/>
  <c r="M45" i="5" s="1"/>
  <c r="H45" i="5"/>
  <c r="L45" i="5" s="1"/>
  <c r="E45" i="5"/>
  <c r="N49" i="5" l="1"/>
  <c r="N45" i="5"/>
  <c r="N46" i="5"/>
  <c r="N47" i="5"/>
  <c r="N48" i="5"/>
  <c r="E40" i="5"/>
  <c r="C10" i="8"/>
  <c r="E42" i="5"/>
  <c r="L39" i="5"/>
  <c r="K39" i="5"/>
  <c r="J39" i="5"/>
  <c r="L43" i="5"/>
  <c r="K43" i="5"/>
  <c r="J43" i="5"/>
  <c r="L41" i="5"/>
  <c r="K41" i="5"/>
  <c r="J41" i="5"/>
  <c r="L38" i="5"/>
  <c r="L40" i="5"/>
  <c r="L42" i="5"/>
  <c r="E43" i="5"/>
  <c r="J38" i="5"/>
  <c r="J40" i="5"/>
  <c r="M40" i="5" s="1"/>
  <c r="J42" i="5"/>
  <c r="M42" i="5" s="1"/>
  <c r="E39" i="5"/>
  <c r="E41" i="5"/>
  <c r="M39" i="5" l="1"/>
  <c r="N39" i="5" s="1"/>
  <c r="D14" i="8" s="1"/>
  <c r="M43" i="5"/>
  <c r="N43" i="5" s="1"/>
  <c r="H14" i="8" s="1"/>
  <c r="M41" i="5"/>
  <c r="N41" i="5" s="1"/>
  <c r="F14" i="8" s="1"/>
  <c r="N42" i="5"/>
  <c r="G14" i="8" s="1"/>
  <c r="N40" i="5"/>
  <c r="E14" i="8" s="1"/>
  <c r="D17" i="8" l="1"/>
  <c r="D16" i="8"/>
  <c r="D20" i="8" l="1"/>
  <c r="F37" i="7" l="1"/>
  <c r="F38" i="7"/>
  <c r="F39" i="7"/>
  <c r="F40" i="7"/>
  <c r="F41" i="7"/>
  <c r="F42" i="7"/>
  <c r="F43" i="7"/>
  <c r="F36" i="7"/>
  <c r="D37" i="7"/>
  <c r="G37" i="7" s="1"/>
  <c r="D38" i="7"/>
  <c r="G38" i="7" s="1"/>
  <c r="D39" i="7"/>
  <c r="D40" i="7"/>
  <c r="G40" i="7" s="1"/>
  <c r="D41" i="7"/>
  <c r="G41" i="7" s="1"/>
  <c r="D42" i="7"/>
  <c r="G42" i="7" s="1"/>
  <c r="D43" i="7"/>
  <c r="G43" i="7" s="1"/>
  <c r="D36" i="7"/>
  <c r="G36" i="7" s="1"/>
  <c r="M20" i="5"/>
  <c r="M19" i="5"/>
  <c r="H19" i="5"/>
  <c r="L19" i="5" s="1"/>
  <c r="M18" i="5"/>
  <c r="M17" i="5"/>
  <c r="H17" i="5"/>
  <c r="L17" i="5" s="1"/>
  <c r="M16" i="5"/>
  <c r="H16" i="5"/>
  <c r="L16" i="5" s="1"/>
  <c r="M15" i="5"/>
  <c r="H15" i="5"/>
  <c r="L15" i="5" s="1"/>
  <c r="N15" i="5" s="1"/>
  <c r="I8" i="5"/>
  <c r="G39" i="7" l="1"/>
  <c r="F9" i="12"/>
  <c r="F21" i="15"/>
  <c r="G7" i="12"/>
  <c r="G19" i="15"/>
  <c r="G12" i="12"/>
  <c r="G24" i="15"/>
  <c r="G8" i="12"/>
  <c r="G20" i="15"/>
  <c r="G13" i="12"/>
  <c r="G25" i="15"/>
  <c r="E49" i="15" s="1"/>
  <c r="N16" i="5"/>
  <c r="N19" i="5"/>
  <c r="N17" i="5"/>
  <c r="F44" i="7"/>
  <c r="D44" i="7"/>
  <c r="H51" i="4" l="1"/>
  <c r="I51" i="4" s="1"/>
  <c r="H52" i="4"/>
  <c r="I52" i="4" s="1"/>
  <c r="H24" i="5"/>
  <c r="K24" i="5" s="1"/>
  <c r="I24" i="5"/>
  <c r="H25" i="5"/>
  <c r="J25" i="5" s="1"/>
  <c r="I25" i="5"/>
  <c r="H26" i="5"/>
  <c r="J26" i="5" s="1"/>
  <c r="I26" i="5"/>
  <c r="H27" i="5"/>
  <c r="J27" i="5" s="1"/>
  <c r="I27" i="5"/>
  <c r="H28" i="5"/>
  <c r="K28" i="5" s="1"/>
  <c r="I28" i="5"/>
  <c r="H30" i="5"/>
  <c r="L30" i="5" s="1"/>
  <c r="I30" i="5"/>
  <c r="M30" i="5" s="1"/>
  <c r="H31" i="5"/>
  <c r="L31" i="5" s="1"/>
  <c r="I31" i="5"/>
  <c r="M31" i="5" s="1"/>
  <c r="H32" i="5"/>
  <c r="L32" i="5" s="1"/>
  <c r="I32" i="5"/>
  <c r="M32" i="5" s="1"/>
  <c r="H33" i="5"/>
  <c r="L33" i="5" s="1"/>
  <c r="I33" i="5"/>
  <c r="M33" i="5" s="1"/>
  <c r="H34" i="5"/>
  <c r="L34" i="5" s="1"/>
  <c r="I34" i="5"/>
  <c r="M34" i="5" s="1"/>
  <c r="I35" i="5"/>
  <c r="M35" i="5" s="1"/>
  <c r="H23" i="5"/>
  <c r="L23" i="5" s="1"/>
  <c r="E34" i="5"/>
  <c r="E33" i="5"/>
  <c r="E32" i="5"/>
  <c r="E31" i="5"/>
  <c r="E30" i="5"/>
  <c r="E28" i="5"/>
  <c r="E27" i="5"/>
  <c r="E26" i="5"/>
  <c r="E25" i="5"/>
  <c r="E24" i="5"/>
  <c r="E15" i="5"/>
  <c r="E16" i="5"/>
  <c r="E17" i="5"/>
  <c r="E19" i="5"/>
  <c r="N31" i="5" l="1"/>
  <c r="J24" i="5"/>
  <c r="M24" i="5" s="1"/>
  <c r="N34" i="5"/>
  <c r="N32" i="5"/>
  <c r="N30" i="5"/>
  <c r="N33" i="5"/>
  <c r="L28" i="5"/>
  <c r="K26" i="5"/>
  <c r="M26" i="5" s="1"/>
  <c r="L24" i="5"/>
  <c r="J28" i="5"/>
  <c r="M28" i="5" s="1"/>
  <c r="L26" i="5"/>
  <c r="L27" i="5"/>
  <c r="L25" i="5"/>
  <c r="K23" i="5"/>
  <c r="J23" i="5"/>
  <c r="K27" i="5"/>
  <c r="M27" i="5" s="1"/>
  <c r="K25" i="5"/>
  <c r="M25" i="5" s="1"/>
  <c r="N24" i="5" l="1"/>
  <c r="D20" i="4" s="1"/>
  <c r="N26" i="5"/>
  <c r="F20" i="4" s="1"/>
  <c r="N28" i="5"/>
  <c r="H20" i="4" s="1"/>
  <c r="N25" i="5"/>
  <c r="N27" i="5"/>
  <c r="D23" i="4" l="1"/>
  <c r="D22" i="4"/>
  <c r="E20" i="4"/>
  <c r="G20" i="4"/>
  <c r="F39" i="4" l="1"/>
  <c r="D39" i="4"/>
  <c r="G9" i="4"/>
  <c r="F9" i="4"/>
  <c r="G39" i="4" l="1"/>
  <c r="G7" i="13" l="1"/>
  <c r="G10" i="13"/>
  <c r="G11" i="13"/>
  <c r="G6" i="13"/>
  <c r="D30" i="4" l="1"/>
  <c r="H10" i="5" l="1"/>
  <c r="H11" i="5" l="1"/>
  <c r="L10" i="5"/>
  <c r="J10" i="5"/>
  <c r="K10" i="5"/>
  <c r="L11" i="5" l="1"/>
  <c r="K11" i="5"/>
  <c r="J11" i="5"/>
  <c r="H8" i="5" l="1"/>
  <c r="E8" i="5"/>
  <c r="J8" i="5" l="1"/>
  <c r="K8" i="5"/>
  <c r="L8" i="5"/>
  <c r="M8" i="5" l="1"/>
  <c r="N8" i="5" s="1"/>
  <c r="C20" i="7" l="1"/>
  <c r="D26" i="8" l="1"/>
  <c r="D27" i="8"/>
  <c r="D28" i="8"/>
  <c r="D29" i="8"/>
  <c r="H50" i="5"/>
  <c r="L50" i="5" s="1"/>
  <c r="N50" i="5" s="1"/>
  <c r="E50" i="5"/>
  <c r="F28" i="9"/>
  <c r="F29" i="9"/>
  <c r="F26" i="9"/>
  <c r="F27" i="9"/>
  <c r="E27" i="8" l="1"/>
  <c r="E26" i="8"/>
  <c r="D30" i="8"/>
  <c r="E28" i="8"/>
  <c r="F30" i="9"/>
  <c r="E29" i="8"/>
  <c r="E30" i="8" l="1"/>
  <c r="F8" i="13" l="1"/>
  <c r="E10" i="12" l="1"/>
  <c r="E22" i="12" s="1"/>
  <c r="E22" i="15"/>
  <c r="E9" i="12"/>
  <c r="E21" i="12" s="1"/>
  <c r="E21" i="15"/>
  <c r="G10" i="12" l="1"/>
  <c r="G22" i="15"/>
  <c r="E46" i="15" s="1"/>
  <c r="D9" i="12" l="1"/>
  <c r="D21" i="15"/>
  <c r="D11" i="12" l="1"/>
  <c r="D23" i="15"/>
  <c r="E11" i="12"/>
  <c r="E23" i="12" s="1"/>
  <c r="E23" i="15"/>
  <c r="D10" i="12"/>
  <c r="D22" i="15"/>
  <c r="G23" i="15"/>
  <c r="E47" i="15" s="1"/>
  <c r="F11" i="12" l="1"/>
  <c r="F23" i="15"/>
  <c r="F10" i="12"/>
  <c r="F22" i="15"/>
  <c r="G11" i="12"/>
  <c r="D8" i="13"/>
  <c r="D6" i="13"/>
  <c r="D7" i="13"/>
  <c r="D9" i="13"/>
  <c r="D10" i="13"/>
  <c r="D11" i="13"/>
  <c r="D12" i="13"/>
  <c r="D8" i="12" l="1"/>
  <c r="E20" i="12" s="1"/>
  <c r="D20" i="15"/>
  <c r="D7" i="12"/>
  <c r="D19" i="15"/>
  <c r="D14" i="12"/>
  <c r="D26" i="15"/>
  <c r="D13" i="12"/>
  <c r="D25" i="15"/>
  <c r="D12" i="12"/>
  <c r="D24" i="15"/>
  <c r="E19" i="12"/>
  <c r="E28" i="13"/>
  <c r="E17" i="13"/>
  <c r="D13" i="13"/>
  <c r="E29" i="13"/>
  <c r="E18" i="13"/>
  <c r="D10" i="9"/>
  <c r="E16" i="9" s="1"/>
  <c r="D10" i="8"/>
  <c r="F16" i="8" s="1"/>
  <c r="D15" i="7"/>
  <c r="D14" i="4"/>
  <c r="E11" i="13"/>
  <c r="E10" i="13"/>
  <c r="E9" i="13"/>
  <c r="E20" i="13" s="1"/>
  <c r="E8" i="13"/>
  <c r="E7" i="13"/>
  <c r="E6" i="13"/>
  <c r="D15" i="12" l="1"/>
  <c r="E13" i="12"/>
  <c r="E25" i="15"/>
  <c r="E12" i="12"/>
  <c r="E24" i="15"/>
  <c r="D27" i="15"/>
  <c r="E7" i="12"/>
  <c r="E19" i="15"/>
  <c r="E8" i="12"/>
  <c r="E20" i="15"/>
  <c r="E14" i="12"/>
  <c r="E26" i="15"/>
  <c r="F17" i="9"/>
  <c r="E19" i="13"/>
  <c r="E30" i="13"/>
  <c r="E17" i="9"/>
  <c r="C29" i="7"/>
  <c r="D7" i="10"/>
  <c r="F25" i="4"/>
  <c r="F19" i="8"/>
  <c r="C27" i="7"/>
  <c r="F7" i="10"/>
  <c r="C28" i="7"/>
  <c r="D6" i="10"/>
  <c r="D9" i="10"/>
  <c r="G18" i="8"/>
  <c r="D8" i="10"/>
  <c r="G17" i="9"/>
  <c r="G19" i="8"/>
  <c r="H19" i="8"/>
  <c r="G16" i="8"/>
  <c r="E18" i="8"/>
  <c r="F19" i="9"/>
  <c r="E18" i="9"/>
  <c r="E16" i="8"/>
  <c r="H18" i="8"/>
  <c r="H17" i="9"/>
  <c r="E19" i="8"/>
  <c r="H16" i="8"/>
  <c r="H16" i="9"/>
  <c r="G25" i="4"/>
  <c r="D15" i="4"/>
  <c r="E24" i="4" s="1"/>
  <c r="F28" i="4"/>
  <c r="F22" i="4"/>
  <c r="F26" i="4"/>
  <c r="D16" i="7"/>
  <c r="C24" i="7"/>
  <c r="C26" i="7"/>
  <c r="C25" i="7"/>
  <c r="E19" i="9"/>
  <c r="H19" i="9"/>
  <c r="F16" i="9"/>
  <c r="F18" i="9"/>
  <c r="C23" i="7"/>
  <c r="F23" i="4"/>
  <c r="E10" i="9"/>
  <c r="G28" i="4"/>
  <c r="G26" i="4"/>
  <c r="G24" i="4"/>
  <c r="H18" i="9"/>
  <c r="F27" i="4"/>
  <c r="F29" i="4"/>
  <c r="G22" i="4"/>
  <c r="E15" i="7"/>
  <c r="C22" i="7"/>
  <c r="E17" i="8"/>
  <c r="G17" i="8"/>
  <c r="F17" i="8"/>
  <c r="H17" i="8"/>
  <c r="F18" i="8"/>
  <c r="G19" i="9"/>
  <c r="F24" i="4"/>
  <c r="G16" i="9"/>
  <c r="G18" i="9"/>
  <c r="G27" i="4"/>
  <c r="G23" i="4"/>
  <c r="G29" i="4"/>
  <c r="G9" i="13"/>
  <c r="F12" i="13"/>
  <c r="F7" i="13"/>
  <c r="F6" i="13"/>
  <c r="F9" i="13"/>
  <c r="F10" i="13"/>
  <c r="F11" i="13"/>
  <c r="E15" i="12" l="1"/>
  <c r="F14" i="12"/>
  <c r="F26" i="15"/>
  <c r="F12" i="12"/>
  <c r="F24" i="15"/>
  <c r="F8" i="12"/>
  <c r="F20" i="15"/>
  <c r="E44" i="15" s="1"/>
  <c r="E27" i="15"/>
  <c r="F13" i="12"/>
  <c r="F25" i="15"/>
  <c r="F7" i="12"/>
  <c r="F19" i="15"/>
  <c r="F13" i="13"/>
  <c r="E20" i="9"/>
  <c r="G20" i="8"/>
  <c r="E20" i="8"/>
  <c r="F20" i="8"/>
  <c r="F9" i="10"/>
  <c r="F8" i="10"/>
  <c r="D10" i="10"/>
  <c r="F6" i="10"/>
  <c r="H20" i="9"/>
  <c r="H20" i="8"/>
  <c r="G20" i="9"/>
  <c r="C30" i="7"/>
  <c r="F20" i="9"/>
  <c r="F30" i="4"/>
  <c r="G30" i="4"/>
  <c r="E23" i="4"/>
  <c r="E26" i="4"/>
  <c r="H28" i="4"/>
  <c r="H22" i="4"/>
  <c r="E28" i="4"/>
  <c r="H29" i="4"/>
  <c r="E22" i="4"/>
  <c r="H26" i="4"/>
  <c r="H23" i="4"/>
  <c r="E29" i="4"/>
  <c r="E27" i="4"/>
  <c r="H27" i="4"/>
  <c r="H24" i="4"/>
  <c r="F10" i="9"/>
  <c r="F15" i="7"/>
  <c r="F16" i="7" s="1"/>
  <c r="F10" i="8"/>
  <c r="F14" i="4"/>
  <c r="F16" i="4" s="1"/>
  <c r="F15" i="12" l="1"/>
  <c r="F27" i="15"/>
  <c r="E43" i="15"/>
  <c r="F10" i="10"/>
  <c r="E30" i="4"/>
  <c r="H30" i="4"/>
  <c r="G21" i="15"/>
  <c r="E45" i="15" l="1"/>
  <c r="G9" i="12"/>
  <c r="G8" i="13"/>
  <c r="G10" i="9" l="1"/>
  <c r="E18" i="5" l="1"/>
  <c r="H18" i="5"/>
  <c r="L18" i="5" s="1"/>
  <c r="N18" i="5" s="1"/>
  <c r="H9" i="5"/>
  <c r="I9" i="5"/>
  <c r="E9" i="5" l="1"/>
  <c r="H20" i="5"/>
  <c r="L20" i="5" s="1"/>
  <c r="N20" i="5" s="1"/>
  <c r="E20" i="5"/>
  <c r="H13" i="5"/>
  <c r="H12" i="5"/>
  <c r="H14" i="5"/>
  <c r="L9" i="5"/>
  <c r="K9" i="5"/>
  <c r="J9" i="5"/>
  <c r="I13" i="5"/>
  <c r="I12" i="5"/>
  <c r="I14" i="5"/>
  <c r="M9" i="5" l="1"/>
  <c r="N9" i="5" s="1"/>
  <c r="D20" i="7" s="1"/>
  <c r="E12" i="5"/>
  <c r="G52" i="7"/>
  <c r="I10" i="5"/>
  <c r="M10" i="5" s="1"/>
  <c r="N10" i="5" s="1"/>
  <c r="E20" i="7" s="1"/>
  <c r="E10" i="5"/>
  <c r="I11" i="5"/>
  <c r="M11" i="5" s="1"/>
  <c r="N11" i="5" s="1"/>
  <c r="F20" i="7" s="1"/>
  <c r="E11" i="5"/>
  <c r="L14" i="5"/>
  <c r="J14" i="5"/>
  <c r="K14" i="5"/>
  <c r="J12" i="5"/>
  <c r="K12" i="5"/>
  <c r="L12" i="5"/>
  <c r="E14" i="5"/>
  <c r="E13" i="5"/>
  <c r="K13" i="5"/>
  <c r="L13" i="5"/>
  <c r="J13" i="5"/>
  <c r="M14" i="5" l="1"/>
  <c r="N14" i="5" s="1"/>
  <c r="I20" i="7" s="1"/>
  <c r="I23" i="7" s="1"/>
  <c r="M12" i="5"/>
  <c r="N12" i="5" s="1"/>
  <c r="G20" i="7" s="1"/>
  <c r="G22" i="7" s="1"/>
  <c r="M13" i="5"/>
  <c r="N13" i="5" s="1"/>
  <c r="H20" i="7" s="1"/>
  <c r="H23" i="7" s="1"/>
  <c r="G44" i="7"/>
  <c r="E29" i="7"/>
  <c r="E28" i="7"/>
  <c r="E23" i="7"/>
  <c r="E24" i="7"/>
  <c r="E22" i="7"/>
  <c r="E27" i="7"/>
  <c r="E26" i="7"/>
  <c r="E25" i="7"/>
  <c r="F29" i="7"/>
  <c r="F24" i="7"/>
  <c r="F22" i="7"/>
  <c r="F26" i="7"/>
  <c r="F25" i="7"/>
  <c r="F28" i="7"/>
  <c r="F23" i="7"/>
  <c r="F27" i="7"/>
  <c r="D22" i="7"/>
  <c r="D23" i="7"/>
  <c r="G24" i="7" l="1"/>
  <c r="G23" i="7"/>
  <c r="D49" i="7" s="1"/>
  <c r="E49" i="7" s="1"/>
  <c r="H29" i="7"/>
  <c r="H25" i="7"/>
  <c r="F49" i="7"/>
  <c r="G49" i="7" s="1"/>
  <c r="G26" i="7"/>
  <c r="G25" i="7"/>
  <c r="G27" i="7"/>
  <c r="G29" i="7"/>
  <c r="G28" i="7"/>
  <c r="I22" i="7"/>
  <c r="F48" i="7" s="1"/>
  <c r="I25" i="7"/>
  <c r="I28" i="7"/>
  <c r="I29" i="7"/>
  <c r="I24" i="7"/>
  <c r="I27" i="7"/>
  <c r="H24" i="7"/>
  <c r="D50" i="7" s="1"/>
  <c r="E50" i="7" s="1"/>
  <c r="H27" i="7"/>
  <c r="C6" i="10"/>
  <c r="E6" i="10" s="1"/>
  <c r="H28" i="7"/>
  <c r="H22" i="7"/>
  <c r="D48" i="7" s="1"/>
  <c r="H26" i="7"/>
  <c r="D52" i="7" s="1"/>
  <c r="E52" i="7" s="1"/>
  <c r="E30" i="7"/>
  <c r="F30" i="7"/>
  <c r="D30" i="7"/>
  <c r="D51" i="7" l="1"/>
  <c r="E51" i="7" s="1"/>
  <c r="D54" i="7"/>
  <c r="E54" i="7" s="1"/>
  <c r="D55" i="7"/>
  <c r="E55" i="7" s="1"/>
  <c r="F53" i="7"/>
  <c r="G53" i="7" s="1"/>
  <c r="F51" i="7"/>
  <c r="G51" i="7" s="1"/>
  <c r="D53" i="7"/>
  <c r="E53" i="7" s="1"/>
  <c r="F50" i="7"/>
  <c r="G50" i="7" s="1"/>
  <c r="F55" i="7"/>
  <c r="F54" i="7"/>
  <c r="G54" i="7" s="1"/>
  <c r="G30" i="7"/>
  <c r="I30" i="7"/>
  <c r="H30" i="7"/>
  <c r="G48" i="7"/>
  <c r="E48" i="7"/>
  <c r="D56" i="7" l="1"/>
  <c r="F56" i="7"/>
  <c r="D36" i="4" l="1"/>
  <c r="D43" i="4"/>
  <c r="D42" i="4"/>
  <c r="D38" i="4"/>
  <c r="D37" i="4"/>
  <c r="D41" i="4"/>
  <c r="D40" i="4"/>
  <c r="E35" i="5"/>
  <c r="H35" i="5"/>
  <c r="L35" i="5" s="1"/>
  <c r="N35" i="5" s="1"/>
  <c r="F37" i="4"/>
  <c r="F38" i="4"/>
  <c r="F43" i="4"/>
  <c r="F40" i="4"/>
  <c r="F36" i="4"/>
  <c r="F41" i="4"/>
  <c r="F42" i="4"/>
  <c r="G40" i="4" l="1"/>
  <c r="G42" i="4"/>
  <c r="G43" i="4"/>
  <c r="G38" i="4"/>
  <c r="F44" i="4"/>
  <c r="G41" i="4"/>
  <c r="G37" i="4"/>
  <c r="D44" i="4"/>
  <c r="G36" i="4"/>
  <c r="G44" i="4" l="1"/>
  <c r="I52" i="5" l="1"/>
  <c r="M52" i="5" s="1"/>
  <c r="N52" i="5" s="1"/>
  <c r="C14" i="9" s="1"/>
  <c r="E52" i="5"/>
  <c r="I38" i="5" l="1"/>
  <c r="M38" i="5" s="1"/>
  <c r="N38" i="5" s="1"/>
  <c r="C14" i="8" s="1"/>
  <c r="E38" i="5"/>
  <c r="C19" i="9"/>
  <c r="C18" i="9"/>
  <c r="C16" i="9"/>
  <c r="C17" i="9"/>
  <c r="C20" i="9" l="1"/>
  <c r="C19" i="8"/>
  <c r="D37" i="8" s="1"/>
  <c r="C18" i="8"/>
  <c r="D36" i="8" s="1"/>
  <c r="E36" i="8" s="1"/>
  <c r="C16" i="8"/>
  <c r="C17" i="8"/>
  <c r="D35" i="8" s="1"/>
  <c r="E35" i="8" s="1"/>
  <c r="D34" i="8" l="1"/>
  <c r="C20" i="8"/>
  <c r="E34" i="8" l="1"/>
  <c r="D38" i="8"/>
  <c r="I23" i="5"/>
  <c r="M23" i="5" s="1"/>
  <c r="N23" i="5" s="1"/>
  <c r="C20" i="4" s="1"/>
  <c r="E23" i="5"/>
  <c r="C24" i="4" l="1"/>
  <c r="D50" i="4" s="1"/>
  <c r="E50" i="4" s="1"/>
  <c r="C23" i="4"/>
  <c r="D49" i="4" s="1"/>
  <c r="E49" i="4" s="1"/>
  <c r="C29" i="4"/>
  <c r="D55" i="4" s="1"/>
  <c r="C27" i="4"/>
  <c r="D53" i="4" s="1"/>
  <c r="E53" i="4" s="1"/>
  <c r="C25" i="4"/>
  <c r="F51" i="4" s="1"/>
  <c r="C26" i="4"/>
  <c r="D52" i="4" s="1"/>
  <c r="E52" i="4" s="1"/>
  <c r="C22" i="4"/>
  <c r="C28" i="4"/>
  <c r="D54" i="4" s="1"/>
  <c r="E54" i="4" s="1"/>
  <c r="C30" i="4" l="1"/>
  <c r="D48" i="4"/>
  <c r="G51" i="4"/>
  <c r="F56" i="4"/>
  <c r="E48" i="4" l="1"/>
  <c r="D56" i="4"/>
  <c r="H59" i="5" l="1"/>
  <c r="L59" i="5" s="1"/>
  <c r="N59" i="5" s="1"/>
  <c r="E59" i="5"/>
  <c r="D29" i="9" l="1"/>
  <c r="G29" i="9" s="1"/>
  <c r="D37" i="9" s="1"/>
  <c r="E37" i="9" s="1"/>
  <c r="D27" i="9"/>
  <c r="G27" i="9" s="1"/>
  <c r="D35" i="9" s="1"/>
  <c r="E35" i="9" s="1"/>
  <c r="D26" i="9"/>
  <c r="D28" i="9"/>
  <c r="G28" i="9" s="1"/>
  <c r="D36" i="9" s="1"/>
  <c r="E36" i="9" s="1"/>
  <c r="D30" i="9" l="1"/>
  <c r="G26" i="9"/>
  <c r="D34" i="9" l="1"/>
  <c r="G30" i="9"/>
  <c r="D38" i="9" l="1"/>
  <c r="E34" i="9"/>
  <c r="I29" i="5" l="1"/>
  <c r="I58" i="5"/>
  <c r="E58" i="5" l="1"/>
  <c r="H58" i="5"/>
  <c r="I44" i="5"/>
  <c r="E44" i="5" l="1"/>
  <c r="H44" i="5"/>
  <c r="K58" i="5"/>
  <c r="L58" i="5"/>
  <c r="J58" i="5"/>
  <c r="M58" i="5" l="1"/>
  <c r="N58" i="5" s="1"/>
  <c r="I14" i="9" s="1"/>
  <c r="J44" i="5"/>
  <c r="K44" i="5"/>
  <c r="L44" i="5"/>
  <c r="H29" i="5"/>
  <c r="E29" i="5"/>
  <c r="C9" i="10"/>
  <c r="E9" i="10" s="1"/>
  <c r="K29" i="5" l="1"/>
  <c r="J29" i="5"/>
  <c r="L29" i="5"/>
  <c r="I18" i="9"/>
  <c r="F36" i="9" s="1"/>
  <c r="G36" i="9" s="1"/>
  <c r="I16" i="9"/>
  <c r="I17" i="9"/>
  <c r="F35" i="9" s="1"/>
  <c r="G35" i="9" s="1"/>
  <c r="I19" i="9"/>
  <c r="F37" i="9" s="1"/>
  <c r="G37" i="9" s="1"/>
  <c r="M44" i="5"/>
  <c r="N44" i="5" s="1"/>
  <c r="M29" i="5" l="1"/>
  <c r="N29" i="5" s="1"/>
  <c r="I14" i="8"/>
  <c r="C8" i="10"/>
  <c r="E8" i="10" s="1"/>
  <c r="F34" i="9"/>
  <c r="I20" i="9"/>
  <c r="I20" i="4" l="1"/>
  <c r="C7" i="10"/>
  <c r="C10" i="10" s="1"/>
  <c r="E10" i="10" s="1"/>
  <c r="I24" i="4"/>
  <c r="H50" i="4" s="1"/>
  <c r="I50" i="4" s="1"/>
  <c r="I29" i="4"/>
  <c r="H55" i="4" s="1"/>
  <c r="I22" i="4"/>
  <c r="I28" i="4"/>
  <c r="H54" i="4" s="1"/>
  <c r="I54" i="4" s="1"/>
  <c r="I27" i="4"/>
  <c r="H53" i="4" s="1"/>
  <c r="I53" i="4" s="1"/>
  <c r="I23" i="4"/>
  <c r="H49" i="4" s="1"/>
  <c r="I49" i="4" s="1"/>
  <c r="G34" i="9"/>
  <c r="F38" i="9"/>
  <c r="I16" i="8"/>
  <c r="I19" i="8"/>
  <c r="F37" i="8" s="1"/>
  <c r="I18" i="8"/>
  <c r="F36" i="8" s="1"/>
  <c r="G36" i="8" s="1"/>
  <c r="I17" i="8"/>
  <c r="F35" i="8" s="1"/>
  <c r="G35" i="8" s="1"/>
  <c r="E7" i="10" l="1"/>
  <c r="F34" i="8"/>
  <c r="I20" i="8"/>
  <c r="I30" i="4"/>
  <c r="H48" i="4"/>
  <c r="H56" i="4" l="1"/>
  <c r="I48" i="4"/>
  <c r="F38" i="8"/>
  <c r="G34" i="8"/>
  <c r="G10" i="8" l="1"/>
  <c r="G37" i="8"/>
  <c r="G26" i="15" l="1"/>
  <c r="G14" i="12"/>
  <c r="G15" i="12" s="1"/>
  <c r="G15" i="7"/>
  <c r="G55" i="7"/>
  <c r="G12" i="13"/>
  <c r="G13" i="13" s="1"/>
  <c r="G14" i="4"/>
  <c r="I55" i="4"/>
  <c r="E50" i="15" l="1"/>
  <c r="G27" i="15"/>
  <c r="E10" i="8" l="1"/>
  <c r="E37" i="8"/>
  <c r="E12" i="13" l="1"/>
  <c r="E13" i="13" s="1"/>
  <c r="E14" i="4"/>
  <c r="E55" i="4"/>
</calcChain>
</file>

<file path=xl/comments1.xml><?xml version="1.0" encoding="utf-8"?>
<comments xmlns="http://schemas.openxmlformats.org/spreadsheetml/2006/main">
  <authors>
    <author>andrya.eagen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andrya.eagen:</t>
        </r>
        <r>
          <rPr>
            <sz val="9"/>
            <color indexed="81"/>
            <rFont val="Tahoma"/>
            <family val="2"/>
          </rPr>
          <t xml:space="preserve">
MP represents 4.43% of total GS&lt;50, used this percent to allocate to this "rate class"</t>
        </r>
      </text>
    </comment>
  </commentList>
</comments>
</file>

<file path=xl/sharedStrings.xml><?xml version="1.0" encoding="utf-8"?>
<sst xmlns="http://schemas.openxmlformats.org/spreadsheetml/2006/main" count="564" uniqueCount="139">
  <si>
    <t>LV Variance Account</t>
  </si>
  <si>
    <t>Smart Metering Entity Charge Variance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</si>
  <si>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</si>
  <si>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</si>
  <si>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</si>
  <si>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</si>
  <si>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</si>
  <si>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Recovery of Regulatory Asset Balances</t>
  </si>
  <si>
    <t>Rate Class</t>
  </si>
  <si>
    <t>Deferral Acct</t>
  </si>
  <si>
    <t>Total kWh</t>
  </si>
  <si>
    <t>Residential</t>
  </si>
  <si>
    <t>General Service &lt;50</t>
  </si>
  <si>
    <t>General Service &gt;50</t>
  </si>
  <si>
    <t>Intermediate</t>
  </si>
  <si>
    <t>Unmetered Scattered Load Connections</t>
  </si>
  <si>
    <t>Sentinel Lighting Connections</t>
  </si>
  <si>
    <t>Street Lighting Connections</t>
  </si>
  <si>
    <t>CK</t>
  </si>
  <si>
    <t>Original Alloc</t>
  </si>
  <si>
    <t>Alloc Balance</t>
  </si>
  <si>
    <t>Total</t>
  </si>
  <si>
    <t>Billing Unit</t>
  </si>
  <si>
    <t>kWh</t>
  </si>
  <si>
    <t>kW</t>
  </si>
  <si>
    <t>Entegrus Powerlines Inc.</t>
  </si>
  <si>
    <t>Total 
kWh</t>
  </si>
  <si>
    <t>Total 
kW</t>
  </si>
  <si>
    <t>Non-RPP 
kWh</t>
  </si>
  <si>
    <t>Non-RPP 
kW</t>
  </si>
  <si>
    <t>Billing Determinants [RRR 2.1.5]</t>
  </si>
  <si>
    <t>Alloaction of Deferral Balances</t>
  </si>
  <si>
    <t>Application</t>
  </si>
  <si>
    <t>Residual Balance</t>
  </si>
  <si>
    <t>Calculation of Rate Riders</t>
  </si>
  <si>
    <t>2015 IRM [EB-2014-0064]: SMP Deferral Disposition Calculation</t>
  </si>
  <si>
    <t>Allocation Notes:</t>
  </si>
  <si>
    <t>Total kWh Excluding MP</t>
  </si>
  <si>
    <t>General Service &gt;50 - Market Participant ("MP")</t>
  </si>
  <si>
    <t>Total Non-RPP kWh Excluding  MP &amp; Class A</t>
  </si>
  <si>
    <t>EB-2011-0148 - Group One</t>
  </si>
  <si>
    <t>EB-2012-0098 - PILs</t>
  </si>
  <si>
    <t>Group One Disp Total $</t>
  </si>
  <si>
    <t>Account</t>
  </si>
  <si>
    <t>Principal</t>
  </si>
  <si>
    <t>Interest</t>
  </si>
  <si>
    <t>BA Principal</t>
  </si>
  <si>
    <t>BA Interest</t>
  </si>
  <si>
    <t>Disposition and Recovery/Refund of Regulatory Balances (2008)4</t>
  </si>
  <si>
    <t>Disposition and Recovery/Refund of Regulatory Balances (2009)4</t>
  </si>
  <si>
    <t>Disposition and Recovery/Refund of Regulatory Balances (2010)4</t>
  </si>
  <si>
    <t>Disposition and Recovery/Refund of Regulatory Balances (2011)4</t>
  </si>
  <si>
    <t>Disposition and Recovery/Refund of Regulatory Balances (2012)4</t>
  </si>
  <si>
    <t>SMP</t>
  </si>
  <si>
    <t>Group One for MP Only</t>
  </si>
  <si>
    <t>Non-RPP Excluding MP &amp; Class A</t>
  </si>
  <si>
    <t>LRAM Variance Account</t>
  </si>
  <si>
    <t>Total Excluding Market Participant</t>
  </si>
  <si>
    <t>Total Excluding Market Participant and Class A</t>
  </si>
  <si>
    <t>Total Claim Per Board Model:</t>
  </si>
  <si>
    <t>Intermediate w/Self Gen - Class A</t>
  </si>
  <si>
    <t>Total Excluding Class A</t>
  </si>
  <si>
    <t>EB-2011-0163 - Group One</t>
  </si>
  <si>
    <t>EB-2012-0097 - PILs</t>
  </si>
  <si>
    <t>Non-RPP Excluding Class A</t>
  </si>
  <si>
    <t>Total Non-RPP kWh Excluding Class A</t>
  </si>
  <si>
    <t>Notes:</t>
  </si>
  <si>
    <t>A) To date, CK rate zone does not have any Market Participants.</t>
  </si>
  <si>
    <t>Large Use - Class A</t>
  </si>
  <si>
    <t>DUTTON</t>
  </si>
  <si>
    <t>2015 IRM [EB-2014-0064]: Dutton Deferral Disposition Calculation</t>
  </si>
  <si>
    <t>Customer No.</t>
  </si>
  <si>
    <t>Res &amp; GS&lt;50 Customer No.</t>
  </si>
  <si>
    <t>EB-2011-0149 - Group One</t>
  </si>
  <si>
    <t>Total Non-RPP kWh</t>
  </si>
  <si>
    <t>Non-RPP  Disp Total $</t>
  </si>
  <si>
    <t>NEWBURY</t>
  </si>
  <si>
    <t>2015 IRM [EB-2014-0064]: Newbury Deferral Disposition Calculation</t>
  </si>
  <si>
    <t>EB-2011-0150 - Group One</t>
  </si>
  <si>
    <t>Proposed Disp Years</t>
  </si>
  <si>
    <t>Customer Numbers</t>
  </si>
  <si>
    <t>Rate Rider Recovery Period</t>
  </si>
  <si>
    <t>Rate Rider For Group One Disp</t>
  </si>
  <si>
    <t>Rate Rider for Global Adj</t>
  </si>
  <si>
    <t>Rate Zone</t>
  </si>
  <si>
    <t>Dutton</t>
  </si>
  <si>
    <t>Newbury</t>
  </si>
  <si>
    <t>Last Disposition</t>
  </si>
  <si>
    <t>2015 IRM4 Application, EB-2014-0064</t>
  </si>
  <si>
    <t>Group One Deferral Disposition Threshold Test</t>
  </si>
  <si>
    <t>Threshold Test</t>
  </si>
  <si>
    <t>Test 
Met</t>
  </si>
  <si>
    <t>Total 
Group One</t>
  </si>
  <si>
    <t xml:space="preserve">Entegrus Powerlines Inc. </t>
  </si>
  <si>
    <t>Calculation of Group One Total Claim</t>
  </si>
  <si>
    <t>USOA</t>
  </si>
  <si>
    <t>Balance for Disposition</t>
  </si>
  <si>
    <t>Projected Interest</t>
  </si>
  <si>
    <t>Jan/14- Dec/14</t>
  </si>
  <si>
    <t>Jan/15-Apr/15</t>
  </si>
  <si>
    <t>Total Claim</t>
  </si>
  <si>
    <r>
      <t xml:space="preserve">Total
</t>
    </r>
    <r>
      <rPr>
        <b/>
        <sz val="11"/>
        <color rgb="FFFF0000"/>
        <rFont val="Calibri"/>
        <family val="2"/>
        <scheme val="minor"/>
      </rPr>
      <t>[Note 1]</t>
    </r>
  </si>
  <si>
    <t>Note 1: Balances ties to Rate Generator Model, Tab "5. 2014 Continuity Schedule", Column BE</t>
  </si>
  <si>
    <t>Allocated Balance</t>
  </si>
  <si>
    <t>Original Allocation</t>
  </si>
  <si>
    <t>Non-RPP Rate Rider</t>
  </si>
  <si>
    <t>Group One- MP Rate Rider</t>
  </si>
  <si>
    <t>Group One Rate Rider</t>
  </si>
  <si>
    <t>LRAMVA Rate Rider</t>
  </si>
  <si>
    <t>Allocation of Deferral Balances</t>
  </si>
  <si>
    <t>LRAMVA Disposition Calculation, Rate Zone: CK</t>
  </si>
  <si>
    <t>LRAMVA Balance per IndEco 2013 Report</t>
  </si>
  <si>
    <t>Balance</t>
  </si>
  <si>
    <t>Large Use</t>
  </si>
  <si>
    <t>LRAM - Page 11</t>
  </si>
  <si>
    <t>EB-2009-0203- Group One</t>
  </si>
  <si>
    <t>Alloaction of Residual Balances, Account 1595</t>
  </si>
  <si>
    <t>Non-RPP  
Disp Total $</t>
  </si>
  <si>
    <t>Non-RPP 
Rate Rider</t>
  </si>
  <si>
    <t>Group One
Rate Rider</t>
  </si>
  <si>
    <t>2015 IRM [EB-2014-0064]: SMP LRAMVA &amp; LRAM Calculation</t>
  </si>
  <si>
    <t>LRAM Rate Rider</t>
  </si>
  <si>
    <t>Reallocate Outstanding USL Balance</t>
  </si>
  <si>
    <t>Calculation of Residual Balance</t>
  </si>
  <si>
    <t>Total Residual Balance</t>
  </si>
  <si>
    <t>Amount Collected
Jun10-Apr12</t>
  </si>
  <si>
    <t>Original Disposition
EB-2009-0261</t>
  </si>
  <si>
    <t>MUSH Sector</t>
  </si>
  <si>
    <t>2013 Billing Determinants less Non-RPP MUSH</t>
  </si>
  <si>
    <t>Non-RPP Disposition $</t>
  </si>
  <si>
    <t>Intermediate w/Self Generation</t>
  </si>
  <si>
    <t>Group One Deferral Disposition Calculation, Rate Zone: CK</t>
  </si>
  <si>
    <t>B) The sole customer in the "Intermediate with Self Generation" class is a "Class A" customer.</t>
  </si>
  <si>
    <t xml:space="preserve">Deferral Disposition Calculation CK 2010 Non-RPP Rate Rider Residual Balance </t>
  </si>
  <si>
    <t>Large User- Class A</t>
  </si>
  <si>
    <t>Allocation of Residual Balances, Account 1595</t>
  </si>
  <si>
    <t>A) SMP rate zone has one Market Participant customer billed as a GS&gt;50 customer.  The rate class billing determinants have been split to facilitate the necessary calculation.</t>
  </si>
  <si>
    <t>B) The sole customer in the "Large Use" class is a "Class A" customer.</t>
  </si>
  <si>
    <t>LRAMVA, Per IndEco Report, Page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</si>
</sst>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00_);_(* \(#,##0.0000\);_(* &quot;-&quot;??_);_(@_)"/>
    <numFmt numFmtId="167" formatCode="0.000%"/>
    <numFmt numFmtId="168" formatCode="&quot;$&quot;#,##0"/>
    <numFmt numFmtId="169" formatCode="&quot;$&quot;#,##0.0000"/>
    <numFmt numFmtId="170" formatCode="[$-409]mmmm\ d\,\ yyyy;@"/>
    <numFmt numFmtId="171" formatCode="_(&quot;$&quot;* #,##0.0000_);_(&quot;$&quot;* \(#,##0.00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DC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43" fontId="0" fillId="0" borderId="0" xfId="0" applyNumberFormat="1"/>
    <xf numFmtId="0" fontId="3" fillId="0" borderId="0" xfId="0" applyFont="1" applyBorder="1"/>
    <xf numFmtId="164" fontId="3" fillId="0" borderId="0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0" fillId="0" borderId="2" xfId="1" applyNumberFormat="1" applyFont="1" applyBorder="1"/>
    <xf numFmtId="0" fontId="0" fillId="0" borderId="7" xfId="0" applyBorder="1"/>
    <xf numFmtId="0" fontId="0" fillId="0" borderId="12" xfId="0" applyBorder="1"/>
    <xf numFmtId="164" fontId="0" fillId="0" borderId="13" xfId="1" applyNumberFormat="1" applyFont="1" applyBorder="1"/>
    <xf numFmtId="0" fontId="2" fillId="3" borderId="15" xfId="0" applyFont="1" applyFill="1" applyBorder="1" applyAlignment="1">
      <alignment horizontal="center" vertical="center" wrapText="1"/>
    </xf>
    <xf numFmtId="164" fontId="2" fillId="3" borderId="16" xfId="1" applyNumberFormat="1" applyFont="1" applyFill="1" applyBorder="1" applyAlignment="1">
      <alignment horizontal="center" vertical="center" wrapText="1"/>
    </xf>
    <xf numFmtId="164" fontId="2" fillId="3" borderId="17" xfId="1" applyNumberFormat="1" applyFont="1" applyFill="1" applyBorder="1" applyAlignment="1">
      <alignment horizontal="center" vertical="center" wrapText="1"/>
    </xf>
    <xf numFmtId="0" fontId="0" fillId="0" borderId="18" xfId="0" applyBorder="1"/>
    <xf numFmtId="164" fontId="0" fillId="0" borderId="19" xfId="1" applyNumberFormat="1" applyFont="1" applyBorder="1"/>
    <xf numFmtId="0" fontId="2" fillId="0" borderId="15" xfId="0" applyFont="1" applyBorder="1"/>
    <xf numFmtId="164" fontId="2" fillId="0" borderId="16" xfId="1" applyNumberFormat="1" applyFont="1" applyBorder="1"/>
    <xf numFmtId="0" fontId="2" fillId="0" borderId="17" xfId="0" applyFont="1" applyBorder="1"/>
    <xf numFmtId="165" fontId="0" fillId="0" borderId="2" xfId="0" applyNumberFormat="1" applyBorder="1"/>
    <xf numFmtId="165" fontId="0" fillId="0" borderId="13" xfId="0" applyNumberForma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0" fillId="0" borderId="14" xfId="0" applyNumberFormat="1" applyBorder="1"/>
    <xf numFmtId="165" fontId="0" fillId="0" borderId="19" xfId="0" applyNumberFormat="1" applyBorder="1"/>
    <xf numFmtId="165" fontId="2" fillId="0" borderId="16" xfId="0" applyNumberFormat="1" applyFont="1" applyBorder="1"/>
    <xf numFmtId="165" fontId="2" fillId="0" borderId="17" xfId="0" applyNumberFormat="1" applyFont="1" applyBorder="1"/>
    <xf numFmtId="0" fontId="2" fillId="3" borderId="4" xfId="0" applyFont="1" applyFill="1" applyBorder="1" applyAlignment="1">
      <alignment horizontal="right" vertical="center"/>
    </xf>
    <xf numFmtId="165" fontId="0" fillId="0" borderId="2" xfId="1" applyNumberFormat="1" applyFont="1" applyBorder="1"/>
    <xf numFmtId="165" fontId="0" fillId="0" borderId="13" xfId="1" applyNumberFormat="1" applyFont="1" applyBorder="1"/>
    <xf numFmtId="0" fontId="2" fillId="3" borderId="7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164" fontId="2" fillId="3" borderId="10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/>
    <xf numFmtId="165" fontId="2" fillId="0" borderId="16" xfId="1" applyNumberFormat="1" applyFont="1" applyBorder="1"/>
    <xf numFmtId="166" fontId="0" fillId="2" borderId="13" xfId="1" applyNumberFormat="1" applyFont="1" applyFill="1" applyBorder="1"/>
    <xf numFmtId="164" fontId="2" fillId="3" borderId="1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2" fillId="4" borderId="21" xfId="0" applyFont="1" applyFill="1" applyBorder="1" applyAlignment="1"/>
    <xf numFmtId="0" fontId="2" fillId="4" borderId="22" xfId="0" applyFont="1" applyFill="1" applyBorder="1" applyAlignment="1"/>
    <xf numFmtId="0" fontId="2" fillId="4" borderId="23" xfId="0" applyFont="1" applyFill="1" applyBorder="1" applyAlignment="1"/>
    <xf numFmtId="0" fontId="2" fillId="0" borderId="0" xfId="0" applyFont="1" applyBorder="1"/>
    <xf numFmtId="164" fontId="2" fillId="0" borderId="0" xfId="1" applyNumberFormat="1" applyFont="1" applyBorder="1"/>
    <xf numFmtId="167" fontId="0" fillId="0" borderId="0" xfId="2" applyNumberFormat="1" applyFont="1"/>
    <xf numFmtId="164" fontId="0" fillId="5" borderId="13" xfId="1" applyNumberFormat="1" applyFont="1" applyFill="1" applyBorder="1"/>
    <xf numFmtId="164" fontId="2" fillId="0" borderId="17" xfId="1" applyNumberFormat="1" applyFont="1" applyBorder="1"/>
    <xf numFmtId="0" fontId="2" fillId="3" borderId="7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right" vertical="top" wrapText="1"/>
    </xf>
    <xf numFmtId="165" fontId="2" fillId="5" borderId="2" xfId="0" applyNumberFormat="1" applyFont="1" applyFill="1" applyBorder="1"/>
    <xf numFmtId="165" fontId="2" fillId="5" borderId="8" xfId="0" applyNumberFormat="1" applyFont="1" applyFill="1" applyBorder="1"/>
    <xf numFmtId="165" fontId="5" fillId="5" borderId="10" xfId="0" applyNumberFormat="1" applyFont="1" applyFill="1" applyBorder="1" applyAlignment="1">
      <alignment vertical="top" wrapText="1"/>
    </xf>
    <xf numFmtId="165" fontId="5" fillId="5" borderId="11" xfId="0" applyNumberFormat="1" applyFont="1" applyFill="1" applyBorder="1" applyAlignment="1">
      <alignment vertical="top" wrapText="1"/>
    </xf>
    <xf numFmtId="10" fontId="0" fillId="5" borderId="13" xfId="2" applyNumberFormat="1" applyFont="1" applyFill="1" applyBorder="1"/>
    <xf numFmtId="10" fontId="0" fillId="5" borderId="2" xfId="2" applyNumberFormat="1" applyFont="1" applyFill="1" applyBorder="1"/>
    <xf numFmtId="10" fontId="0" fillId="5" borderId="19" xfId="2" applyNumberFormat="1" applyFont="1" applyFill="1" applyBorder="1"/>
    <xf numFmtId="164" fontId="0" fillId="5" borderId="14" xfId="1" applyNumberFormat="1" applyFont="1" applyFill="1" applyBorder="1"/>
    <xf numFmtId="164" fontId="0" fillId="5" borderId="8" xfId="1" applyNumberFormat="1" applyFont="1" applyFill="1" applyBorder="1"/>
    <xf numFmtId="0" fontId="2" fillId="3" borderId="27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0" fillId="5" borderId="28" xfId="0" applyFill="1" applyBorder="1"/>
    <xf numFmtId="0" fontId="0" fillId="5" borderId="29" xfId="0" applyFill="1" applyBorder="1"/>
    <xf numFmtId="0" fontId="0" fillId="0" borderId="0" xfId="0" applyAlignment="1">
      <alignment horizontal="center" vertical="center" wrapText="1"/>
    </xf>
    <xf numFmtId="0" fontId="0" fillId="6" borderId="34" xfId="0" applyFill="1" applyBorder="1"/>
    <xf numFmtId="164" fontId="2" fillId="3" borderId="24" xfId="1" applyNumberFormat="1" applyFont="1" applyFill="1" applyBorder="1" applyAlignment="1">
      <alignment horizontal="center" vertical="center" wrapText="1"/>
    </xf>
    <xf numFmtId="164" fontId="0" fillId="5" borderId="28" xfId="1" applyNumberFormat="1" applyFont="1" applyFill="1" applyBorder="1"/>
    <xf numFmtId="164" fontId="2" fillId="0" borderId="27" xfId="1" applyNumberFormat="1" applyFont="1" applyBorder="1"/>
    <xf numFmtId="164" fontId="2" fillId="0" borderId="27" xfId="0" applyNumberFormat="1" applyFont="1" applyBorder="1"/>
    <xf numFmtId="166" fontId="0" fillId="2" borderId="6" xfId="1" applyNumberFormat="1" applyFont="1" applyFill="1" applyBorder="1"/>
    <xf numFmtId="166" fontId="0" fillId="2" borderId="14" xfId="1" applyNumberFormat="1" applyFont="1" applyFill="1" applyBorder="1"/>
    <xf numFmtId="166" fontId="0" fillId="2" borderId="37" xfId="1" applyNumberFormat="1" applyFont="1" applyFill="1" applyBorder="1"/>
    <xf numFmtId="165" fontId="0" fillId="0" borderId="13" xfId="1" applyNumberFormat="1" applyFont="1" applyFill="1" applyBorder="1"/>
    <xf numFmtId="164" fontId="0" fillId="0" borderId="2" xfId="1" applyNumberFormat="1" applyFont="1" applyFill="1" applyBorder="1"/>
    <xf numFmtId="169" fontId="0" fillId="0" borderId="2" xfId="0" applyNumberFormat="1" applyBorder="1"/>
    <xf numFmtId="169" fontId="0" fillId="0" borderId="13" xfId="0" applyNumberFormat="1" applyBorder="1"/>
    <xf numFmtId="169" fontId="0" fillId="0" borderId="19" xfId="0" applyNumberFormat="1" applyBorder="1"/>
    <xf numFmtId="169" fontId="2" fillId="0" borderId="16" xfId="0" applyNumberFormat="1" applyFont="1" applyBorder="1"/>
    <xf numFmtId="0" fontId="2" fillId="0" borderId="17" xfId="0" applyFont="1" applyBorder="1" applyAlignment="1">
      <alignment horizont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169" fontId="0" fillId="0" borderId="31" xfId="0" applyNumberFormat="1" applyBorder="1" applyAlignment="1">
      <alignment horizontal="center"/>
    </xf>
    <xf numFmtId="169" fontId="0" fillId="0" borderId="30" xfId="0" applyNumberFormat="1" applyBorder="1" applyAlignment="1">
      <alignment horizontal="center"/>
    </xf>
    <xf numFmtId="169" fontId="0" fillId="0" borderId="38" xfId="0" applyNumberFormat="1" applyBorder="1" applyAlignment="1">
      <alignment horizontal="center"/>
    </xf>
    <xf numFmtId="169" fontId="2" fillId="0" borderId="32" xfId="0" applyNumberFormat="1" applyFont="1" applyBorder="1" applyAlignment="1">
      <alignment horizontal="center"/>
    </xf>
    <xf numFmtId="170" fontId="0" fillId="0" borderId="14" xfId="0" applyNumberFormat="1" applyBorder="1" applyAlignment="1">
      <alignment horizontal="center"/>
    </xf>
    <xf numFmtId="170" fontId="0" fillId="0" borderId="8" xfId="0" applyNumberFormat="1" applyBorder="1" applyAlignment="1">
      <alignment horizontal="center"/>
    </xf>
    <xf numFmtId="0" fontId="3" fillId="0" borderId="0" xfId="0" applyFont="1"/>
    <xf numFmtId="0" fontId="0" fillId="0" borderId="1" xfId="0" applyBorder="1"/>
    <xf numFmtId="168" fontId="0" fillId="0" borderId="13" xfId="0" applyNumberFormat="1" applyBorder="1"/>
    <xf numFmtId="168" fontId="0" fillId="0" borderId="2" xfId="0" applyNumberFormat="1" applyBorder="1"/>
    <xf numFmtId="168" fontId="0" fillId="0" borderId="19" xfId="0" applyNumberFormat="1" applyBorder="1"/>
    <xf numFmtId="168" fontId="2" fillId="0" borderId="16" xfId="0" applyNumberFormat="1" applyFont="1" applyBorder="1"/>
    <xf numFmtId="0" fontId="0" fillId="0" borderId="0" xfId="0" applyBorder="1"/>
    <xf numFmtId="0" fontId="0" fillId="0" borderId="2" xfId="0" applyBorder="1"/>
    <xf numFmtId="168" fontId="0" fillId="5" borderId="2" xfId="0" applyNumberFormat="1" applyFill="1" applyBorder="1"/>
    <xf numFmtId="168" fontId="0" fillId="9" borderId="8" xfId="0" applyNumberFormat="1" applyFill="1" applyBorder="1"/>
    <xf numFmtId="0" fontId="0" fillId="0" borderId="9" xfId="0" applyBorder="1"/>
    <xf numFmtId="0" fontId="0" fillId="0" borderId="10" xfId="0" applyBorder="1"/>
    <xf numFmtId="168" fontId="0" fillId="5" borderId="10" xfId="0" applyNumberFormat="1" applyFill="1" applyBorder="1"/>
    <xf numFmtId="168" fontId="0" fillId="0" borderId="10" xfId="0" applyNumberFormat="1" applyBorder="1"/>
    <xf numFmtId="168" fontId="0" fillId="9" borderId="11" xfId="0" applyNumberFormat="1" applyFill="1" applyBorder="1"/>
    <xf numFmtId="0" fontId="0" fillId="0" borderId="19" xfId="0" applyBorder="1"/>
    <xf numFmtId="168" fontId="0" fillId="5" borderId="19" xfId="0" applyNumberFormat="1" applyFill="1" applyBorder="1"/>
    <xf numFmtId="168" fontId="0" fillId="9" borderId="20" xfId="0" applyNumberFormat="1" applyFill="1" applyBorder="1"/>
    <xf numFmtId="0" fontId="0" fillId="0" borderId="13" xfId="0" applyBorder="1"/>
    <xf numFmtId="168" fontId="0" fillId="5" borderId="13" xfId="0" applyNumberFormat="1" applyFill="1" applyBorder="1"/>
    <xf numFmtId="168" fontId="0" fillId="9" borderId="14" xfId="0" applyNumberForma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8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3" borderId="10" xfId="1" applyNumberFormat="1" applyFont="1" applyFill="1" applyBorder="1" applyAlignment="1">
      <alignment horizontal="center" vertical="center" wrapText="1"/>
    </xf>
    <xf numFmtId="164" fontId="2" fillId="3" borderId="32" xfId="1" applyNumberFormat="1" applyFont="1" applyFill="1" applyBorder="1" applyAlignment="1">
      <alignment horizontal="center" vertical="center"/>
    </xf>
    <xf numFmtId="164" fontId="0" fillId="0" borderId="31" xfId="1" applyNumberFormat="1" applyFont="1" applyBorder="1"/>
    <xf numFmtId="164" fontId="0" fillId="0" borderId="30" xfId="1" applyNumberFormat="1" applyFont="1" applyBorder="1"/>
    <xf numFmtId="164" fontId="0" fillId="0" borderId="30" xfId="1" applyNumberFormat="1" applyFont="1" applyFill="1" applyBorder="1"/>
    <xf numFmtId="164" fontId="0" fillId="0" borderId="38" xfId="1" applyNumberFormat="1" applyFont="1" applyBorder="1"/>
    <xf numFmtId="164" fontId="2" fillId="0" borderId="32" xfId="1" applyNumberFormat="1" applyFont="1" applyBorder="1"/>
    <xf numFmtId="165" fontId="2" fillId="0" borderId="27" xfId="1" applyNumberFormat="1" applyFont="1" applyBorder="1"/>
    <xf numFmtId="164" fontId="2" fillId="3" borderId="15" xfId="1" applyNumberFormat="1" applyFont="1" applyFill="1" applyBorder="1" applyAlignment="1">
      <alignment horizontal="center" vertical="center" wrapText="1"/>
    </xf>
    <xf numFmtId="165" fontId="0" fillId="0" borderId="12" xfId="1" applyNumberFormat="1" applyFont="1" applyBorder="1"/>
    <xf numFmtId="165" fontId="2" fillId="0" borderId="15" xfId="1" applyNumberFormat="1" applyFont="1" applyBorder="1"/>
    <xf numFmtId="165" fontId="2" fillId="0" borderId="17" xfId="1" applyNumberFormat="1" applyFont="1" applyBorder="1"/>
    <xf numFmtId="164" fontId="0" fillId="0" borderId="28" xfId="1" applyNumberFormat="1" applyFont="1" applyFill="1" applyBorder="1"/>
    <xf numFmtId="164" fontId="0" fillId="0" borderId="13" xfId="1" applyNumberFormat="1" applyFont="1" applyFill="1" applyBorder="1"/>
    <xf numFmtId="164" fontId="0" fillId="0" borderId="14" xfId="1" applyNumberFormat="1" applyFont="1" applyFill="1" applyBorder="1"/>
    <xf numFmtId="165" fontId="0" fillId="0" borderId="28" xfId="1" applyNumberFormat="1" applyFont="1" applyFill="1" applyBorder="1"/>
    <xf numFmtId="169" fontId="0" fillId="0" borderId="14" xfId="1" applyNumberFormat="1" applyFont="1" applyFill="1" applyBorder="1"/>
    <xf numFmtId="165" fontId="0" fillId="6" borderId="28" xfId="1" applyNumberFormat="1" applyFont="1" applyFill="1" applyBorder="1"/>
    <xf numFmtId="164" fontId="0" fillId="0" borderId="8" xfId="1" applyNumberFormat="1" applyFont="1" applyFill="1" applyBorder="1"/>
    <xf numFmtId="164" fontId="0" fillId="0" borderId="20" xfId="1" applyNumberFormat="1" applyFont="1" applyFill="1" applyBorder="1"/>
    <xf numFmtId="171" fontId="0" fillId="0" borderId="0" xfId="4" applyNumberFormat="1" applyFont="1"/>
    <xf numFmtId="164" fontId="0" fillId="0" borderId="0" xfId="0" applyNumberFormat="1"/>
    <xf numFmtId="165" fontId="0" fillId="0" borderId="13" xfId="2" applyNumberFormat="1" applyFont="1" applyFill="1" applyBorder="1"/>
    <xf numFmtId="0" fontId="0" fillId="0" borderId="0" xfId="0" applyFont="1"/>
    <xf numFmtId="0" fontId="2" fillId="3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2" fillId="8" borderId="3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5" fontId="2" fillId="5" borderId="2" xfId="1" applyNumberFormat="1" applyFont="1" applyFill="1" applyBorder="1" applyAlignment="1">
      <alignment horizontal="right" vertical="center"/>
    </xf>
    <xf numFmtId="0" fontId="0" fillId="5" borderId="3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2" fillId="5" borderId="5" xfId="1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</cellXfs>
  <cellStyles count="5">
    <cellStyle name="Comma" xfId="1" builtinId="3"/>
    <cellStyle name="Currency" xfId="4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7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34</xdr:row>
      <xdr:rowOff>38101</xdr:rowOff>
    </xdr:from>
    <xdr:to>
      <xdr:col>9</xdr:col>
      <xdr:colOff>9526</xdr:colOff>
      <xdr:row>38</xdr:row>
      <xdr:rowOff>38101</xdr:rowOff>
    </xdr:to>
    <xdr:sp macro="" textlink="">
      <xdr:nvSpPr>
        <xdr:cNvPr id="2" name="TextBox 1"/>
        <xdr:cNvSpPr txBox="1"/>
      </xdr:nvSpPr>
      <xdr:spPr>
        <a:xfrm>
          <a:off x="8772525" y="7134226"/>
          <a:ext cx="923926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Please See Manager's Summary Section 3.3 for more details.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RowHeight="15" x14ac:dyDescent="0.25"/>
  <cols>
    <col min="1" max="1" width="59.5703125" bestFit="1" customWidth="1"/>
    <col min="2" max="2" width="7.28515625" customWidth="1"/>
    <col min="3" max="14" width="12.7109375" customWidth="1"/>
  </cols>
  <sheetData>
    <row r="1" spans="1:14" ht="18.75" x14ac:dyDescent="0.3">
      <c r="A1" s="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8.75" x14ac:dyDescent="0.3">
      <c r="A2" s="5" t="s">
        <v>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9.5" thickBot="1" x14ac:dyDescent="0.35">
      <c r="A3" s="7" t="s">
        <v>94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14" s="114" customFormat="1" ht="21" customHeight="1" x14ac:dyDescent="0.25">
      <c r="A5" s="142" t="s">
        <v>43</v>
      </c>
      <c r="B5" s="142" t="s">
        <v>95</v>
      </c>
      <c r="C5" s="141">
        <v>2013</v>
      </c>
      <c r="D5" s="141"/>
      <c r="E5" s="141"/>
      <c r="F5" s="141">
        <v>2014</v>
      </c>
      <c r="G5" s="141"/>
      <c r="H5" s="141" t="s">
        <v>96</v>
      </c>
      <c r="I5" s="141"/>
      <c r="J5" s="141" t="s">
        <v>97</v>
      </c>
      <c r="K5" s="141"/>
      <c r="L5" s="141" t="s">
        <v>100</v>
      </c>
      <c r="M5" s="141"/>
      <c r="N5" s="141"/>
    </row>
    <row r="6" spans="1:14" s="63" customFormat="1" ht="30" x14ac:dyDescent="0.25">
      <c r="A6" s="143"/>
      <c r="B6" s="143"/>
      <c r="C6" s="113" t="s">
        <v>44</v>
      </c>
      <c r="D6" s="113" t="s">
        <v>45</v>
      </c>
      <c r="E6" s="113" t="s">
        <v>21</v>
      </c>
      <c r="F6" s="113" t="s">
        <v>46</v>
      </c>
      <c r="G6" s="113" t="s">
        <v>47</v>
      </c>
      <c r="H6" s="113" t="s">
        <v>44</v>
      </c>
      <c r="I6" s="113" t="s">
        <v>45</v>
      </c>
      <c r="J6" s="113" t="s">
        <v>98</v>
      </c>
      <c r="K6" s="113" t="s">
        <v>99</v>
      </c>
      <c r="L6" s="113" t="s">
        <v>44</v>
      </c>
      <c r="M6" s="113" t="s">
        <v>45</v>
      </c>
      <c r="N6" s="113" t="s">
        <v>101</v>
      </c>
    </row>
    <row r="7" spans="1:14" x14ac:dyDescent="0.25">
      <c r="A7" s="110" t="s">
        <v>18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11" t="s">
        <v>0</v>
      </c>
      <c r="B8" s="107">
        <v>1550</v>
      </c>
      <c r="C8" s="108">
        <v>520920.06999999995</v>
      </c>
      <c r="D8" s="108">
        <v>7380.9599999999991</v>
      </c>
      <c r="E8" s="91">
        <f>SUM(C8:D8)</f>
        <v>528301.02999999991</v>
      </c>
      <c r="F8" s="108"/>
      <c r="G8" s="108"/>
      <c r="H8" s="91">
        <f>C8-F8</f>
        <v>520920.06999999995</v>
      </c>
      <c r="I8" s="91">
        <f>D8-G8</f>
        <v>7380.9599999999991</v>
      </c>
      <c r="J8" s="91">
        <f t="shared" ref="J8:J14" si="0">H8*1.47%</f>
        <v>7657.5250289999994</v>
      </c>
      <c r="K8" s="91">
        <f t="shared" ref="K8:K14" si="1">H8*1.47%*(4/12)</f>
        <v>2552.5083429999995</v>
      </c>
      <c r="L8" s="91">
        <f>H8</f>
        <v>520920.06999999995</v>
      </c>
      <c r="M8" s="91">
        <f>I8+J8+K8</f>
        <v>17590.993371999997</v>
      </c>
      <c r="N8" s="109">
        <f>SUM(L8:M8)</f>
        <v>538511.06337199989</v>
      </c>
    </row>
    <row r="9" spans="1:14" x14ac:dyDescent="0.25">
      <c r="A9" s="10" t="s">
        <v>1</v>
      </c>
      <c r="B9" s="96">
        <v>1551</v>
      </c>
      <c r="C9" s="97">
        <v>23466.63</v>
      </c>
      <c r="D9" s="108">
        <v>-17.319999999999997</v>
      </c>
      <c r="E9" s="92">
        <f t="shared" ref="E9:E20" si="2">SUM(C9:D9)</f>
        <v>23449.31</v>
      </c>
      <c r="F9" s="97"/>
      <c r="G9" s="97"/>
      <c r="H9" s="92">
        <f t="shared" ref="H9:H20" si="3">C9-F9</f>
        <v>23466.63</v>
      </c>
      <c r="I9" s="91">
        <f t="shared" ref="I9:I21" si="4">D9-G9</f>
        <v>-17.319999999999997</v>
      </c>
      <c r="J9" s="92">
        <f t="shared" si="0"/>
        <v>344.95946099999998</v>
      </c>
      <c r="K9" s="92">
        <f t="shared" si="1"/>
        <v>114.98648699999998</v>
      </c>
      <c r="L9" s="92">
        <f t="shared" ref="L9:L20" si="5">H9</f>
        <v>23466.63</v>
      </c>
      <c r="M9" s="92">
        <f t="shared" ref="M9:M20" si="6">I9+J9+K9</f>
        <v>442.62594799999999</v>
      </c>
      <c r="N9" s="98">
        <f t="shared" ref="N9:N20" si="7">SUM(L9:M9)</f>
        <v>23909.255948000002</v>
      </c>
    </row>
    <row r="10" spans="1:14" x14ac:dyDescent="0.25">
      <c r="A10" s="10" t="s">
        <v>2</v>
      </c>
      <c r="B10" s="96">
        <v>1580</v>
      </c>
      <c r="C10" s="97">
        <v>-1067070.9500000002</v>
      </c>
      <c r="D10" s="108">
        <v>-22079.409999999996</v>
      </c>
      <c r="E10" s="92">
        <f t="shared" si="2"/>
        <v>-1089150.3600000001</v>
      </c>
      <c r="F10" s="97"/>
      <c r="G10" s="97"/>
      <c r="H10" s="92">
        <f t="shared" si="3"/>
        <v>-1067070.9500000002</v>
      </c>
      <c r="I10" s="91">
        <f t="shared" si="4"/>
        <v>-22079.409999999996</v>
      </c>
      <c r="J10" s="92">
        <f t="shared" si="0"/>
        <v>-15685.942965000002</v>
      </c>
      <c r="K10" s="92">
        <f t="shared" si="1"/>
        <v>-5228.6476550000007</v>
      </c>
      <c r="L10" s="92">
        <f t="shared" si="5"/>
        <v>-1067070.9500000002</v>
      </c>
      <c r="M10" s="92">
        <f t="shared" si="6"/>
        <v>-42994.000619999999</v>
      </c>
      <c r="N10" s="98">
        <f t="shared" si="7"/>
        <v>-1110064.9506200003</v>
      </c>
    </row>
    <row r="11" spans="1:14" x14ac:dyDescent="0.25">
      <c r="A11" s="10" t="s">
        <v>3</v>
      </c>
      <c r="B11" s="96">
        <v>1584</v>
      </c>
      <c r="C11" s="97">
        <v>331795.74</v>
      </c>
      <c r="D11" s="108">
        <v>4552.09</v>
      </c>
      <c r="E11" s="92">
        <f t="shared" si="2"/>
        <v>336347.83</v>
      </c>
      <c r="F11" s="97"/>
      <c r="G11" s="97"/>
      <c r="H11" s="92">
        <f t="shared" si="3"/>
        <v>331795.74</v>
      </c>
      <c r="I11" s="91">
        <f t="shared" si="4"/>
        <v>4552.09</v>
      </c>
      <c r="J11" s="92">
        <f t="shared" si="0"/>
        <v>4877.3973779999997</v>
      </c>
      <c r="K11" s="92">
        <f t="shared" si="1"/>
        <v>1625.7991259999999</v>
      </c>
      <c r="L11" s="92">
        <f t="shared" si="5"/>
        <v>331795.74</v>
      </c>
      <c r="M11" s="92">
        <f t="shared" si="6"/>
        <v>11055.286504</v>
      </c>
      <c r="N11" s="98">
        <f t="shared" si="7"/>
        <v>342851.02650400001</v>
      </c>
    </row>
    <row r="12" spans="1:14" x14ac:dyDescent="0.25">
      <c r="A12" s="10" t="s">
        <v>4</v>
      </c>
      <c r="B12" s="96">
        <v>1586</v>
      </c>
      <c r="C12" s="97">
        <v>993705.77399999986</v>
      </c>
      <c r="D12" s="108">
        <v>13393.010000000004</v>
      </c>
      <c r="E12" s="92">
        <f t="shared" si="2"/>
        <v>1007098.7839999999</v>
      </c>
      <c r="F12" s="97"/>
      <c r="G12" s="97"/>
      <c r="H12" s="92">
        <f t="shared" si="3"/>
        <v>993705.77399999986</v>
      </c>
      <c r="I12" s="91">
        <f t="shared" si="4"/>
        <v>13393.010000000004</v>
      </c>
      <c r="J12" s="92">
        <f t="shared" si="0"/>
        <v>14607.474877799998</v>
      </c>
      <c r="K12" s="92">
        <f t="shared" si="1"/>
        <v>4869.1582925999992</v>
      </c>
      <c r="L12" s="92">
        <f t="shared" si="5"/>
        <v>993705.77399999986</v>
      </c>
      <c r="M12" s="92">
        <f t="shared" si="6"/>
        <v>32869.643170399999</v>
      </c>
      <c r="N12" s="98">
        <f t="shared" si="7"/>
        <v>1026575.4171703998</v>
      </c>
    </row>
    <row r="13" spans="1:14" x14ac:dyDescent="0.25">
      <c r="A13" s="10" t="s">
        <v>5</v>
      </c>
      <c r="B13" s="96">
        <v>1588</v>
      </c>
      <c r="C13" s="97">
        <v>674726.34000000032</v>
      </c>
      <c r="D13" s="108">
        <v>9703.8900000000031</v>
      </c>
      <c r="E13" s="92">
        <f t="shared" si="2"/>
        <v>684430.23000000033</v>
      </c>
      <c r="F13" s="97"/>
      <c r="G13" s="97"/>
      <c r="H13" s="92">
        <f t="shared" si="3"/>
        <v>674726.34000000032</v>
      </c>
      <c r="I13" s="91">
        <f t="shared" si="4"/>
        <v>9703.8900000000031</v>
      </c>
      <c r="J13" s="92">
        <f t="shared" si="0"/>
        <v>9918.4771980000041</v>
      </c>
      <c r="K13" s="92">
        <f t="shared" si="1"/>
        <v>3306.1590660000011</v>
      </c>
      <c r="L13" s="92">
        <f t="shared" si="5"/>
        <v>674726.34000000032</v>
      </c>
      <c r="M13" s="92">
        <f t="shared" si="6"/>
        <v>22928.526264000007</v>
      </c>
      <c r="N13" s="98">
        <f t="shared" si="7"/>
        <v>697654.8662640003</v>
      </c>
    </row>
    <row r="14" spans="1:14" x14ac:dyDescent="0.25">
      <c r="A14" s="10" t="s">
        <v>6</v>
      </c>
      <c r="B14" s="96">
        <v>1589</v>
      </c>
      <c r="C14" s="97">
        <v>515790.30000000028</v>
      </c>
      <c r="D14" s="108">
        <v>6120.8600000000006</v>
      </c>
      <c r="E14" s="92">
        <f t="shared" si="2"/>
        <v>521911.16000000027</v>
      </c>
      <c r="F14" s="97"/>
      <c r="G14" s="97"/>
      <c r="H14" s="92">
        <f t="shared" si="3"/>
        <v>515790.30000000028</v>
      </c>
      <c r="I14" s="91">
        <f t="shared" si="4"/>
        <v>6120.8600000000006</v>
      </c>
      <c r="J14" s="92">
        <f t="shared" si="0"/>
        <v>7582.1174100000035</v>
      </c>
      <c r="K14" s="92">
        <f t="shared" si="1"/>
        <v>2527.3724700000012</v>
      </c>
      <c r="L14" s="92">
        <f t="shared" si="5"/>
        <v>515790.30000000028</v>
      </c>
      <c r="M14" s="92">
        <f t="shared" si="6"/>
        <v>16230.349880000005</v>
      </c>
      <c r="N14" s="98">
        <f t="shared" si="7"/>
        <v>532020.64988000027</v>
      </c>
    </row>
    <row r="15" spans="1:14" x14ac:dyDescent="0.25">
      <c r="A15" s="10" t="s">
        <v>7</v>
      </c>
      <c r="B15" s="96">
        <v>1590</v>
      </c>
      <c r="C15" s="97">
        <v>0</v>
      </c>
      <c r="D15" s="97">
        <v>0</v>
      </c>
      <c r="E15" s="92">
        <f t="shared" si="2"/>
        <v>0</v>
      </c>
      <c r="F15" s="97"/>
      <c r="G15" s="97"/>
      <c r="H15" s="92">
        <f t="shared" si="3"/>
        <v>0</v>
      </c>
      <c r="I15" s="91">
        <f t="shared" si="4"/>
        <v>0</v>
      </c>
      <c r="J15" s="92"/>
      <c r="K15" s="92"/>
      <c r="L15" s="92">
        <f t="shared" si="5"/>
        <v>0</v>
      </c>
      <c r="M15" s="92">
        <f t="shared" si="6"/>
        <v>0</v>
      </c>
      <c r="N15" s="98">
        <f t="shared" si="7"/>
        <v>0</v>
      </c>
    </row>
    <row r="16" spans="1:14" x14ac:dyDescent="0.25">
      <c r="A16" s="10" t="s">
        <v>48</v>
      </c>
      <c r="B16" s="96">
        <v>1595</v>
      </c>
      <c r="C16" s="97">
        <v>0</v>
      </c>
      <c r="D16" s="97">
        <v>0</v>
      </c>
      <c r="E16" s="92">
        <f t="shared" si="2"/>
        <v>0</v>
      </c>
      <c r="F16" s="97"/>
      <c r="G16" s="97"/>
      <c r="H16" s="92">
        <f t="shared" si="3"/>
        <v>0</v>
      </c>
      <c r="I16" s="91">
        <f t="shared" si="4"/>
        <v>0</v>
      </c>
      <c r="J16" s="92"/>
      <c r="K16" s="92"/>
      <c r="L16" s="92">
        <f t="shared" si="5"/>
        <v>0</v>
      </c>
      <c r="M16" s="92">
        <f t="shared" si="6"/>
        <v>0</v>
      </c>
      <c r="N16" s="98">
        <f t="shared" si="7"/>
        <v>0</v>
      </c>
    </row>
    <row r="17" spans="1:14" x14ac:dyDescent="0.25">
      <c r="A17" s="10" t="s">
        <v>49</v>
      </c>
      <c r="B17" s="96">
        <v>1595</v>
      </c>
      <c r="C17" s="97">
        <v>0</v>
      </c>
      <c r="D17" s="97">
        <v>0</v>
      </c>
      <c r="E17" s="92">
        <f t="shared" si="2"/>
        <v>0</v>
      </c>
      <c r="F17" s="97"/>
      <c r="G17" s="97"/>
      <c r="H17" s="92">
        <f t="shared" si="3"/>
        <v>0</v>
      </c>
      <c r="I17" s="91">
        <f t="shared" si="4"/>
        <v>0</v>
      </c>
      <c r="J17" s="92"/>
      <c r="K17" s="92"/>
      <c r="L17" s="92">
        <f t="shared" si="5"/>
        <v>0</v>
      </c>
      <c r="M17" s="92">
        <f t="shared" si="6"/>
        <v>0</v>
      </c>
      <c r="N17" s="98">
        <f t="shared" si="7"/>
        <v>0</v>
      </c>
    </row>
    <row r="18" spans="1:14" x14ac:dyDescent="0.25">
      <c r="A18" s="10" t="s">
        <v>50</v>
      </c>
      <c r="B18" s="96">
        <v>1595</v>
      </c>
      <c r="C18" s="97">
        <v>-387723.27</v>
      </c>
      <c r="D18" s="97">
        <v>0</v>
      </c>
      <c r="E18" s="92">
        <f t="shared" si="2"/>
        <v>-387723.27</v>
      </c>
      <c r="F18" s="97"/>
      <c r="G18" s="97"/>
      <c r="H18" s="92">
        <f t="shared" si="3"/>
        <v>-387723.27</v>
      </c>
      <c r="I18" s="91">
        <f t="shared" si="4"/>
        <v>0</v>
      </c>
      <c r="J18" s="92"/>
      <c r="K18" s="92"/>
      <c r="L18" s="92">
        <f t="shared" si="5"/>
        <v>-387723.27</v>
      </c>
      <c r="M18" s="92">
        <f t="shared" si="6"/>
        <v>0</v>
      </c>
      <c r="N18" s="98">
        <f t="shared" si="7"/>
        <v>-387723.27</v>
      </c>
    </row>
    <row r="19" spans="1:14" x14ac:dyDescent="0.25">
      <c r="A19" s="10" t="s">
        <v>51</v>
      </c>
      <c r="B19" s="96">
        <v>1595</v>
      </c>
      <c r="C19" s="97">
        <v>0</v>
      </c>
      <c r="D19" s="97">
        <v>0</v>
      </c>
      <c r="E19" s="92">
        <f t="shared" si="2"/>
        <v>0</v>
      </c>
      <c r="F19" s="97"/>
      <c r="G19" s="97"/>
      <c r="H19" s="92">
        <f t="shared" si="3"/>
        <v>0</v>
      </c>
      <c r="I19" s="91">
        <f t="shared" si="4"/>
        <v>0</v>
      </c>
      <c r="J19" s="92"/>
      <c r="K19" s="92"/>
      <c r="L19" s="92">
        <f t="shared" si="5"/>
        <v>0</v>
      </c>
      <c r="M19" s="92">
        <f t="shared" si="6"/>
        <v>0</v>
      </c>
      <c r="N19" s="98">
        <f t="shared" si="7"/>
        <v>0</v>
      </c>
    </row>
    <row r="20" spans="1:14" x14ac:dyDescent="0.25">
      <c r="A20" s="10" t="s">
        <v>52</v>
      </c>
      <c r="B20" s="96">
        <v>1595</v>
      </c>
      <c r="C20" s="97">
        <v>41487.589999999967</v>
      </c>
      <c r="D20" s="97">
        <v>0</v>
      </c>
      <c r="E20" s="92">
        <f t="shared" si="2"/>
        <v>41487.589999999967</v>
      </c>
      <c r="F20" s="97"/>
      <c r="G20" s="97"/>
      <c r="H20" s="92">
        <f t="shared" si="3"/>
        <v>41487.589999999967</v>
      </c>
      <c r="I20" s="91">
        <f t="shared" si="4"/>
        <v>0</v>
      </c>
      <c r="J20" s="92"/>
      <c r="K20" s="92"/>
      <c r="L20" s="92">
        <f t="shared" si="5"/>
        <v>41487.589999999967</v>
      </c>
      <c r="M20" s="92">
        <f t="shared" si="6"/>
        <v>0</v>
      </c>
      <c r="N20" s="98">
        <f t="shared" si="7"/>
        <v>41487.589999999967</v>
      </c>
    </row>
    <row r="21" spans="1:14" x14ac:dyDescent="0.25">
      <c r="A21" s="16" t="s">
        <v>56</v>
      </c>
      <c r="B21" s="104">
        <v>1568</v>
      </c>
      <c r="C21" s="105">
        <f>100142.33+0.66</f>
        <v>100142.99</v>
      </c>
      <c r="D21" s="105">
        <v>3458.67</v>
      </c>
      <c r="E21" s="93">
        <f t="shared" ref="E21" si="8">SUM(C21:D21)</f>
        <v>103601.66</v>
      </c>
      <c r="F21" s="105"/>
      <c r="G21" s="105"/>
      <c r="H21" s="93">
        <f t="shared" ref="H21" si="9">C21-F21</f>
        <v>100142.99</v>
      </c>
      <c r="I21" s="91">
        <f t="shared" si="4"/>
        <v>3458.67</v>
      </c>
      <c r="J21" s="93"/>
      <c r="K21" s="93"/>
      <c r="L21" s="93">
        <f t="shared" ref="L21" si="10">H21</f>
        <v>100142.99</v>
      </c>
      <c r="M21" s="93">
        <f t="shared" ref="M21" si="11">I21+J21+K21</f>
        <v>3458.67</v>
      </c>
      <c r="N21" s="106">
        <f t="shared" ref="N21" si="12">SUM(L21:M21)</f>
        <v>103601.66</v>
      </c>
    </row>
    <row r="22" spans="1:14" x14ac:dyDescent="0.25">
      <c r="A22" s="110" t="s">
        <v>53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</row>
    <row r="23" spans="1:14" x14ac:dyDescent="0.25">
      <c r="A23" s="11" t="s">
        <v>0</v>
      </c>
      <c r="B23" s="107">
        <v>1550</v>
      </c>
      <c r="C23" s="108">
        <v>252725.90658425473</v>
      </c>
      <c r="D23" s="108">
        <v>8341.1369892233379</v>
      </c>
      <c r="E23" s="91">
        <f>SUM(C23:D23)</f>
        <v>261067.04357347806</v>
      </c>
      <c r="F23" s="108">
        <v>175791.06</v>
      </c>
      <c r="G23" s="108">
        <v>8065.0472599999994</v>
      </c>
      <c r="H23" s="91">
        <f>C23-F23</f>
        <v>76934.84658425473</v>
      </c>
      <c r="I23" s="91">
        <f>D23-G23</f>
        <v>276.08972922333851</v>
      </c>
      <c r="J23" s="91">
        <f t="shared" ref="J23:J29" si="13">H23*1.47%</f>
        <v>1130.9422447885445</v>
      </c>
      <c r="K23" s="91">
        <f t="shared" ref="K23:K29" si="14">H23*1.47%*(4/12)</f>
        <v>376.98074826284812</v>
      </c>
      <c r="L23" s="91">
        <f>H23</f>
        <v>76934.84658425473</v>
      </c>
      <c r="M23" s="91">
        <f>I23+J23+K23</f>
        <v>1784.012722274731</v>
      </c>
      <c r="N23" s="109">
        <f>SUM(L23:M23)</f>
        <v>78718.859306529455</v>
      </c>
    </row>
    <row r="24" spans="1:14" x14ac:dyDescent="0.25">
      <c r="A24" s="10" t="s">
        <v>1</v>
      </c>
      <c r="B24" s="96">
        <v>1551</v>
      </c>
      <c r="C24" s="97">
        <v>4800.6872412959628</v>
      </c>
      <c r="D24" s="97">
        <v>5.82994220928909</v>
      </c>
      <c r="E24" s="92">
        <f t="shared" ref="E24:E35" si="15">SUM(C24:D24)</f>
        <v>4806.5171835052515</v>
      </c>
      <c r="F24" s="97"/>
      <c r="G24" s="97"/>
      <c r="H24" s="92">
        <f t="shared" ref="H24:H35" si="16">C24-F24</f>
        <v>4800.6872412959628</v>
      </c>
      <c r="I24" s="92">
        <f t="shared" ref="I24:I35" si="17">D24-G24</f>
        <v>5.82994220928909</v>
      </c>
      <c r="J24" s="92">
        <f t="shared" si="13"/>
        <v>70.570102447050658</v>
      </c>
      <c r="K24" s="92">
        <f t="shared" si="14"/>
        <v>23.523367482350217</v>
      </c>
      <c r="L24" s="92">
        <f t="shared" ref="L24:L35" si="18">H24</f>
        <v>4800.6872412959628</v>
      </c>
      <c r="M24" s="92">
        <f t="shared" ref="M24:M35" si="19">I24+J24+K24</f>
        <v>99.923412138689969</v>
      </c>
      <c r="N24" s="98">
        <f t="shared" ref="N24:N35" si="20">SUM(L24:M24)</f>
        <v>4900.6106534346527</v>
      </c>
    </row>
    <row r="25" spans="1:14" x14ac:dyDescent="0.25">
      <c r="A25" s="10" t="s">
        <v>2</v>
      </c>
      <c r="B25" s="96">
        <v>1580</v>
      </c>
      <c r="C25" s="97">
        <v>-337937.53614506288</v>
      </c>
      <c r="D25" s="97">
        <v>-5636.5178530341109</v>
      </c>
      <c r="E25" s="92">
        <f t="shared" si="15"/>
        <v>-343574.05399809702</v>
      </c>
      <c r="F25" s="97">
        <v>-198712.80000000008</v>
      </c>
      <c r="G25" s="97">
        <v>-5590.7605879999874</v>
      </c>
      <c r="H25" s="92">
        <f t="shared" si="16"/>
        <v>-139224.73614506281</v>
      </c>
      <c r="I25" s="92">
        <f t="shared" si="17"/>
        <v>-45.75726503412352</v>
      </c>
      <c r="J25" s="92">
        <f t="shared" si="13"/>
        <v>-2046.6036213324232</v>
      </c>
      <c r="K25" s="92">
        <f t="shared" si="14"/>
        <v>-682.20120711080767</v>
      </c>
      <c r="L25" s="92">
        <f t="shared" si="18"/>
        <v>-139224.73614506281</v>
      </c>
      <c r="M25" s="92">
        <f t="shared" si="19"/>
        <v>-2774.5620934773542</v>
      </c>
      <c r="N25" s="98">
        <f t="shared" si="20"/>
        <v>-141999.29823854016</v>
      </c>
    </row>
    <row r="26" spans="1:14" x14ac:dyDescent="0.25">
      <c r="A26" s="10" t="s">
        <v>3</v>
      </c>
      <c r="B26" s="96">
        <v>1584</v>
      </c>
      <c r="C26" s="97">
        <v>-43421.945951248301</v>
      </c>
      <c r="D26" s="97">
        <v>-390.49651484034439</v>
      </c>
      <c r="E26" s="92">
        <f t="shared" si="15"/>
        <v>-43812.442466088643</v>
      </c>
      <c r="F26" s="97">
        <v>-47360.38</v>
      </c>
      <c r="G26" s="97">
        <v>-681.85459600000024</v>
      </c>
      <c r="H26" s="92">
        <f t="shared" si="16"/>
        <v>3938.4340487516965</v>
      </c>
      <c r="I26" s="92">
        <f t="shared" si="17"/>
        <v>291.35808115965585</v>
      </c>
      <c r="J26" s="92">
        <f t="shared" si="13"/>
        <v>57.894980516649937</v>
      </c>
      <c r="K26" s="92">
        <f t="shared" si="14"/>
        <v>19.298326838883312</v>
      </c>
      <c r="L26" s="92">
        <f t="shared" si="18"/>
        <v>3938.4340487516965</v>
      </c>
      <c r="M26" s="92">
        <f t="shared" si="19"/>
        <v>368.5513885151891</v>
      </c>
      <c r="N26" s="98">
        <f t="shared" si="20"/>
        <v>4306.985437266886</v>
      </c>
    </row>
    <row r="27" spans="1:14" x14ac:dyDescent="0.25">
      <c r="A27" s="10" t="s">
        <v>4</v>
      </c>
      <c r="B27" s="96">
        <v>1586</v>
      </c>
      <c r="C27" s="97">
        <v>137984.93835503835</v>
      </c>
      <c r="D27" s="97">
        <v>686.07851934532687</v>
      </c>
      <c r="E27" s="92">
        <f t="shared" si="15"/>
        <v>138671.01687438367</v>
      </c>
      <c r="F27" s="97">
        <v>8465.890000000014</v>
      </c>
      <c r="G27" s="97">
        <v>55.222755999994639</v>
      </c>
      <c r="H27" s="92">
        <f t="shared" si="16"/>
        <v>129519.04835503834</v>
      </c>
      <c r="I27" s="92">
        <f t="shared" si="17"/>
        <v>630.85576334533221</v>
      </c>
      <c r="J27" s="92">
        <f t="shared" si="13"/>
        <v>1903.9300108190635</v>
      </c>
      <c r="K27" s="92">
        <f t="shared" si="14"/>
        <v>634.64333693968774</v>
      </c>
      <c r="L27" s="92">
        <f t="shared" si="18"/>
        <v>129519.04835503834</v>
      </c>
      <c r="M27" s="92">
        <f t="shared" si="19"/>
        <v>3169.4291111040834</v>
      </c>
      <c r="N27" s="98">
        <f t="shared" si="20"/>
        <v>132688.47746614242</v>
      </c>
    </row>
    <row r="28" spans="1:14" x14ac:dyDescent="0.25">
      <c r="A28" s="10" t="s">
        <v>5</v>
      </c>
      <c r="B28" s="96">
        <v>1588</v>
      </c>
      <c r="C28" s="97">
        <v>147555.95885250403</v>
      </c>
      <c r="D28" s="97">
        <v>3708.1388860070247</v>
      </c>
      <c r="E28" s="92">
        <f t="shared" si="15"/>
        <v>151264.09773851105</v>
      </c>
      <c r="F28" s="97">
        <v>-60642.16</v>
      </c>
      <c r="G28" s="97">
        <v>-631.48855599997637</v>
      </c>
      <c r="H28" s="92">
        <f t="shared" si="16"/>
        <v>208198.11885250403</v>
      </c>
      <c r="I28" s="92">
        <f t="shared" si="17"/>
        <v>4339.6274420070013</v>
      </c>
      <c r="J28" s="92">
        <f t="shared" si="13"/>
        <v>3060.5123471318093</v>
      </c>
      <c r="K28" s="92">
        <f t="shared" si="14"/>
        <v>1020.1707823772697</v>
      </c>
      <c r="L28" s="92">
        <f t="shared" si="18"/>
        <v>208198.11885250403</v>
      </c>
      <c r="M28" s="92">
        <f t="shared" si="19"/>
        <v>8420.31057151608</v>
      </c>
      <c r="N28" s="98">
        <f t="shared" si="20"/>
        <v>216618.42942402011</v>
      </c>
    </row>
    <row r="29" spans="1:14" x14ac:dyDescent="0.25">
      <c r="A29" s="10" t="s">
        <v>6</v>
      </c>
      <c r="B29" s="96">
        <v>1589</v>
      </c>
      <c r="C29" s="97">
        <v>-201659.40017165162</v>
      </c>
      <c r="D29" s="97">
        <v>-3435.8676343263669</v>
      </c>
      <c r="E29" s="92">
        <f t="shared" si="15"/>
        <v>-205095.26780597799</v>
      </c>
      <c r="F29" s="97">
        <v>-128282.09</v>
      </c>
      <c r="G29" s="97">
        <v>-3895.172816000013</v>
      </c>
      <c r="H29" s="92">
        <f t="shared" si="16"/>
        <v>-73377.310171651625</v>
      </c>
      <c r="I29" s="92">
        <f t="shared" si="17"/>
        <v>459.30518167364608</v>
      </c>
      <c r="J29" s="92">
        <f t="shared" si="13"/>
        <v>-1078.646459523279</v>
      </c>
      <c r="K29" s="92">
        <f t="shared" si="14"/>
        <v>-359.54881984109295</v>
      </c>
      <c r="L29" s="92">
        <f t="shared" si="18"/>
        <v>-73377.310171651625</v>
      </c>
      <c r="M29" s="92">
        <f t="shared" si="19"/>
        <v>-978.89009769072584</v>
      </c>
      <c r="N29" s="98">
        <f t="shared" si="20"/>
        <v>-74356.200269342356</v>
      </c>
    </row>
    <row r="30" spans="1:14" x14ac:dyDescent="0.25">
      <c r="A30" s="10" t="s">
        <v>7</v>
      </c>
      <c r="B30" s="96">
        <v>1590</v>
      </c>
      <c r="C30" s="97">
        <v>0</v>
      </c>
      <c r="D30" s="97">
        <v>0</v>
      </c>
      <c r="E30" s="92">
        <f t="shared" si="15"/>
        <v>0</v>
      </c>
      <c r="F30" s="97"/>
      <c r="G30" s="97"/>
      <c r="H30" s="92">
        <f t="shared" si="16"/>
        <v>0</v>
      </c>
      <c r="I30" s="92">
        <f t="shared" si="17"/>
        <v>0</v>
      </c>
      <c r="J30" s="92"/>
      <c r="K30" s="92"/>
      <c r="L30" s="92">
        <f t="shared" si="18"/>
        <v>0</v>
      </c>
      <c r="M30" s="92">
        <f t="shared" si="19"/>
        <v>0</v>
      </c>
      <c r="N30" s="98">
        <f t="shared" si="20"/>
        <v>0</v>
      </c>
    </row>
    <row r="31" spans="1:14" x14ac:dyDescent="0.25">
      <c r="A31" s="10" t="s">
        <v>48</v>
      </c>
      <c r="B31" s="96">
        <v>1595</v>
      </c>
      <c r="C31" s="97">
        <v>0</v>
      </c>
      <c r="D31" s="97">
        <v>0</v>
      </c>
      <c r="E31" s="92">
        <f t="shared" si="15"/>
        <v>0</v>
      </c>
      <c r="F31" s="97"/>
      <c r="G31" s="97"/>
      <c r="H31" s="92">
        <f t="shared" si="16"/>
        <v>0</v>
      </c>
      <c r="I31" s="92">
        <f t="shared" si="17"/>
        <v>0</v>
      </c>
      <c r="J31" s="92"/>
      <c r="K31" s="92"/>
      <c r="L31" s="92">
        <f t="shared" si="18"/>
        <v>0</v>
      </c>
      <c r="M31" s="92">
        <f t="shared" si="19"/>
        <v>0</v>
      </c>
      <c r="N31" s="98">
        <f t="shared" si="20"/>
        <v>0</v>
      </c>
    </row>
    <row r="32" spans="1:14" x14ac:dyDescent="0.25">
      <c r="A32" s="10" t="s">
        <v>49</v>
      </c>
      <c r="B32" s="96">
        <v>1595</v>
      </c>
      <c r="C32" s="97">
        <v>0</v>
      </c>
      <c r="D32" s="97">
        <v>0</v>
      </c>
      <c r="E32" s="92">
        <f t="shared" si="15"/>
        <v>0</v>
      </c>
      <c r="F32" s="97"/>
      <c r="G32" s="97"/>
      <c r="H32" s="92">
        <f t="shared" si="16"/>
        <v>0</v>
      </c>
      <c r="I32" s="92">
        <f t="shared" si="17"/>
        <v>0</v>
      </c>
      <c r="J32" s="92"/>
      <c r="K32" s="92"/>
      <c r="L32" s="92">
        <f t="shared" si="18"/>
        <v>0</v>
      </c>
      <c r="M32" s="92">
        <f t="shared" si="19"/>
        <v>0</v>
      </c>
      <c r="N32" s="98">
        <f t="shared" si="20"/>
        <v>0</v>
      </c>
    </row>
    <row r="33" spans="1:14" x14ac:dyDescent="0.25">
      <c r="A33" s="10" t="s">
        <v>50</v>
      </c>
      <c r="B33" s="96">
        <v>1595</v>
      </c>
      <c r="C33" s="97">
        <v>0</v>
      </c>
      <c r="D33" s="97">
        <v>0</v>
      </c>
      <c r="E33" s="92">
        <f t="shared" si="15"/>
        <v>0</v>
      </c>
      <c r="F33" s="97"/>
      <c r="G33" s="97"/>
      <c r="H33" s="92">
        <f t="shared" si="16"/>
        <v>0</v>
      </c>
      <c r="I33" s="92">
        <f t="shared" si="17"/>
        <v>0</v>
      </c>
      <c r="J33" s="92"/>
      <c r="K33" s="92"/>
      <c r="L33" s="92">
        <f t="shared" si="18"/>
        <v>0</v>
      </c>
      <c r="M33" s="92">
        <f t="shared" si="19"/>
        <v>0</v>
      </c>
      <c r="N33" s="98">
        <f t="shared" si="20"/>
        <v>0</v>
      </c>
    </row>
    <row r="34" spans="1:14" x14ac:dyDescent="0.25">
      <c r="A34" s="10" t="s">
        <v>51</v>
      </c>
      <c r="B34" s="96">
        <v>1595</v>
      </c>
      <c r="C34" s="97">
        <v>0</v>
      </c>
      <c r="D34" s="97">
        <v>0</v>
      </c>
      <c r="E34" s="92">
        <f t="shared" si="15"/>
        <v>0</v>
      </c>
      <c r="F34" s="97"/>
      <c r="G34" s="97"/>
      <c r="H34" s="92">
        <f t="shared" si="16"/>
        <v>0</v>
      </c>
      <c r="I34" s="92">
        <f t="shared" si="17"/>
        <v>0</v>
      </c>
      <c r="J34" s="92"/>
      <c r="K34" s="92"/>
      <c r="L34" s="92">
        <f t="shared" si="18"/>
        <v>0</v>
      </c>
      <c r="M34" s="92">
        <f t="shared" si="19"/>
        <v>0</v>
      </c>
      <c r="N34" s="98">
        <f t="shared" si="20"/>
        <v>0</v>
      </c>
    </row>
    <row r="35" spans="1:14" x14ac:dyDescent="0.25">
      <c r="A35" s="16" t="s">
        <v>52</v>
      </c>
      <c r="B35" s="104">
        <v>1595</v>
      </c>
      <c r="C35" s="105">
        <v>-6560.8600000000079</v>
      </c>
      <c r="D35" s="105">
        <v>0</v>
      </c>
      <c r="E35" s="93">
        <f t="shared" si="15"/>
        <v>-6560.8600000000079</v>
      </c>
      <c r="F35" s="105"/>
      <c r="G35" s="105"/>
      <c r="H35" s="93">
        <f t="shared" si="16"/>
        <v>-6560.8600000000079</v>
      </c>
      <c r="I35" s="93">
        <f t="shared" si="17"/>
        <v>0</v>
      </c>
      <c r="J35" s="93"/>
      <c r="K35" s="93"/>
      <c r="L35" s="93">
        <f t="shared" si="18"/>
        <v>-6560.8600000000079</v>
      </c>
      <c r="M35" s="93">
        <f t="shared" si="19"/>
        <v>0</v>
      </c>
      <c r="N35" s="106">
        <f t="shared" si="20"/>
        <v>-6560.8600000000079</v>
      </c>
    </row>
    <row r="36" spans="1:14" x14ac:dyDescent="0.25">
      <c r="A36" s="10" t="s">
        <v>56</v>
      </c>
      <c r="B36" s="96">
        <v>1568</v>
      </c>
      <c r="C36" s="97"/>
      <c r="D36" s="97"/>
      <c r="E36" s="92"/>
      <c r="F36" s="97"/>
      <c r="G36" s="97"/>
      <c r="H36" s="92"/>
      <c r="I36" s="92"/>
      <c r="J36" s="92"/>
      <c r="K36" s="92"/>
      <c r="L36" s="92"/>
      <c r="M36" s="92"/>
      <c r="N36" s="98"/>
    </row>
    <row r="37" spans="1:14" x14ac:dyDescent="0.25">
      <c r="A37" s="110" t="s">
        <v>69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/>
    </row>
    <row r="38" spans="1:14" x14ac:dyDescent="0.25">
      <c r="A38" s="11" t="s">
        <v>0</v>
      </c>
      <c r="B38" s="107">
        <v>1550</v>
      </c>
      <c r="C38" s="108">
        <v>16886.008449313013</v>
      </c>
      <c r="D38" s="108">
        <v>-246.57584612245864</v>
      </c>
      <c r="E38" s="91">
        <f>SUM(C38:D38)</f>
        <v>16639.432603190555</v>
      </c>
      <c r="F38" s="108">
        <v>13929.260000000009</v>
      </c>
      <c r="G38" s="108">
        <v>-116.59000000000044</v>
      </c>
      <c r="H38" s="91">
        <f>C38-F38</f>
        <v>2956.7484493130032</v>
      </c>
      <c r="I38" s="91">
        <f>D38-G38</f>
        <v>-129.98584612245821</v>
      </c>
      <c r="J38" s="91">
        <f t="shared" ref="J38:J44" si="21">H38*1.47%</f>
        <v>43.464202204901149</v>
      </c>
      <c r="K38" s="91">
        <f t="shared" ref="K38:K44" si="22">H38*1.47%*(4/12)</f>
        <v>14.488067401633716</v>
      </c>
      <c r="L38" s="91">
        <f>H38</f>
        <v>2956.7484493130032</v>
      </c>
      <c r="M38" s="91">
        <f>I38+J38+K38</f>
        <v>-72.033576515923357</v>
      </c>
      <c r="N38" s="109">
        <f>SUM(L38:M38)</f>
        <v>2884.7148727970798</v>
      </c>
    </row>
    <row r="39" spans="1:14" x14ac:dyDescent="0.25">
      <c r="A39" s="10" t="s">
        <v>1</v>
      </c>
      <c r="B39" s="96">
        <v>1551</v>
      </c>
      <c r="C39" s="97">
        <v>184.49928980872934</v>
      </c>
      <c r="D39" s="97">
        <v>0.22405546189036971</v>
      </c>
      <c r="E39" s="92">
        <f t="shared" ref="E39:E50" si="23">SUM(C39:D39)</f>
        <v>184.72334527061972</v>
      </c>
      <c r="F39" s="97"/>
      <c r="G39" s="97"/>
      <c r="H39" s="92">
        <f t="shared" ref="H39:H50" si="24">C39-F39</f>
        <v>184.49928980872934</v>
      </c>
      <c r="I39" s="92">
        <f t="shared" ref="I39:I50" si="25">D39-G39</f>
        <v>0.22405546189036971</v>
      </c>
      <c r="J39" s="92">
        <f t="shared" si="21"/>
        <v>2.7121395601883211</v>
      </c>
      <c r="K39" s="92">
        <f t="shared" si="22"/>
        <v>0.90404652006277364</v>
      </c>
      <c r="L39" s="92">
        <f t="shared" ref="L39:L50" si="26">H39</f>
        <v>184.49928980872934</v>
      </c>
      <c r="M39" s="92">
        <f t="shared" ref="M39:M50" si="27">I39+J39+K39</f>
        <v>3.8402415421414648</v>
      </c>
      <c r="N39" s="98">
        <f t="shared" ref="N39:N50" si="28">SUM(L39:M39)</f>
        <v>188.3395313508708</v>
      </c>
    </row>
    <row r="40" spans="1:14" x14ac:dyDescent="0.25">
      <c r="A40" s="10" t="s">
        <v>2</v>
      </c>
      <c r="B40" s="96">
        <v>1580</v>
      </c>
      <c r="C40" s="97">
        <v>-21096.194113590027</v>
      </c>
      <c r="D40" s="97">
        <v>-533.36924082950668</v>
      </c>
      <c r="E40" s="92">
        <f t="shared" si="23"/>
        <v>-21629.563354419533</v>
      </c>
      <c r="F40" s="97">
        <v>-15745.530000000002</v>
      </c>
      <c r="G40" s="97">
        <v>-690.53984399999968</v>
      </c>
      <c r="H40" s="92">
        <f t="shared" si="24"/>
        <v>-5350.6641135900245</v>
      </c>
      <c r="I40" s="92">
        <f t="shared" si="25"/>
        <v>157.170603170493</v>
      </c>
      <c r="J40" s="92">
        <f t="shared" si="21"/>
        <v>-78.65476246977336</v>
      </c>
      <c r="K40" s="92">
        <f t="shared" si="22"/>
        <v>-26.218254156591119</v>
      </c>
      <c r="L40" s="92">
        <f t="shared" si="26"/>
        <v>-5350.6641135900245</v>
      </c>
      <c r="M40" s="92">
        <f t="shared" si="27"/>
        <v>52.297586544128521</v>
      </c>
      <c r="N40" s="98">
        <f t="shared" si="28"/>
        <v>-5298.366527045896</v>
      </c>
    </row>
    <row r="41" spans="1:14" x14ac:dyDescent="0.25">
      <c r="A41" s="10" t="s">
        <v>3</v>
      </c>
      <c r="B41" s="96">
        <v>1584</v>
      </c>
      <c r="C41" s="97">
        <v>-3601.3586951637676</v>
      </c>
      <c r="D41" s="97">
        <v>-2.9553552379379653</v>
      </c>
      <c r="E41" s="92">
        <f t="shared" si="23"/>
        <v>-3604.3140504017056</v>
      </c>
      <c r="F41" s="97">
        <v>-3752.7199999999993</v>
      </c>
      <c r="G41" s="97">
        <v>-52.031216000000072</v>
      </c>
      <c r="H41" s="92">
        <f t="shared" si="24"/>
        <v>151.36130483623174</v>
      </c>
      <c r="I41" s="92">
        <f t="shared" si="25"/>
        <v>49.075860762062106</v>
      </c>
      <c r="J41" s="92">
        <f t="shared" si="21"/>
        <v>2.2250111810926065</v>
      </c>
      <c r="K41" s="92">
        <f t="shared" si="22"/>
        <v>0.74167039369753551</v>
      </c>
      <c r="L41" s="92">
        <f t="shared" si="26"/>
        <v>151.36130483623174</v>
      </c>
      <c r="M41" s="92">
        <f t="shared" si="27"/>
        <v>52.042542336852243</v>
      </c>
      <c r="N41" s="98">
        <f t="shared" si="28"/>
        <v>203.40384717308399</v>
      </c>
    </row>
    <row r="42" spans="1:14" x14ac:dyDescent="0.25">
      <c r="A42" s="10" t="s">
        <v>4</v>
      </c>
      <c r="B42" s="96">
        <v>1586</v>
      </c>
      <c r="C42" s="97">
        <v>5648.4765806349405</v>
      </c>
      <c r="D42" s="97">
        <v>105.58318207848978</v>
      </c>
      <c r="E42" s="92">
        <f t="shared" si="23"/>
        <v>5754.0597627134302</v>
      </c>
      <c r="F42" s="97">
        <v>670.81999999999971</v>
      </c>
      <c r="G42" s="97">
        <v>88.109247999999965</v>
      </c>
      <c r="H42" s="92">
        <f t="shared" si="24"/>
        <v>4977.6565806349408</v>
      </c>
      <c r="I42" s="92">
        <f t="shared" si="25"/>
        <v>17.473934078489819</v>
      </c>
      <c r="J42" s="92">
        <f t="shared" si="21"/>
        <v>73.171551735333622</v>
      </c>
      <c r="K42" s="92">
        <f t="shared" si="22"/>
        <v>24.390517245111205</v>
      </c>
      <c r="L42" s="92">
        <f t="shared" si="26"/>
        <v>4977.6565806349408</v>
      </c>
      <c r="M42" s="92">
        <f t="shared" si="27"/>
        <v>115.03600305893465</v>
      </c>
      <c r="N42" s="98">
        <f t="shared" si="28"/>
        <v>5092.6925836938753</v>
      </c>
    </row>
    <row r="43" spans="1:14" x14ac:dyDescent="0.25">
      <c r="A43" s="10" t="s">
        <v>5</v>
      </c>
      <c r="B43" s="96">
        <v>1588</v>
      </c>
      <c r="C43" s="97">
        <v>3196.2987809672995</v>
      </c>
      <c r="D43" s="97">
        <v>763.22094972153729</v>
      </c>
      <c r="E43" s="92">
        <f t="shared" si="23"/>
        <v>3959.5197306888367</v>
      </c>
      <c r="F43" s="97">
        <v>-4805.1399999999994</v>
      </c>
      <c r="G43" s="97">
        <v>547.93986800000152</v>
      </c>
      <c r="H43" s="92">
        <f t="shared" si="24"/>
        <v>8001.438780967299</v>
      </c>
      <c r="I43" s="92">
        <f t="shared" si="25"/>
        <v>215.28108172153577</v>
      </c>
      <c r="J43" s="92">
        <f t="shared" si="21"/>
        <v>117.62115008021929</v>
      </c>
      <c r="K43" s="92">
        <f t="shared" si="22"/>
        <v>39.207050026739765</v>
      </c>
      <c r="L43" s="92">
        <f t="shared" si="26"/>
        <v>8001.438780967299</v>
      </c>
      <c r="M43" s="92">
        <f t="shared" si="27"/>
        <v>372.10928182849483</v>
      </c>
      <c r="N43" s="98">
        <f t="shared" si="28"/>
        <v>8373.5480627957932</v>
      </c>
    </row>
    <row r="44" spans="1:14" x14ac:dyDescent="0.25">
      <c r="A44" s="10" t="s">
        <v>6</v>
      </c>
      <c r="B44" s="96">
        <v>1589</v>
      </c>
      <c r="C44" s="97">
        <v>-12108.24017488055</v>
      </c>
      <c r="D44" s="97">
        <v>-816.37528236193134</v>
      </c>
      <c r="E44" s="92">
        <f t="shared" si="23"/>
        <v>-12924.61545724248</v>
      </c>
      <c r="F44" s="97">
        <v>-11363.839999999997</v>
      </c>
      <c r="G44" s="97">
        <v>-1018.2586839999985</v>
      </c>
      <c r="H44" s="92">
        <f>C44-F44</f>
        <v>-744.4001748805531</v>
      </c>
      <c r="I44" s="92">
        <f t="shared" si="25"/>
        <v>201.8834016380672</v>
      </c>
      <c r="J44" s="92">
        <f t="shared" si="21"/>
        <v>-10.942682570744131</v>
      </c>
      <c r="K44" s="92">
        <f t="shared" si="22"/>
        <v>-3.6475608569147102</v>
      </c>
      <c r="L44" s="92">
        <f t="shared" si="26"/>
        <v>-744.4001748805531</v>
      </c>
      <c r="M44" s="92">
        <f t="shared" si="27"/>
        <v>187.29315821040836</v>
      </c>
      <c r="N44" s="98">
        <f t="shared" si="28"/>
        <v>-557.10701667014473</v>
      </c>
    </row>
    <row r="45" spans="1:14" x14ac:dyDescent="0.25">
      <c r="A45" s="10" t="s">
        <v>7</v>
      </c>
      <c r="B45" s="96">
        <v>1590</v>
      </c>
      <c r="C45" s="97">
        <v>6491.0299999999897</v>
      </c>
      <c r="D45" s="97">
        <v>0</v>
      </c>
      <c r="E45" s="92">
        <f t="shared" si="23"/>
        <v>6491.0299999999897</v>
      </c>
      <c r="F45" s="97">
        <v>6491.0299999999897</v>
      </c>
      <c r="G45" s="97">
        <v>0</v>
      </c>
      <c r="H45" s="92">
        <f t="shared" si="24"/>
        <v>0</v>
      </c>
      <c r="I45" s="92">
        <f t="shared" si="25"/>
        <v>0</v>
      </c>
      <c r="J45" s="92"/>
      <c r="K45" s="92"/>
      <c r="L45" s="92">
        <f t="shared" si="26"/>
        <v>0</v>
      </c>
      <c r="M45" s="92">
        <f t="shared" si="27"/>
        <v>0</v>
      </c>
      <c r="N45" s="98">
        <f t="shared" si="28"/>
        <v>0</v>
      </c>
    </row>
    <row r="46" spans="1:14" x14ac:dyDescent="0.25">
      <c r="A46" s="10" t="s">
        <v>48</v>
      </c>
      <c r="B46" s="96">
        <v>1595</v>
      </c>
      <c r="C46" s="97">
        <v>0</v>
      </c>
      <c r="D46" s="97">
        <v>0</v>
      </c>
      <c r="E46" s="92">
        <f t="shared" si="23"/>
        <v>0</v>
      </c>
      <c r="F46" s="97"/>
      <c r="G46" s="97"/>
      <c r="H46" s="92">
        <f t="shared" si="24"/>
        <v>0</v>
      </c>
      <c r="I46" s="92">
        <f t="shared" si="25"/>
        <v>0</v>
      </c>
      <c r="J46" s="92"/>
      <c r="K46" s="92"/>
      <c r="L46" s="92">
        <f t="shared" si="26"/>
        <v>0</v>
      </c>
      <c r="M46" s="92">
        <f t="shared" si="27"/>
        <v>0</v>
      </c>
      <c r="N46" s="98">
        <f t="shared" si="28"/>
        <v>0</v>
      </c>
    </row>
    <row r="47" spans="1:14" x14ac:dyDescent="0.25">
      <c r="A47" s="10" t="s">
        <v>49</v>
      </c>
      <c r="B47" s="96">
        <v>1595</v>
      </c>
      <c r="C47" s="97">
        <v>0</v>
      </c>
      <c r="D47" s="97">
        <v>0</v>
      </c>
      <c r="E47" s="92">
        <f t="shared" si="23"/>
        <v>0</v>
      </c>
      <c r="F47" s="97"/>
      <c r="G47" s="97"/>
      <c r="H47" s="92">
        <f t="shared" si="24"/>
        <v>0</v>
      </c>
      <c r="I47" s="92">
        <f t="shared" si="25"/>
        <v>0</v>
      </c>
      <c r="J47" s="92"/>
      <c r="K47" s="92"/>
      <c r="L47" s="92">
        <f t="shared" si="26"/>
        <v>0</v>
      </c>
      <c r="M47" s="92">
        <f t="shared" si="27"/>
        <v>0</v>
      </c>
      <c r="N47" s="98">
        <f t="shared" si="28"/>
        <v>0</v>
      </c>
    </row>
    <row r="48" spans="1:14" x14ac:dyDescent="0.25">
      <c r="A48" s="10" t="s">
        <v>50</v>
      </c>
      <c r="B48" s="96">
        <v>1595</v>
      </c>
      <c r="C48" s="97">
        <v>0</v>
      </c>
      <c r="D48" s="97">
        <v>0</v>
      </c>
      <c r="E48" s="92">
        <f t="shared" si="23"/>
        <v>0</v>
      </c>
      <c r="F48" s="97"/>
      <c r="G48" s="97"/>
      <c r="H48" s="92">
        <f t="shared" si="24"/>
        <v>0</v>
      </c>
      <c r="I48" s="92">
        <f t="shared" si="25"/>
        <v>0</v>
      </c>
      <c r="J48" s="92"/>
      <c r="K48" s="92"/>
      <c r="L48" s="92">
        <f t="shared" si="26"/>
        <v>0</v>
      </c>
      <c r="M48" s="92">
        <f t="shared" si="27"/>
        <v>0</v>
      </c>
      <c r="N48" s="98">
        <f t="shared" si="28"/>
        <v>0</v>
      </c>
    </row>
    <row r="49" spans="1:14" x14ac:dyDescent="0.25">
      <c r="A49" s="10" t="s">
        <v>51</v>
      </c>
      <c r="B49" s="96">
        <v>1595</v>
      </c>
      <c r="C49" s="97">
        <v>0</v>
      </c>
      <c r="D49" s="97">
        <v>0</v>
      </c>
      <c r="E49" s="92">
        <f t="shared" si="23"/>
        <v>0</v>
      </c>
      <c r="F49" s="97"/>
      <c r="G49" s="97"/>
      <c r="H49" s="92">
        <f t="shared" si="24"/>
        <v>0</v>
      </c>
      <c r="I49" s="92">
        <f t="shared" si="25"/>
        <v>0</v>
      </c>
      <c r="J49" s="92"/>
      <c r="K49" s="92"/>
      <c r="L49" s="92">
        <f t="shared" si="26"/>
        <v>0</v>
      </c>
      <c r="M49" s="92">
        <f t="shared" si="27"/>
        <v>0</v>
      </c>
      <c r="N49" s="98">
        <f t="shared" si="28"/>
        <v>0</v>
      </c>
    </row>
    <row r="50" spans="1:14" x14ac:dyDescent="0.25">
      <c r="A50" s="16" t="s">
        <v>52</v>
      </c>
      <c r="B50" s="104">
        <v>1595</v>
      </c>
      <c r="C50" s="105">
        <v>1333.7899999999972</v>
      </c>
      <c r="D50" s="105">
        <v>0</v>
      </c>
      <c r="E50" s="93">
        <f t="shared" si="23"/>
        <v>1333.7899999999972</v>
      </c>
      <c r="F50" s="105"/>
      <c r="G50" s="105"/>
      <c r="H50" s="93">
        <f t="shared" si="24"/>
        <v>1333.7899999999972</v>
      </c>
      <c r="I50" s="93">
        <f t="shared" si="25"/>
        <v>0</v>
      </c>
      <c r="J50" s="93"/>
      <c r="K50" s="93"/>
      <c r="L50" s="93">
        <f t="shared" si="26"/>
        <v>1333.7899999999972</v>
      </c>
      <c r="M50" s="93">
        <f t="shared" si="27"/>
        <v>0</v>
      </c>
      <c r="N50" s="106">
        <f t="shared" si="28"/>
        <v>1333.7899999999972</v>
      </c>
    </row>
    <row r="51" spans="1:14" x14ac:dyDescent="0.25">
      <c r="A51" s="110" t="s">
        <v>76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/>
    </row>
    <row r="52" spans="1:14" x14ac:dyDescent="0.25">
      <c r="A52" s="11" t="s">
        <v>0</v>
      </c>
      <c r="B52" s="107">
        <v>1550</v>
      </c>
      <c r="C52" s="108">
        <v>5388.3849664322843</v>
      </c>
      <c r="D52" s="108">
        <v>-821.08827452553624</v>
      </c>
      <c r="E52" s="91">
        <f>SUM(C52:D52)</f>
        <v>4567.2966919067476</v>
      </c>
      <c r="F52" s="108">
        <v>4121.489999999998</v>
      </c>
      <c r="G52" s="108">
        <v>-801.59094799999639</v>
      </c>
      <c r="H52" s="91">
        <f>C52-F52</f>
        <v>1266.8949664322863</v>
      </c>
      <c r="I52" s="91">
        <f>D52-G52</f>
        <v>-19.497326525539847</v>
      </c>
      <c r="J52" s="91">
        <f t="shared" ref="J52:J58" si="29">H52*1.47%</f>
        <v>18.623356006554609</v>
      </c>
      <c r="K52" s="91">
        <f t="shared" ref="K52:K58" si="30">H52*1.47%*(4/12)</f>
        <v>6.2077853355182029</v>
      </c>
      <c r="L52" s="91">
        <f>H52</f>
        <v>1266.8949664322863</v>
      </c>
      <c r="M52" s="91">
        <f>I52+J52+K52</f>
        <v>5.3338148165329642</v>
      </c>
      <c r="N52" s="109">
        <f>SUM(L52:M52)</f>
        <v>1272.2287812488194</v>
      </c>
    </row>
    <row r="53" spans="1:14" x14ac:dyDescent="0.25">
      <c r="A53" s="10" t="s">
        <v>1</v>
      </c>
      <c r="B53" s="96">
        <v>1551</v>
      </c>
      <c r="C53" s="97">
        <v>79.053468895306537</v>
      </c>
      <c r="D53" s="97">
        <v>9.6002328820540758E-2</v>
      </c>
      <c r="E53" s="92">
        <f t="shared" ref="E53:E64" si="31">SUM(C53:D53)</f>
        <v>79.149471224127083</v>
      </c>
      <c r="F53" s="97"/>
      <c r="G53" s="97"/>
      <c r="H53" s="92">
        <f t="shared" ref="H53:H57" si="32">C53-F53</f>
        <v>79.053468895306537</v>
      </c>
      <c r="I53" s="92">
        <f t="shared" ref="I53:I64" si="33">D53-G53</f>
        <v>9.6002328820540758E-2</v>
      </c>
      <c r="J53" s="92">
        <f t="shared" si="29"/>
        <v>1.1620859927610061</v>
      </c>
      <c r="K53" s="92">
        <f t="shared" si="30"/>
        <v>0.38736199758700202</v>
      </c>
      <c r="L53" s="92">
        <f t="shared" ref="L53:L64" si="34">H53</f>
        <v>79.053468895306537</v>
      </c>
      <c r="M53" s="92">
        <f t="shared" ref="M53:M64" si="35">I53+J53+K53</f>
        <v>1.6454503191685488</v>
      </c>
      <c r="N53" s="98">
        <f t="shared" ref="N53:N64" si="36">SUM(L53:M53)</f>
        <v>80.698919214475083</v>
      </c>
    </row>
    <row r="54" spans="1:14" x14ac:dyDescent="0.25">
      <c r="A54" s="10" t="s">
        <v>2</v>
      </c>
      <c r="B54" s="96">
        <v>1580</v>
      </c>
      <c r="C54" s="97">
        <v>-6951.5297413471599</v>
      </c>
      <c r="D54" s="97">
        <v>-56.632906136384605</v>
      </c>
      <c r="E54" s="92">
        <f t="shared" si="31"/>
        <v>-7008.1626474835448</v>
      </c>
      <c r="F54" s="97">
        <v>-4658.8999999999978</v>
      </c>
      <c r="G54" s="97">
        <v>-83.058216000000144</v>
      </c>
      <c r="H54" s="92">
        <f t="shared" si="32"/>
        <v>-2292.6297413471621</v>
      </c>
      <c r="I54" s="92">
        <f t="shared" si="33"/>
        <v>26.425309863615539</v>
      </c>
      <c r="J54" s="92">
        <f t="shared" si="29"/>
        <v>-33.701657197803279</v>
      </c>
      <c r="K54" s="92">
        <f t="shared" si="30"/>
        <v>-11.233885732601092</v>
      </c>
      <c r="L54" s="92">
        <f t="shared" si="34"/>
        <v>-2292.6297413471621</v>
      </c>
      <c r="M54" s="92">
        <f t="shared" si="35"/>
        <v>-18.510233066788832</v>
      </c>
      <c r="N54" s="98">
        <f t="shared" si="36"/>
        <v>-2311.1399744139508</v>
      </c>
    </row>
    <row r="55" spans="1:14" x14ac:dyDescent="0.25">
      <c r="A55" s="10" t="s">
        <v>3</v>
      </c>
      <c r="B55" s="96">
        <v>1584</v>
      </c>
      <c r="C55" s="97">
        <v>-1045.5253535879253</v>
      </c>
      <c r="D55" s="97">
        <v>-18.398129921715203</v>
      </c>
      <c r="E55" s="92">
        <f t="shared" si="31"/>
        <v>-1063.9234835096406</v>
      </c>
      <c r="F55" s="97">
        <v>-1110.3800000000001</v>
      </c>
      <c r="G55" s="97">
        <v>-29.673584000000108</v>
      </c>
      <c r="H55" s="92">
        <f t="shared" si="32"/>
        <v>64.854646412074771</v>
      </c>
      <c r="I55" s="92">
        <f t="shared" si="33"/>
        <v>11.275454078284906</v>
      </c>
      <c r="J55" s="92">
        <f t="shared" si="29"/>
        <v>0.9533633022574991</v>
      </c>
      <c r="K55" s="92">
        <f t="shared" si="30"/>
        <v>0.31778776741916637</v>
      </c>
      <c r="L55" s="92">
        <f t="shared" si="34"/>
        <v>64.854646412074771</v>
      </c>
      <c r="M55" s="92">
        <f t="shared" si="35"/>
        <v>12.54660514796157</v>
      </c>
      <c r="N55" s="98">
        <f t="shared" si="36"/>
        <v>77.401251560036343</v>
      </c>
    </row>
    <row r="56" spans="1:14" x14ac:dyDescent="0.25">
      <c r="A56" s="10" t="s">
        <v>4</v>
      </c>
      <c r="B56" s="96">
        <v>1586</v>
      </c>
      <c r="C56" s="97">
        <v>2331.2950643267254</v>
      </c>
      <c r="D56" s="97">
        <v>65.132822576183841</v>
      </c>
      <c r="E56" s="92">
        <f t="shared" si="31"/>
        <v>2396.4278869029094</v>
      </c>
      <c r="F56" s="97">
        <v>198.48999999999978</v>
      </c>
      <c r="G56" s="97">
        <v>55.902440000000247</v>
      </c>
      <c r="H56" s="92">
        <f t="shared" si="32"/>
        <v>2132.8050643267256</v>
      </c>
      <c r="I56" s="92">
        <f t="shared" si="33"/>
        <v>9.2303825761835938</v>
      </c>
      <c r="J56" s="92">
        <f t="shared" si="29"/>
        <v>31.352234445602868</v>
      </c>
      <c r="K56" s="92">
        <f t="shared" si="30"/>
        <v>10.450744815200956</v>
      </c>
      <c r="L56" s="92">
        <f t="shared" si="34"/>
        <v>2132.8050643267256</v>
      </c>
      <c r="M56" s="92">
        <f t="shared" si="35"/>
        <v>51.033361836987417</v>
      </c>
      <c r="N56" s="98">
        <f t="shared" si="36"/>
        <v>2183.8384261637129</v>
      </c>
    </row>
    <row r="57" spans="1:14" x14ac:dyDescent="0.25">
      <c r="A57" s="10" t="s">
        <v>5</v>
      </c>
      <c r="B57" s="96">
        <v>1588</v>
      </c>
      <c r="C57" s="97">
        <v>2006.642366528642</v>
      </c>
      <c r="D57" s="97">
        <v>308.72506427143787</v>
      </c>
      <c r="E57" s="92">
        <f t="shared" si="31"/>
        <v>2315.36743080008</v>
      </c>
      <c r="F57" s="97">
        <v>-1421.7800000000007</v>
      </c>
      <c r="G57" s="97">
        <v>228.96962000000013</v>
      </c>
      <c r="H57" s="92">
        <f t="shared" si="32"/>
        <v>3428.4223665286427</v>
      </c>
      <c r="I57" s="92">
        <f t="shared" si="33"/>
        <v>79.755444271437739</v>
      </c>
      <c r="J57" s="92">
        <f t="shared" si="29"/>
        <v>50.397808787971044</v>
      </c>
      <c r="K57" s="92">
        <f t="shared" si="30"/>
        <v>16.799269595990346</v>
      </c>
      <c r="L57" s="92">
        <f t="shared" si="34"/>
        <v>3428.4223665286427</v>
      </c>
      <c r="M57" s="92">
        <f t="shared" si="35"/>
        <v>146.95252265539912</v>
      </c>
      <c r="N57" s="98">
        <f t="shared" si="36"/>
        <v>3575.3748891840419</v>
      </c>
    </row>
    <row r="58" spans="1:14" x14ac:dyDescent="0.25">
      <c r="A58" s="10" t="s">
        <v>6</v>
      </c>
      <c r="B58" s="96">
        <v>1589</v>
      </c>
      <c r="C58" s="97">
        <v>-3378.9396534678053</v>
      </c>
      <c r="D58" s="97">
        <v>-413.6474153117025</v>
      </c>
      <c r="E58" s="92">
        <f t="shared" si="31"/>
        <v>-3792.5870687795077</v>
      </c>
      <c r="F58" s="97">
        <v>-2476.7000000000007</v>
      </c>
      <c r="G58" s="97">
        <v>-436.92238000000077</v>
      </c>
      <c r="H58" s="92">
        <f>C58-F58</f>
        <v>-902.2396534678046</v>
      </c>
      <c r="I58" s="92">
        <f t="shared" si="33"/>
        <v>23.274964688298269</v>
      </c>
      <c r="J58" s="92">
        <f t="shared" si="29"/>
        <v>-13.262922905976728</v>
      </c>
      <c r="K58" s="92">
        <f t="shared" si="30"/>
        <v>-4.4209743019922421</v>
      </c>
      <c r="L58" s="92">
        <f t="shared" si="34"/>
        <v>-902.2396534678046</v>
      </c>
      <c r="M58" s="92">
        <f t="shared" si="35"/>
        <v>5.5910674803292988</v>
      </c>
      <c r="N58" s="98">
        <f t="shared" si="36"/>
        <v>-896.64858598747526</v>
      </c>
    </row>
    <row r="59" spans="1:14" x14ac:dyDescent="0.25">
      <c r="A59" s="10" t="s">
        <v>7</v>
      </c>
      <c r="B59" s="96">
        <v>1590</v>
      </c>
      <c r="C59" s="97">
        <v>29050.450000000015</v>
      </c>
      <c r="D59" s="97">
        <v>0</v>
      </c>
      <c r="E59" s="92">
        <f t="shared" si="31"/>
        <v>29050.450000000015</v>
      </c>
      <c r="F59" s="97"/>
      <c r="G59" s="97"/>
      <c r="H59" s="92">
        <f t="shared" ref="H59:H64" si="37">C59-F59</f>
        <v>29050.450000000015</v>
      </c>
      <c r="I59" s="92">
        <f t="shared" si="33"/>
        <v>0</v>
      </c>
      <c r="J59" s="92"/>
      <c r="K59" s="92"/>
      <c r="L59" s="92">
        <f t="shared" si="34"/>
        <v>29050.450000000015</v>
      </c>
      <c r="M59" s="92">
        <f t="shared" si="35"/>
        <v>0</v>
      </c>
      <c r="N59" s="98">
        <f t="shared" si="36"/>
        <v>29050.450000000015</v>
      </c>
    </row>
    <row r="60" spans="1:14" x14ac:dyDescent="0.25">
      <c r="A60" s="10" t="s">
        <v>48</v>
      </c>
      <c r="B60" s="96">
        <v>1595</v>
      </c>
      <c r="C60" s="97"/>
      <c r="D60" s="97"/>
      <c r="E60" s="92">
        <f t="shared" si="31"/>
        <v>0</v>
      </c>
      <c r="F60" s="97"/>
      <c r="G60" s="97"/>
      <c r="H60" s="92">
        <f t="shared" si="37"/>
        <v>0</v>
      </c>
      <c r="I60" s="92">
        <f t="shared" si="33"/>
        <v>0</v>
      </c>
      <c r="J60" s="92"/>
      <c r="K60" s="92"/>
      <c r="L60" s="92">
        <f t="shared" si="34"/>
        <v>0</v>
      </c>
      <c r="M60" s="92">
        <f t="shared" si="35"/>
        <v>0</v>
      </c>
      <c r="N60" s="98">
        <f t="shared" si="36"/>
        <v>0</v>
      </c>
    </row>
    <row r="61" spans="1:14" x14ac:dyDescent="0.25">
      <c r="A61" s="10" t="s">
        <v>49</v>
      </c>
      <c r="B61" s="96">
        <v>1595</v>
      </c>
      <c r="C61" s="97"/>
      <c r="D61" s="97"/>
      <c r="E61" s="92">
        <f t="shared" si="31"/>
        <v>0</v>
      </c>
      <c r="F61" s="97"/>
      <c r="G61" s="97"/>
      <c r="H61" s="92">
        <f t="shared" si="37"/>
        <v>0</v>
      </c>
      <c r="I61" s="92">
        <f t="shared" si="33"/>
        <v>0</v>
      </c>
      <c r="J61" s="92"/>
      <c r="K61" s="92"/>
      <c r="L61" s="92">
        <f t="shared" si="34"/>
        <v>0</v>
      </c>
      <c r="M61" s="92">
        <f t="shared" si="35"/>
        <v>0</v>
      </c>
      <c r="N61" s="98">
        <f t="shared" si="36"/>
        <v>0</v>
      </c>
    </row>
    <row r="62" spans="1:14" x14ac:dyDescent="0.25">
      <c r="A62" s="10" t="s">
        <v>50</v>
      </c>
      <c r="B62" s="96">
        <v>1595</v>
      </c>
      <c r="C62" s="97"/>
      <c r="D62" s="97"/>
      <c r="E62" s="92">
        <f t="shared" si="31"/>
        <v>0</v>
      </c>
      <c r="F62" s="97"/>
      <c r="G62" s="97"/>
      <c r="H62" s="92">
        <f t="shared" si="37"/>
        <v>0</v>
      </c>
      <c r="I62" s="92">
        <f t="shared" si="33"/>
        <v>0</v>
      </c>
      <c r="J62" s="92"/>
      <c r="K62" s="92"/>
      <c r="L62" s="92">
        <f t="shared" si="34"/>
        <v>0</v>
      </c>
      <c r="M62" s="92">
        <f t="shared" si="35"/>
        <v>0</v>
      </c>
      <c r="N62" s="98">
        <f t="shared" si="36"/>
        <v>0</v>
      </c>
    </row>
    <row r="63" spans="1:14" x14ac:dyDescent="0.25">
      <c r="A63" s="10" t="s">
        <v>51</v>
      </c>
      <c r="B63" s="96">
        <v>1595</v>
      </c>
      <c r="C63" s="97"/>
      <c r="D63" s="97"/>
      <c r="E63" s="92">
        <f t="shared" si="31"/>
        <v>0</v>
      </c>
      <c r="F63" s="97"/>
      <c r="G63" s="97"/>
      <c r="H63" s="92">
        <f t="shared" si="37"/>
        <v>0</v>
      </c>
      <c r="I63" s="92">
        <f t="shared" si="33"/>
        <v>0</v>
      </c>
      <c r="J63" s="92"/>
      <c r="K63" s="92"/>
      <c r="L63" s="92">
        <f t="shared" si="34"/>
        <v>0</v>
      </c>
      <c r="M63" s="92">
        <f t="shared" si="35"/>
        <v>0</v>
      </c>
      <c r="N63" s="98">
        <f t="shared" si="36"/>
        <v>0</v>
      </c>
    </row>
    <row r="64" spans="1:14" x14ac:dyDescent="0.25">
      <c r="A64" s="99" t="s">
        <v>52</v>
      </c>
      <c r="B64" s="100">
        <v>1595</v>
      </c>
      <c r="C64" s="101"/>
      <c r="D64" s="101"/>
      <c r="E64" s="102">
        <f t="shared" si="31"/>
        <v>0</v>
      </c>
      <c r="F64" s="101"/>
      <c r="G64" s="101"/>
      <c r="H64" s="102">
        <f t="shared" si="37"/>
        <v>0</v>
      </c>
      <c r="I64" s="102">
        <f t="shared" si="33"/>
        <v>0</v>
      </c>
      <c r="J64" s="102"/>
      <c r="K64" s="102"/>
      <c r="L64" s="102">
        <f t="shared" si="34"/>
        <v>0</v>
      </c>
      <c r="M64" s="102">
        <f t="shared" si="35"/>
        <v>0</v>
      </c>
      <c r="N64" s="103">
        <f t="shared" si="36"/>
        <v>0</v>
      </c>
    </row>
    <row r="66" spans="1:1" x14ac:dyDescent="0.25">
      <c r="A66" t="s">
        <v>102</v>
      </c>
    </row>
  </sheetData>
  <mergeCells count="7">
    <mergeCell ref="L5:N5"/>
    <mergeCell ref="A5:A6"/>
    <mergeCell ref="B5:B6"/>
    <mergeCell ref="C5:E5"/>
    <mergeCell ref="F5:G5"/>
    <mergeCell ref="H5:I5"/>
    <mergeCell ref="J5:K5"/>
  </mergeCells>
  <printOptions horizontalCentered="1"/>
  <pageMargins left="0.5" right="0.5" top="0.5" bottom="0.5" header="0.3" footer="0.3"/>
  <pageSetup scale="48" orientation="landscape" verticalDpi="0" r:id="rId1"/>
  <headerFooter>
    <oddFooter>&amp;L&amp;8&amp;F
Tab: &amp;A&amp;R&amp;8&amp;P/&amp;N</oddFooter>
  </headerFooter>
  <rowBreaks count="1" manualBreakCount="1">
    <brk id="5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showGridLines="0" zoomScaleNormal="100" workbookViewId="0">
      <selection activeCell="J74" sqref="J74"/>
    </sheetView>
  </sheetViews>
  <sheetFormatPr defaultRowHeight="15" x14ac:dyDescent="0.25"/>
  <cols>
    <col min="1" max="1" width="2.5703125" customWidth="1"/>
    <col min="2" max="2" width="13.140625" customWidth="1"/>
    <col min="3" max="3" width="11.7109375" customWidth="1"/>
    <col min="4" max="4" width="13.28515625" bestFit="1" customWidth="1"/>
    <col min="5" max="6" width="11.7109375" customWidth="1"/>
    <col min="7" max="7" width="19.28515625" customWidth="1"/>
  </cols>
  <sheetData>
    <row r="1" spans="2:7" ht="18.75" x14ac:dyDescent="0.3">
      <c r="B1" s="89" t="s">
        <v>25</v>
      </c>
    </row>
    <row r="2" spans="2:7" ht="18.75" x14ac:dyDescent="0.3">
      <c r="B2" s="89" t="s">
        <v>88</v>
      </c>
    </row>
    <row r="3" spans="2:7" ht="19.5" thickBot="1" x14ac:dyDescent="0.35">
      <c r="B3" s="7" t="s">
        <v>89</v>
      </c>
      <c r="C3" s="90"/>
      <c r="D3" s="90"/>
      <c r="E3" s="90"/>
      <c r="F3" s="90"/>
      <c r="G3" s="90"/>
    </row>
    <row r="5" spans="2:7" ht="30" x14ac:dyDescent="0.25">
      <c r="B5" s="79" t="s">
        <v>84</v>
      </c>
      <c r="C5" s="80" t="s">
        <v>92</v>
      </c>
      <c r="D5" s="80" t="s">
        <v>23</v>
      </c>
      <c r="E5" s="80" t="s">
        <v>90</v>
      </c>
      <c r="F5" s="82" t="s">
        <v>91</v>
      </c>
      <c r="G5" s="81" t="s">
        <v>87</v>
      </c>
    </row>
    <row r="6" spans="2:7" x14ac:dyDescent="0.25">
      <c r="B6" s="11" t="s">
        <v>18</v>
      </c>
      <c r="C6" s="91">
        <f>SUM('1. Balances for Disposition'!N8:N20)</f>
        <v>1705221.6485183998</v>
      </c>
      <c r="D6" s="12">
        <f>'3A. CK Calculation'!D15</f>
        <v>715307970.72578192</v>
      </c>
      <c r="E6" s="75">
        <f>C6/D6</f>
        <v>2.3838985699938578E-3</v>
      </c>
      <c r="F6" s="83" t="str">
        <f>IF(D6&gt;0.001,"Yes", "No")</f>
        <v>Yes</v>
      </c>
      <c r="G6" s="87">
        <v>40908</v>
      </c>
    </row>
    <row r="7" spans="2:7" x14ac:dyDescent="0.25">
      <c r="B7" s="10" t="s">
        <v>53</v>
      </c>
      <c r="C7" s="92">
        <f>SUM('1. Balances for Disposition'!N23:N35)</f>
        <v>214317.003779511</v>
      </c>
      <c r="D7" s="9">
        <f>'4. SMP Calculation'!D14</f>
        <v>206264546</v>
      </c>
      <c r="E7" s="74">
        <f t="shared" ref="E7:E10" si="0">C7/D7</f>
        <v>1.0390394662372611E-3</v>
      </c>
      <c r="F7" s="84" t="str">
        <f t="shared" ref="F7:F10" si="1">IF(D7&gt;0.001,"Yes", "No")</f>
        <v>Yes</v>
      </c>
      <c r="G7" s="88">
        <v>41274</v>
      </c>
    </row>
    <row r="8" spans="2:7" x14ac:dyDescent="0.25">
      <c r="B8" s="10" t="s">
        <v>85</v>
      </c>
      <c r="C8" s="92">
        <f>SUM('1. Balances for Disposition'!N38:N50)</f>
        <v>12221.015354094659</v>
      </c>
      <c r="D8" s="9">
        <f>'5. DUT Calculation'!D10</f>
        <v>7927128</v>
      </c>
      <c r="E8" s="74">
        <f t="shared" si="0"/>
        <v>1.5416699912117805E-3</v>
      </c>
      <c r="F8" s="84" t="str">
        <f t="shared" si="1"/>
        <v>Yes</v>
      </c>
      <c r="G8" s="88">
        <v>41274</v>
      </c>
    </row>
    <row r="9" spans="2:7" x14ac:dyDescent="0.25">
      <c r="B9" s="16" t="s">
        <v>86</v>
      </c>
      <c r="C9" s="93">
        <f>SUM('1. Balances for Disposition'!N52:N64)</f>
        <v>33032.203706969674</v>
      </c>
      <c r="D9" s="17">
        <f>'6. NEW Calculations'!D10</f>
        <v>3396582</v>
      </c>
      <c r="E9" s="76">
        <f t="shared" si="0"/>
        <v>9.7251306480955479E-3</v>
      </c>
      <c r="F9" s="85" t="str">
        <f t="shared" si="1"/>
        <v>Yes</v>
      </c>
      <c r="G9" s="88">
        <v>41274</v>
      </c>
    </row>
    <row r="10" spans="2:7" x14ac:dyDescent="0.25">
      <c r="B10" s="18" t="s">
        <v>21</v>
      </c>
      <c r="C10" s="94">
        <f>SUM(C6:C9)</f>
        <v>1964791.8713589751</v>
      </c>
      <c r="D10" s="19">
        <f>SUM(D6:D9)</f>
        <v>932896226.72578192</v>
      </c>
      <c r="E10" s="77">
        <f t="shared" si="0"/>
        <v>2.1061205041581878E-3</v>
      </c>
      <c r="F10" s="86" t="str">
        <f t="shared" si="1"/>
        <v>Yes</v>
      </c>
      <c r="G10" s="78"/>
    </row>
  </sheetData>
  <pageMargins left="0.7" right="0.7" top="0.75" bottom="0.75" header="0.3" footer="0.3"/>
  <pageSetup orientation="portrait" r:id="rId1"/>
  <headerFooter>
    <oddFooter>&amp;L&amp;8&amp;F
Tab: &amp;A&amp;R&amp;8&amp;P/&amp;N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showGridLines="0" zoomScaleNormal="100" workbookViewId="0">
      <selection activeCell="J74" sqref="J74"/>
    </sheetView>
  </sheetViews>
  <sheetFormatPr defaultRowHeight="15" x14ac:dyDescent="0.25"/>
  <cols>
    <col min="1" max="1" width="2.7109375" customWidth="1"/>
    <col min="2" max="2" width="47.5703125" bestFit="1" customWidth="1"/>
    <col min="3" max="6" width="13.7109375" style="1" customWidth="1"/>
    <col min="7" max="14" width="13.7109375" customWidth="1"/>
    <col min="15" max="15" width="15.5703125" bestFit="1" customWidth="1"/>
    <col min="16" max="16" width="11.140625" bestFit="1" customWidth="1"/>
  </cols>
  <sheetData>
    <row r="1" spans="2:10" ht="18.75" x14ac:dyDescent="0.3">
      <c r="B1" s="5" t="s">
        <v>25</v>
      </c>
      <c r="C1" s="6"/>
      <c r="D1" s="6"/>
      <c r="E1" s="6"/>
      <c r="F1" s="6"/>
      <c r="G1" s="5"/>
      <c r="H1" s="5"/>
      <c r="I1" s="5"/>
    </row>
    <row r="2" spans="2:10" ht="18.75" x14ac:dyDescent="0.3">
      <c r="B2" s="5" t="s">
        <v>88</v>
      </c>
      <c r="C2" s="6"/>
      <c r="D2" s="6"/>
      <c r="E2" s="6"/>
      <c r="F2" s="6"/>
      <c r="G2" s="5"/>
      <c r="H2" s="5"/>
      <c r="I2" s="5"/>
    </row>
    <row r="3" spans="2:10" ht="19.5" thickBot="1" x14ac:dyDescent="0.35">
      <c r="B3" s="7" t="s">
        <v>131</v>
      </c>
      <c r="C3" s="8"/>
      <c r="D3" s="8"/>
      <c r="E3" s="8"/>
      <c r="F3" s="8"/>
      <c r="G3" s="7"/>
      <c r="H3" s="7"/>
      <c r="I3" s="7"/>
    </row>
    <row r="4" spans="2:10" x14ac:dyDescent="0.25">
      <c r="G4" s="1"/>
      <c r="H4" s="1"/>
    </row>
    <row r="5" spans="2:10" x14ac:dyDescent="0.25">
      <c r="B5" s="40" t="s">
        <v>30</v>
      </c>
      <c r="C5" s="41"/>
      <c r="D5" s="41"/>
      <c r="E5" s="41"/>
      <c r="F5" s="41"/>
      <c r="G5" s="42"/>
    </row>
    <row r="6" spans="2:10" ht="30" x14ac:dyDescent="0.25">
      <c r="B6" s="13" t="s">
        <v>8</v>
      </c>
      <c r="C6" s="59" t="s">
        <v>80</v>
      </c>
      <c r="D6" s="14" t="s">
        <v>26</v>
      </c>
      <c r="E6" s="14" t="s">
        <v>27</v>
      </c>
      <c r="F6" s="14" t="s">
        <v>28</v>
      </c>
      <c r="G6" s="15" t="s">
        <v>29</v>
      </c>
    </row>
    <row r="7" spans="2:10" x14ac:dyDescent="0.25">
      <c r="B7" s="11" t="s">
        <v>11</v>
      </c>
      <c r="C7" s="66">
        <v>28799</v>
      </c>
      <c r="D7" s="46">
        <v>216352313</v>
      </c>
      <c r="E7" s="46">
        <v>0</v>
      </c>
      <c r="F7" s="46">
        <v>19943840</v>
      </c>
      <c r="G7" s="57">
        <v>0</v>
      </c>
    </row>
    <row r="8" spans="2:10" x14ac:dyDescent="0.25">
      <c r="B8" s="10" t="s">
        <v>12</v>
      </c>
      <c r="C8" s="66">
        <v>3087</v>
      </c>
      <c r="D8" s="46">
        <v>84825628</v>
      </c>
      <c r="E8" s="46">
        <v>0</v>
      </c>
      <c r="F8" s="46">
        <v>12121570</v>
      </c>
      <c r="G8" s="57">
        <v>0</v>
      </c>
    </row>
    <row r="9" spans="2:10" x14ac:dyDescent="0.25">
      <c r="B9" s="10" t="s">
        <v>13</v>
      </c>
      <c r="C9" s="66">
        <v>381</v>
      </c>
      <c r="D9" s="46">
        <v>254848303.64429528</v>
      </c>
      <c r="E9" s="46">
        <v>691390</v>
      </c>
      <c r="F9" s="46">
        <v>204241649</v>
      </c>
      <c r="G9" s="57">
        <v>587994</v>
      </c>
      <c r="I9" s="45"/>
    </row>
    <row r="10" spans="2:10" x14ac:dyDescent="0.25">
      <c r="B10" s="10" t="s">
        <v>14</v>
      </c>
      <c r="C10" s="66">
        <v>13</v>
      </c>
      <c r="D10" s="46">
        <v>112421650.80153404</v>
      </c>
      <c r="E10" s="46">
        <v>278345</v>
      </c>
      <c r="F10" s="46">
        <v>112421650.80153404</v>
      </c>
      <c r="G10" s="57">
        <v>278345</v>
      </c>
    </row>
    <row r="11" spans="2:10" x14ac:dyDescent="0.25">
      <c r="B11" s="10" t="s">
        <v>60</v>
      </c>
      <c r="C11" s="66">
        <v>1</v>
      </c>
      <c r="D11" s="46">
        <v>39427413.279952668</v>
      </c>
      <c r="E11" s="46">
        <v>87871</v>
      </c>
      <c r="F11" s="46">
        <v>39427413.279952668</v>
      </c>
      <c r="G11" s="57">
        <v>87871</v>
      </c>
    </row>
    <row r="12" spans="2:10" x14ac:dyDescent="0.25">
      <c r="B12" s="10" t="s">
        <v>15</v>
      </c>
      <c r="C12" s="66">
        <v>199</v>
      </c>
      <c r="D12" s="46">
        <v>904820</v>
      </c>
      <c r="E12" s="46">
        <v>0</v>
      </c>
      <c r="F12" s="46">
        <v>0</v>
      </c>
      <c r="G12" s="57">
        <v>0</v>
      </c>
    </row>
    <row r="13" spans="2:10" x14ac:dyDescent="0.25">
      <c r="B13" s="10" t="s">
        <v>16</v>
      </c>
      <c r="C13" s="66">
        <v>440</v>
      </c>
      <c r="D13" s="46">
        <v>364770</v>
      </c>
      <c r="E13" s="46">
        <v>1002</v>
      </c>
      <c r="F13" s="46">
        <v>136303</v>
      </c>
      <c r="G13" s="57">
        <v>354</v>
      </c>
    </row>
    <row r="14" spans="2:10" x14ac:dyDescent="0.25">
      <c r="B14" s="16" t="s">
        <v>17</v>
      </c>
      <c r="C14" s="66">
        <v>10623</v>
      </c>
      <c r="D14" s="46">
        <v>6163072</v>
      </c>
      <c r="E14" s="46">
        <v>18186</v>
      </c>
      <c r="F14" s="46">
        <v>6163083</v>
      </c>
      <c r="G14" s="57">
        <v>18186</v>
      </c>
    </row>
    <row r="15" spans="2:10" x14ac:dyDescent="0.25">
      <c r="B15" s="18" t="s">
        <v>21</v>
      </c>
      <c r="C15" s="67">
        <f>SUM(C7:C14)</f>
        <v>43543</v>
      </c>
      <c r="D15" s="19">
        <f>SUM(D7:D14)</f>
        <v>715307970.72578192</v>
      </c>
      <c r="E15" s="19">
        <f>SUM(E7:E14)</f>
        <v>1076794</v>
      </c>
      <c r="F15" s="19">
        <f>SUM(F7:F14)</f>
        <v>394455509.0814867</v>
      </c>
      <c r="G15" s="47">
        <f>SUM(G7:G14)</f>
        <v>972750</v>
      </c>
      <c r="I15" s="1"/>
    </row>
    <row r="16" spans="2:10" x14ac:dyDescent="0.25">
      <c r="B16" s="43" t="s">
        <v>61</v>
      </c>
      <c r="C16" s="43"/>
      <c r="D16" s="44">
        <f>D15-D11</f>
        <v>675880557.44582927</v>
      </c>
      <c r="E16" s="44"/>
      <c r="F16" s="44">
        <f>F15-F11</f>
        <v>355028095.80153406</v>
      </c>
      <c r="G16" s="44"/>
      <c r="H16" s="44"/>
      <c r="I16" s="43"/>
      <c r="J16" s="1"/>
    </row>
    <row r="18" spans="2:9" x14ac:dyDescent="0.25">
      <c r="B18" s="40" t="s">
        <v>109</v>
      </c>
      <c r="C18" s="41"/>
      <c r="D18" s="41"/>
      <c r="E18" s="41"/>
      <c r="F18" s="41"/>
      <c r="G18" s="41"/>
      <c r="H18" s="41"/>
      <c r="I18" s="42"/>
    </row>
    <row r="19" spans="2:9" x14ac:dyDescent="0.25">
      <c r="B19" s="29" t="s">
        <v>9</v>
      </c>
      <c r="C19" s="23">
        <v>1550</v>
      </c>
      <c r="D19" s="23">
        <v>1551</v>
      </c>
      <c r="E19" s="23">
        <v>1580</v>
      </c>
      <c r="F19" s="23">
        <v>1584</v>
      </c>
      <c r="G19" s="23">
        <v>1586</v>
      </c>
      <c r="H19" s="23">
        <v>1588</v>
      </c>
      <c r="I19" s="24">
        <v>1589</v>
      </c>
    </row>
    <row r="20" spans="2:9" x14ac:dyDescent="0.25">
      <c r="B20" s="48" t="s">
        <v>59</v>
      </c>
      <c r="C20" s="50">
        <f>'1. Balances for Disposition'!N8</f>
        <v>538511.06337199989</v>
      </c>
      <c r="D20" s="50">
        <f>'1. Balances for Disposition'!N9</f>
        <v>23909.255948000002</v>
      </c>
      <c r="E20" s="50">
        <f>'1. Balances for Disposition'!N10</f>
        <v>-1110064.9506200003</v>
      </c>
      <c r="F20" s="50">
        <f>'1. Balances for Disposition'!N11</f>
        <v>342851.02650400001</v>
      </c>
      <c r="G20" s="50">
        <f>'1. Balances for Disposition'!N12</f>
        <v>1026575.4171703998</v>
      </c>
      <c r="H20" s="50">
        <f>'1. Balances for Disposition'!N13</f>
        <v>697654.8662640003</v>
      </c>
      <c r="I20" s="51">
        <f>'1. Balances for Disposition'!N14</f>
        <v>532020.64988000027</v>
      </c>
    </row>
    <row r="21" spans="2:9" s="39" customFormat="1" ht="36" x14ac:dyDescent="0.25">
      <c r="B21" s="49" t="s">
        <v>36</v>
      </c>
      <c r="C21" s="52" t="s">
        <v>10</v>
      </c>
      <c r="D21" s="52" t="s">
        <v>72</v>
      </c>
      <c r="E21" s="52" t="s">
        <v>10</v>
      </c>
      <c r="F21" s="52" t="s">
        <v>10</v>
      </c>
      <c r="G21" s="52" t="s">
        <v>10</v>
      </c>
      <c r="H21" s="52" t="s">
        <v>10</v>
      </c>
      <c r="I21" s="53" t="s">
        <v>65</v>
      </c>
    </row>
    <row r="22" spans="2:9" x14ac:dyDescent="0.25">
      <c r="B22" s="11" t="s">
        <v>11</v>
      </c>
      <c r="C22" s="22">
        <f t="shared" ref="C22:C29" si="0">$C$20*D7/$D$15</f>
        <v>162878.25510794696</v>
      </c>
      <c r="D22" s="22">
        <f>$D$20*C7/SUM($C$7:$C$8)</f>
        <v>21594.513643807692</v>
      </c>
      <c r="E22" s="22">
        <f t="shared" ref="E22:E29" si="1">$E$20*(D7/$D$15)</f>
        <v>-335750.65492865414</v>
      </c>
      <c r="F22" s="22">
        <f t="shared" ref="F22:F29" si="2">$F$20*(D7/$D$15)</f>
        <v>103698.84809657854</v>
      </c>
      <c r="G22" s="22">
        <f t="shared" ref="G22:G29" si="3">$G$20*(D7/$D$15)</f>
        <v>310498.37980751396</v>
      </c>
      <c r="H22" s="22">
        <f t="shared" ref="H22:H29" si="4">$H$20*(D7/$D$15)</f>
        <v>211012.94850492544</v>
      </c>
      <c r="I22" s="25">
        <f>$I$20*(F7/$F$16)</f>
        <v>29886.464883709345</v>
      </c>
    </row>
    <row r="23" spans="2:9" x14ac:dyDescent="0.25">
      <c r="B23" s="10" t="s">
        <v>12</v>
      </c>
      <c r="C23" s="22">
        <f t="shared" si="0"/>
        <v>63859.961030672261</v>
      </c>
      <c r="D23" s="22">
        <f>$D$20*C8/SUM($C$7:$C$8)</f>
        <v>2314.7423041923103</v>
      </c>
      <c r="E23" s="22">
        <f t="shared" si="1"/>
        <v>-131638.34377742189</v>
      </c>
      <c r="F23" s="22">
        <f t="shared" si="2"/>
        <v>40657.387899841306</v>
      </c>
      <c r="G23" s="22">
        <f t="shared" si="3"/>
        <v>121737.64030965036</v>
      </c>
      <c r="H23" s="22">
        <f t="shared" si="4"/>
        <v>82732.214067255947</v>
      </c>
      <c r="I23" s="25">
        <f>$I$20*(F8/$F$16)</f>
        <v>18164.549863036638</v>
      </c>
    </row>
    <row r="24" spans="2:9" x14ac:dyDescent="0.25">
      <c r="B24" s="10" t="s">
        <v>13</v>
      </c>
      <c r="C24" s="22">
        <f t="shared" si="0"/>
        <v>191859.50193563706</v>
      </c>
      <c r="D24" s="21"/>
      <c r="E24" s="22">
        <f t="shared" si="1"/>
        <v>-395491.4263201275</v>
      </c>
      <c r="F24" s="22">
        <f t="shared" si="2"/>
        <v>122150.18716846581</v>
      </c>
      <c r="G24" s="22">
        <f t="shared" si="3"/>
        <v>365745.96444571891</v>
      </c>
      <c r="H24" s="22">
        <f t="shared" si="4"/>
        <v>248558.8955707688</v>
      </c>
      <c r="I24" s="25">
        <f>$I$20*(F9/$F$16)</f>
        <v>306062.46693863318</v>
      </c>
    </row>
    <row r="25" spans="2:9" x14ac:dyDescent="0.25">
      <c r="B25" s="10" t="s">
        <v>14</v>
      </c>
      <c r="C25" s="22">
        <f t="shared" si="0"/>
        <v>84635.297238115454</v>
      </c>
      <c r="D25" s="21"/>
      <c r="E25" s="22">
        <f t="shared" si="1"/>
        <v>-174463.78252852563</v>
      </c>
      <c r="F25" s="22">
        <f t="shared" si="2"/>
        <v>53884.312710051199</v>
      </c>
      <c r="G25" s="22">
        <f t="shared" si="3"/>
        <v>161342.1180718434</v>
      </c>
      <c r="H25" s="22">
        <f t="shared" si="4"/>
        <v>109647.19388705039</v>
      </c>
      <c r="I25" s="25">
        <f>$I$20*(F10/$F$16)</f>
        <v>168467.34223944246</v>
      </c>
    </row>
    <row r="26" spans="2:9" x14ac:dyDescent="0.25">
      <c r="B26" s="10" t="s">
        <v>60</v>
      </c>
      <c r="C26" s="22">
        <f t="shared" si="0"/>
        <v>29682.457235659811</v>
      </c>
      <c r="D26" s="21"/>
      <c r="E26" s="22">
        <f t="shared" si="1"/>
        <v>-61186.218198124014</v>
      </c>
      <c r="F26" s="22">
        <f t="shared" si="2"/>
        <v>18897.775040467604</v>
      </c>
      <c r="G26" s="22">
        <f t="shared" si="3"/>
        <v>56584.317374164435</v>
      </c>
      <c r="H26" s="22">
        <f t="shared" si="4"/>
        <v>38454.383097466889</v>
      </c>
      <c r="I26" s="25">
        <v>0</v>
      </c>
    </row>
    <row r="27" spans="2:9" x14ac:dyDescent="0.25">
      <c r="B27" s="10" t="s">
        <v>15</v>
      </c>
      <c r="C27" s="22">
        <f t="shared" si="0"/>
        <v>681.18293141045626</v>
      </c>
      <c r="D27" s="21"/>
      <c r="E27" s="22">
        <f t="shared" si="1"/>
        <v>-1404.1629755654374</v>
      </c>
      <c r="F27" s="22">
        <f t="shared" si="2"/>
        <v>433.68517966686215</v>
      </c>
      <c r="G27" s="22">
        <f t="shared" si="3"/>
        <v>1298.5539194001351</v>
      </c>
      <c r="H27" s="22">
        <f t="shared" si="4"/>
        <v>882.48992312010387</v>
      </c>
      <c r="I27" s="25">
        <f>$I$20*(F12/$F$16)</f>
        <v>0</v>
      </c>
    </row>
    <row r="28" spans="2:9" x14ac:dyDescent="0.25">
      <c r="B28" s="10" t="s">
        <v>16</v>
      </c>
      <c r="C28" s="22">
        <f t="shared" si="0"/>
        <v>274.6127383242989</v>
      </c>
      <c r="D28" s="21"/>
      <c r="E28" s="22">
        <f t="shared" si="1"/>
        <v>-566.0756046473382</v>
      </c>
      <c r="F28" s="22">
        <f t="shared" si="2"/>
        <v>174.83625802599556</v>
      </c>
      <c r="G28" s="22">
        <f t="shared" si="3"/>
        <v>523.50026876018137</v>
      </c>
      <c r="H28" s="22">
        <f t="shared" si="4"/>
        <v>355.76783145434484</v>
      </c>
      <c r="I28" s="25">
        <f>$I$20*(F13/$F$16)</f>
        <v>204.25428719064305</v>
      </c>
    </row>
    <row r="29" spans="2:9" x14ac:dyDescent="0.25">
      <c r="B29" s="16" t="s">
        <v>17</v>
      </c>
      <c r="C29" s="22">
        <f t="shared" si="0"/>
        <v>4639.7951542336632</v>
      </c>
      <c r="D29" s="26"/>
      <c r="E29" s="22">
        <f t="shared" si="1"/>
        <v>-9564.2862869344517</v>
      </c>
      <c r="F29" s="22">
        <f t="shared" si="2"/>
        <v>2953.994150902729</v>
      </c>
      <c r="G29" s="22">
        <f t="shared" si="3"/>
        <v>8844.9429733485431</v>
      </c>
      <c r="H29" s="22">
        <f t="shared" si="4"/>
        <v>6010.9733819584717</v>
      </c>
      <c r="I29" s="25">
        <f>$I$20*(F14/$F$16)</f>
        <v>9235.5716679880115</v>
      </c>
    </row>
    <row r="30" spans="2:9" x14ac:dyDescent="0.25">
      <c r="B30" s="18" t="s">
        <v>21</v>
      </c>
      <c r="C30" s="27">
        <f t="shared" ref="C30:I30" si="5">SUM(C22:C29)</f>
        <v>538511.06337200012</v>
      </c>
      <c r="D30" s="27">
        <f t="shared" si="5"/>
        <v>23909.255948000002</v>
      </c>
      <c r="E30" s="27">
        <f t="shared" si="5"/>
        <v>-1110064.9506200007</v>
      </c>
      <c r="F30" s="27">
        <f t="shared" si="5"/>
        <v>342851.02650400007</v>
      </c>
      <c r="G30" s="27">
        <f t="shared" si="5"/>
        <v>1026575.4171703999</v>
      </c>
      <c r="H30" s="27">
        <f t="shared" si="5"/>
        <v>697654.86626400042</v>
      </c>
      <c r="I30" s="28">
        <f t="shared" si="5"/>
        <v>532020.64988000027</v>
      </c>
    </row>
    <row r="32" spans="2:9" x14ac:dyDescent="0.25">
      <c r="B32" s="40" t="s">
        <v>135</v>
      </c>
      <c r="C32" s="41"/>
      <c r="D32" s="41"/>
      <c r="E32" s="41"/>
      <c r="F32" s="41"/>
      <c r="G32" s="42"/>
    </row>
    <row r="33" spans="2:11" x14ac:dyDescent="0.25">
      <c r="B33" s="29" t="s">
        <v>32</v>
      </c>
      <c r="C33" s="150" t="s">
        <v>62</v>
      </c>
      <c r="D33" s="150"/>
      <c r="E33" s="150" t="s">
        <v>63</v>
      </c>
      <c r="F33" s="150"/>
      <c r="G33" s="144" t="s">
        <v>21</v>
      </c>
    </row>
    <row r="34" spans="2:11" x14ac:dyDescent="0.25">
      <c r="B34" s="32" t="s">
        <v>33</v>
      </c>
      <c r="C34" s="147">
        <v>46267.11</v>
      </c>
      <c r="D34" s="147"/>
      <c r="E34" s="147">
        <v>-4779.5200000000004</v>
      </c>
      <c r="F34" s="147"/>
      <c r="G34" s="145"/>
    </row>
    <row r="35" spans="2:11" ht="30" x14ac:dyDescent="0.25">
      <c r="B35" s="33" t="s">
        <v>8</v>
      </c>
      <c r="C35" s="115" t="s">
        <v>104</v>
      </c>
      <c r="D35" s="115" t="s">
        <v>103</v>
      </c>
      <c r="E35" s="115" t="s">
        <v>104</v>
      </c>
      <c r="F35" s="115" t="s">
        <v>103</v>
      </c>
      <c r="G35" s="146"/>
    </row>
    <row r="36" spans="2:11" x14ac:dyDescent="0.25">
      <c r="B36" s="11" t="s">
        <v>11</v>
      </c>
      <c r="C36" s="54">
        <v>0.31065815629852322</v>
      </c>
      <c r="D36" s="31">
        <f>ROUND(C36*C$34,2)</f>
        <v>14373.26</v>
      </c>
      <c r="E36" s="54">
        <v>0.53359704901556426</v>
      </c>
      <c r="F36" s="31">
        <f t="shared" ref="F36:F43" si="6">$E$34*E36</f>
        <v>-2550.3377677108701</v>
      </c>
      <c r="G36" s="25">
        <f>D36+F36</f>
        <v>11822.922232289129</v>
      </c>
    </row>
    <row r="37" spans="2:11" x14ac:dyDescent="0.25">
      <c r="B37" s="10" t="s">
        <v>12</v>
      </c>
      <c r="C37" s="55">
        <v>0.13535430344757818</v>
      </c>
      <c r="D37" s="31">
        <f t="shared" ref="D37:D43" si="7">ROUND(C37*C$34,2)</f>
        <v>6262.45</v>
      </c>
      <c r="E37" s="55">
        <v>0.14542143733737417</v>
      </c>
      <c r="F37" s="31">
        <f t="shared" si="6"/>
        <v>-695.0446681827267</v>
      </c>
      <c r="G37" s="25">
        <f t="shared" ref="G37:G43" si="8">D37+F37</f>
        <v>5567.4053318172728</v>
      </c>
    </row>
    <row r="38" spans="2:11" x14ac:dyDescent="0.25">
      <c r="B38" s="10" t="s">
        <v>13</v>
      </c>
      <c r="C38" s="55">
        <v>0.28499103917806462</v>
      </c>
      <c r="D38" s="31">
        <f t="shared" si="7"/>
        <v>13185.71</v>
      </c>
      <c r="E38" s="55">
        <v>0.11140787074527751</v>
      </c>
      <c r="F38" s="31">
        <f t="shared" si="6"/>
        <v>-532.47614638446885</v>
      </c>
      <c r="G38" s="25">
        <f t="shared" si="8"/>
        <v>12653.233853615529</v>
      </c>
    </row>
    <row r="39" spans="2:11" x14ac:dyDescent="0.25">
      <c r="B39" s="10" t="s">
        <v>14</v>
      </c>
      <c r="C39" s="55">
        <v>0.2098934498590686</v>
      </c>
      <c r="D39" s="31">
        <f t="shared" si="7"/>
        <v>9711.16</v>
      </c>
      <c r="E39" s="55">
        <v>0.18005759908209176</v>
      </c>
      <c r="F39" s="31">
        <f t="shared" si="6"/>
        <v>-860.58889596483925</v>
      </c>
      <c r="G39" s="25">
        <f t="shared" si="8"/>
        <v>8850.5711040351598</v>
      </c>
    </row>
    <row r="40" spans="2:11" x14ac:dyDescent="0.25">
      <c r="B40" s="10" t="s">
        <v>60</v>
      </c>
      <c r="C40" s="55">
        <v>4.8321708223720748E-2</v>
      </c>
      <c r="D40" s="31">
        <f t="shared" si="7"/>
        <v>2235.71</v>
      </c>
      <c r="E40" s="55">
        <v>1.8260759961060285E-2</v>
      </c>
      <c r="F40" s="31">
        <f t="shared" si="6"/>
        <v>-87.277667449086863</v>
      </c>
      <c r="G40" s="25">
        <f t="shared" si="8"/>
        <v>2148.4323325509131</v>
      </c>
    </row>
    <row r="41" spans="2:11" x14ac:dyDescent="0.25">
      <c r="B41" s="10" t="s">
        <v>15</v>
      </c>
      <c r="C41" s="55">
        <v>1.6222344241380335E-3</v>
      </c>
      <c r="D41" s="31">
        <f t="shared" si="7"/>
        <v>75.06</v>
      </c>
      <c r="E41" s="55">
        <v>9.8228779895217122E-4</v>
      </c>
      <c r="F41" s="31">
        <f t="shared" si="6"/>
        <v>-4.6948641808478815</v>
      </c>
      <c r="G41" s="25">
        <f t="shared" si="8"/>
        <v>70.365135819152115</v>
      </c>
    </row>
    <row r="42" spans="2:11" x14ac:dyDescent="0.25">
      <c r="B42" s="10" t="s">
        <v>16</v>
      </c>
      <c r="C42" s="55">
        <v>5.2082706902836155E-4</v>
      </c>
      <c r="D42" s="31">
        <f t="shared" si="7"/>
        <v>24.1</v>
      </c>
      <c r="E42" s="55">
        <v>1.3933840540497589E-3</v>
      </c>
      <c r="F42" s="31">
        <f t="shared" si="6"/>
        <v>-6.659706954011904</v>
      </c>
      <c r="G42" s="25">
        <f t="shared" si="8"/>
        <v>17.440293045988099</v>
      </c>
    </row>
    <row r="43" spans="2:11" x14ac:dyDescent="0.25">
      <c r="B43" s="16" t="s">
        <v>17</v>
      </c>
      <c r="C43" s="55">
        <v>8.6382814998782493E-3</v>
      </c>
      <c r="D43" s="31">
        <f t="shared" si="7"/>
        <v>399.67</v>
      </c>
      <c r="E43" s="56">
        <v>8.8796120056300054E-3</v>
      </c>
      <c r="F43" s="31">
        <f t="shared" si="6"/>
        <v>-42.440283173148728</v>
      </c>
      <c r="G43" s="25">
        <f t="shared" si="8"/>
        <v>357.2297168268513</v>
      </c>
    </row>
    <row r="44" spans="2:11" x14ac:dyDescent="0.25">
      <c r="B44" s="18" t="s">
        <v>21</v>
      </c>
      <c r="C44" s="19"/>
      <c r="D44" s="36">
        <f>SUM(D36:D43)</f>
        <v>46267.119999999995</v>
      </c>
      <c r="E44" s="36"/>
      <c r="F44" s="36">
        <f>SUM(F36:F43)</f>
        <v>-4779.5200000000004</v>
      </c>
      <c r="G44" s="28">
        <f>SUM(G36:G43)</f>
        <v>41487.599999999991</v>
      </c>
    </row>
    <row r="45" spans="2:11" x14ac:dyDescent="0.25">
      <c r="K45" s="4"/>
    </row>
    <row r="46" spans="2:11" ht="15.75" thickBot="1" x14ac:dyDescent="0.3">
      <c r="B46" s="40" t="s">
        <v>34</v>
      </c>
      <c r="C46" s="41"/>
      <c r="D46" s="41"/>
      <c r="E46" s="41"/>
      <c r="F46" s="41"/>
      <c r="G46" s="42"/>
    </row>
    <row r="47" spans="2:11" ht="45" x14ac:dyDescent="0.25">
      <c r="B47" s="13" t="s">
        <v>8</v>
      </c>
      <c r="C47" s="38" t="s">
        <v>22</v>
      </c>
      <c r="D47" s="14" t="s">
        <v>42</v>
      </c>
      <c r="E47" s="14" t="s">
        <v>82</v>
      </c>
      <c r="F47" s="14" t="s">
        <v>64</v>
      </c>
      <c r="G47" s="15" t="s">
        <v>83</v>
      </c>
      <c r="I47" s="65" t="s">
        <v>81</v>
      </c>
    </row>
    <row r="48" spans="2:11" x14ac:dyDescent="0.25">
      <c r="B48" s="11" t="s">
        <v>11</v>
      </c>
      <c r="C48" s="12" t="s">
        <v>23</v>
      </c>
      <c r="D48" s="31">
        <f t="shared" ref="D48:D55" si="9">SUM(C22:H22)+D36+F36</f>
        <v>485755.21246440761</v>
      </c>
      <c r="E48" s="37">
        <f t="shared" ref="E48:E55" si="10">IF(D48=0,0,IF($C48="kWh",ROUND(D48/CK_DISYR/$D7,4),ROUND(D48/CK_DISYR/$E7,4)))</f>
        <v>2.2000000000000001E-3</v>
      </c>
      <c r="F48" s="31">
        <f>I22</f>
        <v>29886.464883709345</v>
      </c>
      <c r="G48" s="70">
        <f t="shared" ref="G48:G55" si="11">IF(F48=0,0,IF($C48="kWh",ROUND(F48/CK_DISYR/$F7,4),ROUND(F48/CK_DISYR/$G7,4)))</f>
        <v>1.5E-3</v>
      </c>
      <c r="I48" s="148">
        <v>1</v>
      </c>
    </row>
    <row r="49" spans="2:9" ht="15.75" thickBot="1" x14ac:dyDescent="0.3">
      <c r="B49" s="10" t="s">
        <v>12</v>
      </c>
      <c r="C49" s="9" t="s">
        <v>23</v>
      </c>
      <c r="D49" s="31">
        <f t="shared" si="9"/>
        <v>185231.00716600759</v>
      </c>
      <c r="E49" s="37">
        <f t="shared" si="10"/>
        <v>2.2000000000000001E-3</v>
      </c>
      <c r="F49" s="31">
        <f t="shared" ref="F49:F55" si="12">I23</f>
        <v>18164.549863036638</v>
      </c>
      <c r="G49" s="70">
        <f t="shared" si="11"/>
        <v>1.5E-3</v>
      </c>
      <c r="I49" s="149"/>
    </row>
    <row r="50" spans="2:9" x14ac:dyDescent="0.25">
      <c r="B50" s="10" t="s">
        <v>13</v>
      </c>
      <c r="C50" s="9" t="s">
        <v>24</v>
      </c>
      <c r="D50" s="31">
        <f t="shared" si="9"/>
        <v>545476.35665407858</v>
      </c>
      <c r="E50" s="37">
        <f t="shared" si="10"/>
        <v>0.78900000000000003</v>
      </c>
      <c r="F50" s="31">
        <f t="shared" si="12"/>
        <v>306062.46693863318</v>
      </c>
      <c r="G50" s="70">
        <f t="shared" si="11"/>
        <v>0.52049999999999996</v>
      </c>
    </row>
    <row r="51" spans="2:9" x14ac:dyDescent="0.25">
      <c r="B51" s="10" t="s">
        <v>14</v>
      </c>
      <c r="C51" s="9" t="s">
        <v>24</v>
      </c>
      <c r="D51" s="31">
        <f t="shared" si="9"/>
        <v>243895.71048256996</v>
      </c>
      <c r="E51" s="37">
        <f t="shared" si="10"/>
        <v>0.87619999999999998</v>
      </c>
      <c r="F51" s="31">
        <f t="shared" si="12"/>
        <v>168467.34223944246</v>
      </c>
      <c r="G51" s="70">
        <f t="shared" si="11"/>
        <v>0.60519999999999996</v>
      </c>
    </row>
    <row r="52" spans="2:9" x14ac:dyDescent="0.25">
      <c r="B52" s="10" t="s">
        <v>60</v>
      </c>
      <c r="C52" s="9" t="s">
        <v>24</v>
      </c>
      <c r="D52" s="31">
        <f t="shared" si="9"/>
        <v>84581.14688218564</v>
      </c>
      <c r="E52" s="37">
        <f t="shared" si="10"/>
        <v>0.96260000000000001</v>
      </c>
      <c r="F52" s="31">
        <f t="shared" si="12"/>
        <v>0</v>
      </c>
      <c r="G52" s="70">
        <f t="shared" si="11"/>
        <v>0</v>
      </c>
    </row>
    <row r="53" spans="2:9" x14ac:dyDescent="0.25">
      <c r="B53" s="10" t="s">
        <v>15</v>
      </c>
      <c r="C53" s="9" t="s">
        <v>23</v>
      </c>
      <c r="D53" s="31">
        <f t="shared" si="9"/>
        <v>1962.1141138512721</v>
      </c>
      <c r="E53" s="37">
        <f t="shared" si="10"/>
        <v>2.2000000000000001E-3</v>
      </c>
      <c r="F53" s="31">
        <f t="shared" si="12"/>
        <v>0</v>
      </c>
      <c r="G53" s="70">
        <f t="shared" si="11"/>
        <v>0</v>
      </c>
    </row>
    <row r="54" spans="2:9" x14ac:dyDescent="0.25">
      <c r="B54" s="10" t="s">
        <v>16</v>
      </c>
      <c r="C54" s="73" t="s">
        <v>24</v>
      </c>
      <c r="D54" s="31">
        <f t="shared" si="9"/>
        <v>780.08178496347057</v>
      </c>
      <c r="E54" s="37">
        <f t="shared" si="10"/>
        <v>0.77849999999999997</v>
      </c>
      <c r="F54" s="31">
        <f t="shared" si="12"/>
        <v>204.25428719064305</v>
      </c>
      <c r="G54" s="70">
        <f t="shared" si="11"/>
        <v>0.57699999999999996</v>
      </c>
    </row>
    <row r="55" spans="2:9" x14ac:dyDescent="0.25">
      <c r="B55" s="16" t="s">
        <v>17</v>
      </c>
      <c r="C55" s="17" t="s">
        <v>24</v>
      </c>
      <c r="D55" s="31">
        <f t="shared" si="9"/>
        <v>13242.649090335804</v>
      </c>
      <c r="E55" s="37">
        <f t="shared" si="10"/>
        <v>0.72819999999999996</v>
      </c>
      <c r="F55" s="31">
        <f t="shared" si="12"/>
        <v>9235.5716679880115</v>
      </c>
      <c r="G55" s="70">
        <f t="shared" si="11"/>
        <v>0.50780000000000003</v>
      </c>
    </row>
    <row r="56" spans="2:9" x14ac:dyDescent="0.25">
      <c r="B56" s="18" t="s">
        <v>21</v>
      </c>
      <c r="C56" s="19"/>
      <c r="D56" s="36">
        <f>SUM(D48:D55)</f>
        <v>1560924.2786383997</v>
      </c>
      <c r="E56" s="36"/>
      <c r="F56" s="36">
        <f>SUM(F48:F55)</f>
        <v>532020.64988000027</v>
      </c>
      <c r="G56" s="126"/>
    </row>
    <row r="57" spans="2:9" x14ac:dyDescent="0.25">
      <c r="C57" s="3"/>
      <c r="D57" s="3"/>
      <c r="E57" s="3"/>
    </row>
    <row r="58" spans="2:9" x14ac:dyDescent="0.25">
      <c r="B58" s="140" t="s">
        <v>66</v>
      </c>
    </row>
    <row r="59" spans="2:9" x14ac:dyDescent="0.25">
      <c r="B59" t="s">
        <v>67</v>
      </c>
    </row>
    <row r="60" spans="2:9" x14ac:dyDescent="0.25">
      <c r="B60" t="s">
        <v>132</v>
      </c>
    </row>
  </sheetData>
  <mergeCells count="6">
    <mergeCell ref="G33:G35"/>
    <mergeCell ref="E34:F34"/>
    <mergeCell ref="I48:I49"/>
    <mergeCell ref="C33:D33"/>
    <mergeCell ref="C34:D34"/>
    <mergeCell ref="E33:F33"/>
  </mergeCells>
  <pageMargins left="0.25" right="0.25" top="0.5" bottom="0.5" header="0.3" footer="0.3"/>
  <pageSetup scale="70" orientation="portrait" r:id="rId1"/>
  <headerFooter>
    <oddFooter>&amp;L&amp;8&amp;F
Tab: &amp;A&amp;R&amp;8&amp;P/&amp;N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showGridLines="0" zoomScale="120" zoomScaleNormal="120" workbookViewId="0">
      <selection activeCell="M18" sqref="M18"/>
    </sheetView>
  </sheetViews>
  <sheetFormatPr defaultRowHeight="15" x14ac:dyDescent="0.25"/>
  <cols>
    <col min="1" max="1" width="2.7109375" customWidth="1"/>
    <col min="2" max="2" width="47.5703125" bestFit="1" customWidth="1"/>
    <col min="3" max="3" width="13.7109375" style="1" customWidth="1"/>
    <col min="4" max="4" width="14.28515625" style="1" customWidth="1"/>
    <col min="5" max="6" width="13.7109375" style="1" customWidth="1"/>
    <col min="7" max="14" width="13.7109375" customWidth="1"/>
    <col min="15" max="15" width="15.5703125" bestFit="1" customWidth="1"/>
    <col min="16" max="16" width="11.140625" bestFit="1" customWidth="1"/>
  </cols>
  <sheetData>
    <row r="1" spans="2:10" ht="18.75" x14ac:dyDescent="0.3">
      <c r="B1" s="5" t="s">
        <v>25</v>
      </c>
      <c r="C1" s="6"/>
      <c r="D1" s="6"/>
      <c r="E1" s="6"/>
      <c r="F1" s="6"/>
      <c r="G1" s="5"/>
      <c r="H1" s="5"/>
      <c r="I1" s="5"/>
    </row>
    <row r="2" spans="2:10" ht="18.75" x14ac:dyDescent="0.3">
      <c r="B2" s="5" t="s">
        <v>88</v>
      </c>
      <c r="C2" s="6"/>
      <c r="D2" s="6"/>
      <c r="E2" s="6"/>
      <c r="F2" s="6"/>
      <c r="G2" s="5"/>
      <c r="H2" s="5"/>
      <c r="I2" s="5"/>
    </row>
    <row r="3" spans="2:10" ht="19.5" thickBot="1" x14ac:dyDescent="0.35">
      <c r="B3" s="7" t="s">
        <v>133</v>
      </c>
      <c r="C3" s="8"/>
      <c r="D3" s="8"/>
      <c r="E3" s="8"/>
      <c r="F3" s="8"/>
      <c r="G3" s="7"/>
      <c r="H3" s="5"/>
      <c r="I3" s="5"/>
    </row>
    <row r="4" spans="2:10" s="138" customFormat="1" x14ac:dyDescent="0.25">
      <c r="B4" s="43"/>
      <c r="C4" s="44"/>
      <c r="D4" s="44"/>
      <c r="E4" s="44"/>
      <c r="F4" s="44"/>
      <c r="G4" s="43"/>
      <c r="H4" s="43"/>
      <c r="I4" s="43"/>
    </row>
    <row r="5" spans="2:10" x14ac:dyDescent="0.25">
      <c r="B5" s="40" t="s">
        <v>127</v>
      </c>
      <c r="C5" s="41"/>
      <c r="D5" s="41"/>
      <c r="E5" s="41"/>
      <c r="F5" s="41"/>
      <c r="G5" s="42"/>
      <c r="H5" s="44"/>
      <c r="I5" s="43"/>
      <c r="J5" s="1"/>
    </row>
    <row r="6" spans="2:10" ht="30" x14ac:dyDescent="0.25">
      <c r="B6" s="13" t="s">
        <v>8</v>
      </c>
      <c r="C6" s="59" t="s">
        <v>80</v>
      </c>
      <c r="D6" s="14" t="s">
        <v>26</v>
      </c>
      <c r="E6" s="14" t="s">
        <v>27</v>
      </c>
      <c r="F6" s="14" t="s">
        <v>28</v>
      </c>
      <c r="G6" s="15" t="s">
        <v>29</v>
      </c>
      <c r="H6" s="44"/>
      <c r="I6" s="43"/>
      <c r="J6" s="1"/>
    </row>
    <row r="7" spans="2:10" x14ac:dyDescent="0.25">
      <c r="B7" s="11" t="s">
        <v>11</v>
      </c>
      <c r="C7" s="127"/>
      <c r="D7" s="128"/>
      <c r="E7" s="128"/>
      <c r="F7" s="128"/>
      <c r="G7" s="129"/>
      <c r="H7" s="44"/>
      <c r="I7" s="43"/>
      <c r="J7" s="1"/>
    </row>
    <row r="8" spans="2:10" x14ac:dyDescent="0.25">
      <c r="B8" s="10" t="s">
        <v>12</v>
      </c>
      <c r="C8" s="127"/>
      <c r="D8" s="128"/>
      <c r="E8" s="128"/>
      <c r="F8" s="128"/>
      <c r="G8" s="129"/>
      <c r="H8" s="44"/>
      <c r="I8" s="43"/>
      <c r="J8" s="1"/>
    </row>
    <row r="9" spans="2:10" x14ac:dyDescent="0.25">
      <c r="B9" s="10" t="s">
        <v>13</v>
      </c>
      <c r="C9" s="66">
        <v>71</v>
      </c>
      <c r="D9" s="128"/>
      <c r="E9" s="128"/>
      <c r="F9" s="46">
        <v>49104777.979999997</v>
      </c>
      <c r="G9" s="57">
        <v>137842.23999999999</v>
      </c>
      <c r="H9" s="44"/>
      <c r="I9" s="43"/>
      <c r="J9" s="1"/>
    </row>
    <row r="10" spans="2:10" x14ac:dyDescent="0.25">
      <c r="B10" s="10" t="s">
        <v>14</v>
      </c>
      <c r="C10" s="66">
        <v>1</v>
      </c>
      <c r="D10" s="128"/>
      <c r="E10" s="128"/>
      <c r="F10" s="46">
        <v>8276551.96</v>
      </c>
      <c r="G10" s="57">
        <v>16790.400000000001</v>
      </c>
      <c r="H10" s="44"/>
      <c r="I10" s="43"/>
      <c r="J10" s="1"/>
    </row>
    <row r="11" spans="2:10" x14ac:dyDescent="0.25">
      <c r="B11" s="10" t="s">
        <v>130</v>
      </c>
      <c r="C11" s="127"/>
      <c r="D11" s="128"/>
      <c r="E11" s="128"/>
      <c r="F11" s="128"/>
      <c r="G11" s="129"/>
      <c r="H11" s="44"/>
      <c r="I11" s="43"/>
      <c r="J11" s="1"/>
    </row>
    <row r="12" spans="2:10" x14ac:dyDescent="0.25">
      <c r="B12" s="10" t="s">
        <v>15</v>
      </c>
      <c r="C12" s="127"/>
      <c r="D12" s="128"/>
      <c r="E12" s="128"/>
      <c r="F12" s="128"/>
      <c r="G12" s="129"/>
      <c r="H12" s="44"/>
      <c r="I12" s="43"/>
      <c r="J12" s="1"/>
    </row>
    <row r="13" spans="2:10" x14ac:dyDescent="0.25">
      <c r="B13" s="10" t="s">
        <v>16</v>
      </c>
      <c r="C13" s="127"/>
      <c r="D13" s="128"/>
      <c r="E13" s="128"/>
      <c r="F13" s="128"/>
      <c r="G13" s="129"/>
      <c r="H13" s="44"/>
      <c r="I13" s="43"/>
      <c r="J13" s="1"/>
    </row>
    <row r="14" spans="2:10" x14ac:dyDescent="0.25">
      <c r="B14" s="16" t="s">
        <v>17</v>
      </c>
      <c r="C14" s="127"/>
      <c r="D14" s="128"/>
      <c r="E14" s="128"/>
      <c r="F14" s="128"/>
      <c r="G14" s="129"/>
      <c r="H14" s="44"/>
      <c r="I14" s="43"/>
      <c r="J14" s="1"/>
    </row>
    <row r="15" spans="2:10" x14ac:dyDescent="0.25">
      <c r="B15" s="18" t="s">
        <v>21</v>
      </c>
      <c r="C15" s="67">
        <f>SUM(C7:C14)</f>
        <v>72</v>
      </c>
      <c r="D15" s="19">
        <f>SUM(D7:D14)</f>
        <v>0</v>
      </c>
      <c r="E15" s="19">
        <f>SUM(E7:E14)</f>
        <v>0</v>
      </c>
      <c r="F15" s="19">
        <f>SUM(F7:F14)</f>
        <v>57381329.939999998</v>
      </c>
      <c r="G15" s="47">
        <f>SUM(G7:G14)</f>
        <v>154632.63999999998</v>
      </c>
      <c r="H15" s="44"/>
      <c r="I15" s="43"/>
      <c r="J15" s="1"/>
    </row>
    <row r="16" spans="2:10" x14ac:dyDescent="0.25">
      <c r="B16" s="43"/>
      <c r="C16" s="43"/>
      <c r="D16" s="44"/>
      <c r="E16" s="44"/>
      <c r="F16" s="44"/>
      <c r="G16" s="44"/>
      <c r="H16" s="44"/>
      <c r="I16" s="43"/>
      <c r="J16" s="1"/>
    </row>
    <row r="17" spans="2:10" x14ac:dyDescent="0.25">
      <c r="B17" s="40" t="s">
        <v>128</v>
      </c>
      <c r="C17" s="41"/>
      <c r="D17" s="41"/>
      <c r="E17" s="41"/>
      <c r="F17" s="41"/>
      <c r="G17" s="42"/>
    </row>
    <row r="18" spans="2:10" ht="30" x14ac:dyDescent="0.25">
      <c r="B18" s="13" t="s">
        <v>8</v>
      </c>
      <c r="C18" s="59" t="s">
        <v>80</v>
      </c>
      <c r="D18" s="14" t="s">
        <v>26</v>
      </c>
      <c r="E18" s="14" t="s">
        <v>27</v>
      </c>
      <c r="F18" s="14" t="s">
        <v>28</v>
      </c>
      <c r="G18" s="15" t="s">
        <v>29</v>
      </c>
    </row>
    <row r="19" spans="2:10" x14ac:dyDescent="0.25">
      <c r="B19" s="11" t="s">
        <v>11</v>
      </c>
      <c r="C19" s="127">
        <f>'3A. CK Calculation'!C7-'3B. CK Calculation'!C7</f>
        <v>28799</v>
      </c>
      <c r="D19" s="128">
        <f>'3A. CK Calculation'!D7-'3B. CK Calculation'!D7</f>
        <v>216352313</v>
      </c>
      <c r="E19" s="128">
        <f>'3A. CK Calculation'!E7-'3B. CK Calculation'!E7</f>
        <v>0</v>
      </c>
      <c r="F19" s="128">
        <f>'3A. CK Calculation'!F7-'3B. CK Calculation'!F7</f>
        <v>19943840</v>
      </c>
      <c r="G19" s="129">
        <f>'3A. CK Calculation'!G7-'3B. CK Calculation'!G7</f>
        <v>0</v>
      </c>
    </row>
    <row r="20" spans="2:10" x14ac:dyDescent="0.25">
      <c r="B20" s="10" t="s">
        <v>12</v>
      </c>
      <c r="C20" s="127">
        <f>'3A. CK Calculation'!C8-'3B. CK Calculation'!C8</f>
        <v>3087</v>
      </c>
      <c r="D20" s="128">
        <f>'3A. CK Calculation'!D8-'3B. CK Calculation'!D8</f>
        <v>84825628</v>
      </c>
      <c r="E20" s="128">
        <f>'3A. CK Calculation'!E8-'3B. CK Calculation'!E8</f>
        <v>0</v>
      </c>
      <c r="F20" s="128">
        <f>'3A. CK Calculation'!F8-'3B. CK Calculation'!F8</f>
        <v>12121570</v>
      </c>
      <c r="G20" s="129">
        <f>'3A. CK Calculation'!G8-'3B. CK Calculation'!G8</f>
        <v>0</v>
      </c>
    </row>
    <row r="21" spans="2:10" x14ac:dyDescent="0.25">
      <c r="B21" s="10" t="s">
        <v>13</v>
      </c>
      <c r="C21" s="127">
        <f>'3A. CK Calculation'!C9-'3B. CK Calculation'!C9</f>
        <v>310</v>
      </c>
      <c r="D21" s="128">
        <f>'3A. CK Calculation'!D9-'3B. CK Calculation'!D9</f>
        <v>254848303.64429528</v>
      </c>
      <c r="E21" s="128">
        <f>'3A. CK Calculation'!E9-'3B. CK Calculation'!E9</f>
        <v>691390</v>
      </c>
      <c r="F21" s="128">
        <f>'3A. CK Calculation'!F9-'3B. CK Calculation'!F9</f>
        <v>155136871.02000001</v>
      </c>
      <c r="G21" s="129">
        <f>'3A. CK Calculation'!G9-'3B. CK Calculation'!G9</f>
        <v>450151.76</v>
      </c>
      <c r="I21" s="45"/>
    </row>
    <row r="22" spans="2:10" x14ac:dyDescent="0.25">
      <c r="B22" s="10" t="s">
        <v>14</v>
      </c>
      <c r="C22" s="127">
        <f>'3A. CK Calculation'!C10-'3B. CK Calculation'!C10</f>
        <v>12</v>
      </c>
      <c r="D22" s="128">
        <f>'3A. CK Calculation'!D10-'3B. CK Calculation'!D10</f>
        <v>112421650.80153404</v>
      </c>
      <c r="E22" s="128">
        <f>'3A. CK Calculation'!E10-'3B. CK Calculation'!E10</f>
        <v>278345</v>
      </c>
      <c r="F22" s="128">
        <f>'3A. CK Calculation'!F10-'3B. CK Calculation'!F10</f>
        <v>104145098.84153405</v>
      </c>
      <c r="G22" s="129">
        <f>'3A. CK Calculation'!G10-'3B. CK Calculation'!G10</f>
        <v>261554.6</v>
      </c>
    </row>
    <row r="23" spans="2:10" x14ac:dyDescent="0.25">
      <c r="B23" s="10" t="s">
        <v>130</v>
      </c>
      <c r="C23" s="127">
        <f>'3A. CK Calculation'!C11-'3B. CK Calculation'!C11</f>
        <v>1</v>
      </c>
      <c r="D23" s="128">
        <f>'3A. CK Calculation'!D11-'3B. CK Calculation'!D11</f>
        <v>39427413.279952668</v>
      </c>
      <c r="E23" s="128">
        <f>'3A. CK Calculation'!E11-'3B. CK Calculation'!E11</f>
        <v>87871</v>
      </c>
      <c r="F23" s="128">
        <f>'3A. CK Calculation'!F11-'3B. CK Calculation'!F11</f>
        <v>39427413.279952668</v>
      </c>
      <c r="G23" s="129">
        <f>'3A. CK Calculation'!G11-'3B. CK Calculation'!G11</f>
        <v>87871</v>
      </c>
    </row>
    <row r="24" spans="2:10" x14ac:dyDescent="0.25">
      <c r="B24" s="10" t="s">
        <v>15</v>
      </c>
      <c r="C24" s="127">
        <f>'3A. CK Calculation'!C12-'3B. CK Calculation'!C12</f>
        <v>199</v>
      </c>
      <c r="D24" s="128">
        <f>'3A. CK Calculation'!D12-'3B. CK Calculation'!D12</f>
        <v>904820</v>
      </c>
      <c r="E24" s="128">
        <f>'3A. CK Calculation'!E12-'3B. CK Calculation'!E12</f>
        <v>0</v>
      </c>
      <c r="F24" s="128">
        <f>'3A. CK Calculation'!F12-'3B. CK Calculation'!F12</f>
        <v>0</v>
      </c>
      <c r="G24" s="129">
        <f>'3A. CK Calculation'!G12-'3B. CK Calculation'!G12</f>
        <v>0</v>
      </c>
    </row>
    <row r="25" spans="2:10" x14ac:dyDescent="0.25">
      <c r="B25" s="10" t="s">
        <v>16</v>
      </c>
      <c r="C25" s="127">
        <f>'3A. CK Calculation'!C13-'3B. CK Calculation'!C13</f>
        <v>440</v>
      </c>
      <c r="D25" s="128">
        <f>'3A. CK Calculation'!D13-'3B. CK Calculation'!D13</f>
        <v>364770</v>
      </c>
      <c r="E25" s="128">
        <f>'3A. CK Calculation'!E13-'3B. CK Calculation'!E13</f>
        <v>1002</v>
      </c>
      <c r="F25" s="128">
        <f>'3A. CK Calculation'!F13-'3B. CK Calculation'!F13</f>
        <v>136303</v>
      </c>
      <c r="G25" s="129">
        <f>'3A. CK Calculation'!G13-'3B. CK Calculation'!G13</f>
        <v>354</v>
      </c>
    </row>
    <row r="26" spans="2:10" x14ac:dyDescent="0.25">
      <c r="B26" s="16" t="s">
        <v>17</v>
      </c>
      <c r="C26" s="127">
        <f>'3A. CK Calculation'!C14-'3B. CK Calculation'!C14</f>
        <v>10623</v>
      </c>
      <c r="D26" s="128">
        <f>'3A. CK Calculation'!D14-'3B. CK Calculation'!D14</f>
        <v>6163072</v>
      </c>
      <c r="E26" s="128">
        <f>'3A. CK Calculation'!E14-'3B. CK Calculation'!E14</f>
        <v>18186</v>
      </c>
      <c r="F26" s="128">
        <f>'3A. CK Calculation'!F14-'3B. CK Calculation'!F14</f>
        <v>6163083</v>
      </c>
      <c r="G26" s="129">
        <f>'3A. CK Calculation'!G14-'3B. CK Calculation'!G14</f>
        <v>18186</v>
      </c>
    </row>
    <row r="27" spans="2:10" x14ac:dyDescent="0.25">
      <c r="B27" s="18" t="s">
        <v>21</v>
      </c>
      <c r="C27" s="67">
        <f>SUM(C19:C26)</f>
        <v>43471</v>
      </c>
      <c r="D27" s="19">
        <f>SUM(D19:D26)</f>
        <v>715307970.72578192</v>
      </c>
      <c r="E27" s="19">
        <f>SUM(E19:E26)</f>
        <v>1076794</v>
      </c>
      <c r="F27" s="19">
        <f>SUM(F19:F26)</f>
        <v>337074179.1414867</v>
      </c>
      <c r="G27" s="47">
        <f>SUM(G19:G26)</f>
        <v>818117.36</v>
      </c>
      <c r="I27" s="1"/>
    </row>
    <row r="28" spans="2:10" x14ac:dyDescent="0.25">
      <c r="B28" s="43"/>
      <c r="C28" s="43"/>
      <c r="D28" s="44"/>
      <c r="E28" s="44"/>
      <c r="F28" s="44"/>
      <c r="G28" s="44"/>
      <c r="H28" s="44"/>
      <c r="I28" s="43"/>
      <c r="J28" s="1"/>
    </row>
    <row r="29" spans="2:10" x14ac:dyDescent="0.25">
      <c r="B29" s="40" t="s">
        <v>123</v>
      </c>
      <c r="C29" s="41"/>
      <c r="D29" s="41"/>
      <c r="E29" s="41"/>
      <c r="F29" s="42"/>
    </row>
    <row r="30" spans="2:10" ht="45" x14ac:dyDescent="0.25">
      <c r="B30" s="13" t="s">
        <v>8</v>
      </c>
      <c r="C30" s="14" t="s">
        <v>126</v>
      </c>
      <c r="D30" s="14" t="s">
        <v>125</v>
      </c>
      <c r="E30" s="14" t="s">
        <v>122</v>
      </c>
      <c r="F30" s="139" t="s">
        <v>124</v>
      </c>
    </row>
    <row r="31" spans="2:10" x14ac:dyDescent="0.25">
      <c r="B31" s="11" t="s">
        <v>11</v>
      </c>
      <c r="C31" s="137">
        <v>196964</v>
      </c>
      <c r="D31" s="72">
        <v>-164184.01</v>
      </c>
      <c r="E31" s="137">
        <f>ROUND($C$36*(C31/(SUM($C$31:$C$35)+SUM($C$37:$C$38))),2)</f>
        <v>808.82</v>
      </c>
      <c r="F31" s="25">
        <f>SUM(C31:E31)</f>
        <v>33588.80999999999</v>
      </c>
    </row>
    <row r="32" spans="2:10" x14ac:dyDescent="0.25">
      <c r="B32" s="10" t="s">
        <v>12</v>
      </c>
      <c r="C32" s="137">
        <v>79078</v>
      </c>
      <c r="D32" s="72">
        <v>-40655.339999999997</v>
      </c>
      <c r="E32" s="137">
        <f>ROUND($C$36*(C32/(SUM($C$31:$C$35)+SUM($C$37:$C$38))),2)</f>
        <v>324.73</v>
      </c>
      <c r="F32" s="25">
        <f t="shared" ref="F32:F38" si="0">SUM(C32:E32)</f>
        <v>38747.390000000007</v>
      </c>
    </row>
    <row r="33" spans="2:11" x14ac:dyDescent="0.25">
      <c r="B33" s="10" t="s">
        <v>13</v>
      </c>
      <c r="C33" s="137">
        <v>116808</v>
      </c>
      <c r="D33" s="72">
        <v>-800526.14</v>
      </c>
      <c r="E33" s="137">
        <f>ROUND($C$36*(C33/(SUM($C$31:$C$35)+SUM($C$37:$C$38))),2)</f>
        <v>479.67</v>
      </c>
      <c r="F33" s="25">
        <f t="shared" si="0"/>
        <v>-683238.47</v>
      </c>
    </row>
    <row r="34" spans="2:11" x14ac:dyDescent="0.25">
      <c r="B34" s="10" t="s">
        <v>14</v>
      </c>
      <c r="C34" s="137">
        <v>644251</v>
      </c>
      <c r="D34" s="72">
        <v>-468796.63999999996</v>
      </c>
      <c r="E34" s="137">
        <f>ROUND($C$36*(C34/(SUM($C$31:$C$35)+SUM($C$37:$C$38))),2)</f>
        <v>2645.59</v>
      </c>
      <c r="F34" s="25">
        <f t="shared" si="0"/>
        <v>178099.95000000004</v>
      </c>
    </row>
    <row r="35" spans="2:11" x14ac:dyDescent="0.25">
      <c r="B35" s="10" t="s">
        <v>130</v>
      </c>
      <c r="C35" s="137">
        <v>148319</v>
      </c>
      <c r="D35" s="72">
        <v>-115740.20999999999</v>
      </c>
      <c r="E35" s="137">
        <f>ROUND($C$36*(C35/(SUM($C$31:$C$35)+SUM($C$37:$C$38))),2)</f>
        <v>609.05999999999995</v>
      </c>
      <c r="F35" s="25">
        <f t="shared" si="0"/>
        <v>33187.850000000006</v>
      </c>
    </row>
    <row r="36" spans="2:11" x14ac:dyDescent="0.25">
      <c r="B36" s="10" t="s">
        <v>15</v>
      </c>
      <c r="C36" s="137">
        <v>4979</v>
      </c>
      <c r="D36" s="72">
        <v>0</v>
      </c>
      <c r="E36" s="137">
        <f>-C36</f>
        <v>-4979</v>
      </c>
      <c r="F36" s="25">
        <f t="shared" si="0"/>
        <v>0</v>
      </c>
    </row>
    <row r="37" spans="2:11" x14ac:dyDescent="0.25">
      <c r="B37" s="10" t="s">
        <v>16</v>
      </c>
      <c r="C37" s="137">
        <v>548</v>
      </c>
      <c r="D37" s="72">
        <v>-580.49</v>
      </c>
      <c r="E37" s="137">
        <f>ROUND($C$36*(C37/(SUM($C$31:$C$35)+SUM($C$37:$C$38))),2)</f>
        <v>2.25</v>
      </c>
      <c r="F37" s="25">
        <f t="shared" si="0"/>
        <v>-30.240000000000009</v>
      </c>
    </row>
    <row r="38" spans="2:11" x14ac:dyDescent="0.25">
      <c r="B38" s="16" t="s">
        <v>17</v>
      </c>
      <c r="C38" s="137">
        <v>26514</v>
      </c>
      <c r="D38" s="72">
        <v>-14701.44</v>
      </c>
      <c r="E38" s="137">
        <f>ROUND($C$36*(C38/(SUM($C$31:$C$35)+SUM($C$37:$C$38))),2)</f>
        <v>108.88</v>
      </c>
      <c r="F38" s="25">
        <f t="shared" si="0"/>
        <v>11921.439999999999</v>
      </c>
    </row>
    <row r="39" spans="2:11" x14ac:dyDescent="0.25">
      <c r="B39" s="18" t="s">
        <v>21</v>
      </c>
      <c r="C39" s="36">
        <f>SUM(C31:C38)</f>
        <v>1217461</v>
      </c>
      <c r="D39" s="36">
        <f>SUM(D31:D38)</f>
        <v>-1605184.2699999998</v>
      </c>
      <c r="E39" s="36">
        <f>SUM(E31:E38)</f>
        <v>7.9580786405131221E-13</v>
      </c>
      <c r="F39" s="28">
        <f>SUM(F31:F38)</f>
        <v>-387723.26999999996</v>
      </c>
    </row>
    <row r="40" spans="2:11" x14ac:dyDescent="0.25">
      <c r="K40" s="4"/>
    </row>
    <row r="41" spans="2:11" ht="15.75" thickBot="1" x14ac:dyDescent="0.3">
      <c r="B41" s="40" t="s">
        <v>34</v>
      </c>
      <c r="C41" s="41"/>
      <c r="D41" s="41"/>
      <c r="E41" s="42"/>
      <c r="F41"/>
    </row>
    <row r="42" spans="2:11" ht="45" x14ac:dyDescent="0.25">
      <c r="B42" s="13" t="s">
        <v>8</v>
      </c>
      <c r="C42" s="38" t="s">
        <v>22</v>
      </c>
      <c r="D42" s="14" t="s">
        <v>129</v>
      </c>
      <c r="E42" s="15" t="s">
        <v>83</v>
      </c>
      <c r="F42"/>
      <c r="G42" s="65" t="s">
        <v>81</v>
      </c>
    </row>
    <row r="43" spans="2:11" x14ac:dyDescent="0.25">
      <c r="B43" s="11" t="s">
        <v>11</v>
      </c>
      <c r="C43" s="12" t="s">
        <v>23</v>
      </c>
      <c r="D43" s="31">
        <f>F31</f>
        <v>33588.80999999999</v>
      </c>
      <c r="E43" s="70">
        <f t="shared" ref="E43:E50" si="1">IF(D43=0,0,IF($C43="kWh",ROUND(D43/CK_DISYR/$F19,4),ROUND(D43/CK_DISYR/$G19,4)))</f>
        <v>1.6999999999999999E-3</v>
      </c>
      <c r="F43"/>
      <c r="G43" s="148">
        <v>1</v>
      </c>
    </row>
    <row r="44" spans="2:11" ht="15.75" thickBot="1" x14ac:dyDescent="0.3">
      <c r="B44" s="10" t="s">
        <v>12</v>
      </c>
      <c r="C44" s="9" t="s">
        <v>23</v>
      </c>
      <c r="D44" s="31">
        <f t="shared" ref="D44:D50" si="2">F32</f>
        <v>38747.390000000007</v>
      </c>
      <c r="E44" s="70">
        <f t="shared" si="1"/>
        <v>3.2000000000000002E-3</v>
      </c>
      <c r="F44"/>
      <c r="G44" s="149"/>
    </row>
    <row r="45" spans="2:11" x14ac:dyDescent="0.25">
      <c r="B45" s="10" t="s">
        <v>13</v>
      </c>
      <c r="C45" s="9" t="s">
        <v>24</v>
      </c>
      <c r="D45" s="31">
        <f t="shared" si="2"/>
        <v>-683238.47</v>
      </c>
      <c r="E45" s="70">
        <f t="shared" si="1"/>
        <v>-1.5178</v>
      </c>
      <c r="F45"/>
    </row>
    <row r="46" spans="2:11" x14ac:dyDescent="0.25">
      <c r="B46" s="10" t="s">
        <v>14</v>
      </c>
      <c r="C46" s="9" t="s">
        <v>24</v>
      </c>
      <c r="D46" s="31">
        <f t="shared" si="2"/>
        <v>178099.95000000004</v>
      </c>
      <c r="E46" s="70">
        <f t="shared" si="1"/>
        <v>0.68089999999999995</v>
      </c>
      <c r="F46"/>
    </row>
    <row r="47" spans="2:11" x14ac:dyDescent="0.25">
      <c r="B47" s="10" t="s">
        <v>130</v>
      </c>
      <c r="C47" s="9" t="s">
        <v>24</v>
      </c>
      <c r="D47" s="31">
        <f t="shared" si="2"/>
        <v>33187.850000000006</v>
      </c>
      <c r="E47" s="70">
        <f t="shared" si="1"/>
        <v>0.37769999999999998</v>
      </c>
      <c r="F47"/>
    </row>
    <row r="48" spans="2:11" x14ac:dyDescent="0.25">
      <c r="B48" s="10" t="s">
        <v>15</v>
      </c>
      <c r="C48" s="9" t="s">
        <v>23</v>
      </c>
      <c r="D48" s="31">
        <f t="shared" si="2"/>
        <v>0</v>
      </c>
      <c r="E48" s="70">
        <f t="shared" si="1"/>
        <v>0</v>
      </c>
      <c r="F48"/>
    </row>
    <row r="49" spans="2:6" x14ac:dyDescent="0.25">
      <c r="B49" s="10" t="s">
        <v>16</v>
      </c>
      <c r="C49" s="73" t="s">
        <v>24</v>
      </c>
      <c r="D49" s="31">
        <f t="shared" si="2"/>
        <v>-30.240000000000009</v>
      </c>
      <c r="E49" s="70">
        <f t="shared" si="1"/>
        <v>-8.5400000000000004E-2</v>
      </c>
      <c r="F49"/>
    </row>
    <row r="50" spans="2:6" x14ac:dyDescent="0.25">
      <c r="B50" s="16" t="s">
        <v>17</v>
      </c>
      <c r="C50" s="17" t="s">
        <v>24</v>
      </c>
      <c r="D50" s="31">
        <f t="shared" si="2"/>
        <v>11921.439999999999</v>
      </c>
      <c r="E50" s="70">
        <f t="shared" si="1"/>
        <v>0.65549999999999997</v>
      </c>
      <c r="F50"/>
    </row>
    <row r="51" spans="2:6" x14ac:dyDescent="0.25">
      <c r="B51" s="18" t="s">
        <v>21</v>
      </c>
      <c r="C51" s="19"/>
      <c r="D51" s="36">
        <f>SUM(D43:D50)</f>
        <v>-387723.26999999996</v>
      </c>
      <c r="E51" s="126"/>
      <c r="F51"/>
    </row>
    <row r="52" spans="2:6" x14ac:dyDescent="0.25">
      <c r="C52" s="3"/>
      <c r="D52" s="3"/>
      <c r="E52" s="3"/>
    </row>
  </sheetData>
  <mergeCells count="1">
    <mergeCell ref="G43:G44"/>
  </mergeCells>
  <pageMargins left="0.25" right="0.25" top="0.5" bottom="0.5" header="0.3" footer="0.3"/>
  <pageSetup scale="85" orientation="portrait" r:id="rId1"/>
  <headerFooter>
    <oddFooter>&amp;L&amp;8&amp;F
Tab: &amp;A&amp;R&amp;8&amp;P/&amp;N</oddFooter>
  </headerFooter>
  <ignoredErrors>
    <ignoredError sqref="E3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showGridLines="0" topLeftCell="A4" zoomScaleNormal="100" workbookViewId="0">
      <selection activeCell="D6" sqref="D6"/>
    </sheetView>
  </sheetViews>
  <sheetFormatPr defaultRowHeight="15" x14ac:dyDescent="0.25"/>
  <cols>
    <col min="1" max="1" width="1.5703125" customWidth="1"/>
    <col min="2" max="2" width="43.85546875" customWidth="1"/>
    <col min="3" max="6" width="13.7109375" style="1" customWidth="1"/>
    <col min="7" max="13" width="13.7109375" customWidth="1"/>
    <col min="14" max="14" width="15.5703125" bestFit="1" customWidth="1"/>
    <col min="15" max="15" width="11.140625" bestFit="1" customWidth="1"/>
  </cols>
  <sheetData>
    <row r="1" spans="2:9" ht="18.75" x14ac:dyDescent="0.3">
      <c r="B1" s="5" t="s">
        <v>25</v>
      </c>
      <c r="C1" s="6"/>
      <c r="D1" s="6"/>
      <c r="E1" s="6"/>
      <c r="F1" s="6"/>
      <c r="G1" s="5"/>
      <c r="H1" s="5"/>
      <c r="I1" s="5"/>
    </row>
    <row r="2" spans="2:9" ht="19.5" thickBot="1" x14ac:dyDescent="0.35">
      <c r="B2" s="7" t="s">
        <v>35</v>
      </c>
      <c r="C2" s="8"/>
      <c r="D2" s="8"/>
      <c r="E2" s="8"/>
      <c r="F2" s="8"/>
      <c r="G2" s="7"/>
      <c r="H2" s="7"/>
      <c r="I2" s="7"/>
    </row>
    <row r="3" spans="2:9" x14ac:dyDescent="0.25">
      <c r="G3" s="1"/>
      <c r="H3" s="1"/>
    </row>
    <row r="4" spans="2:9" x14ac:dyDescent="0.25">
      <c r="B4" s="40" t="s">
        <v>30</v>
      </c>
      <c r="C4" s="41"/>
      <c r="D4" s="41"/>
      <c r="E4" s="41"/>
      <c r="F4" s="41"/>
      <c r="G4" s="42"/>
    </row>
    <row r="5" spans="2:9" ht="30" x14ac:dyDescent="0.25">
      <c r="B5" s="13" t="s">
        <v>8</v>
      </c>
      <c r="C5" s="59" t="s">
        <v>80</v>
      </c>
      <c r="D5" s="14" t="s">
        <v>26</v>
      </c>
      <c r="E5" s="14" t="s">
        <v>27</v>
      </c>
      <c r="F5" s="14" t="s">
        <v>28</v>
      </c>
      <c r="G5" s="15" t="s">
        <v>29</v>
      </c>
    </row>
    <row r="6" spans="2:9" x14ac:dyDescent="0.25">
      <c r="B6" s="11" t="s">
        <v>11</v>
      </c>
      <c r="C6" s="66">
        <v>6505</v>
      </c>
      <c r="D6" s="46">
        <v>58964339</v>
      </c>
      <c r="E6" s="46">
        <v>0</v>
      </c>
      <c r="F6" s="46">
        <v>6769443</v>
      </c>
      <c r="G6" s="57">
        <v>0</v>
      </c>
    </row>
    <row r="7" spans="2:9" x14ac:dyDescent="0.25">
      <c r="B7" s="10" t="s">
        <v>12</v>
      </c>
      <c r="C7" s="66">
        <v>663</v>
      </c>
      <c r="D7" s="46">
        <v>18380349</v>
      </c>
      <c r="E7" s="46">
        <v>0</v>
      </c>
      <c r="F7" s="46">
        <v>2745076</v>
      </c>
      <c r="G7" s="57">
        <v>0</v>
      </c>
    </row>
    <row r="8" spans="2:9" x14ac:dyDescent="0.25">
      <c r="B8" s="10" t="s">
        <v>13</v>
      </c>
      <c r="C8" s="66">
        <v>96</v>
      </c>
      <c r="D8" s="46">
        <v>90646720</v>
      </c>
      <c r="E8" s="46">
        <v>256034</v>
      </c>
      <c r="F8" s="46">
        <v>87953033</v>
      </c>
      <c r="G8" s="57">
        <v>232841</v>
      </c>
      <c r="I8" s="45"/>
    </row>
    <row r="9" spans="2:9" x14ac:dyDescent="0.25">
      <c r="B9" s="10" t="s">
        <v>38</v>
      </c>
      <c r="C9" s="66">
        <v>1</v>
      </c>
      <c r="D9" s="46">
        <v>4199611</v>
      </c>
      <c r="E9" s="46">
        <v>9630</v>
      </c>
      <c r="F9" s="46">
        <f>D9</f>
        <v>4199611</v>
      </c>
      <c r="G9" s="58">
        <f>E9</f>
        <v>9630</v>
      </c>
    </row>
    <row r="10" spans="2:9" x14ac:dyDescent="0.25">
      <c r="B10" s="10" t="s">
        <v>134</v>
      </c>
      <c r="C10" s="66">
        <v>1</v>
      </c>
      <c r="D10" s="46">
        <v>32247068</v>
      </c>
      <c r="E10" s="46">
        <v>67914</v>
      </c>
      <c r="F10" s="46">
        <v>32247068</v>
      </c>
      <c r="G10" s="58">
        <v>67914</v>
      </c>
    </row>
    <row r="11" spans="2:9" x14ac:dyDescent="0.25">
      <c r="B11" s="10" t="s">
        <v>15</v>
      </c>
      <c r="C11" s="66">
        <v>52</v>
      </c>
      <c r="D11" s="46">
        <v>323846</v>
      </c>
      <c r="E11" s="46">
        <v>0</v>
      </c>
      <c r="F11" s="46">
        <v>85116</v>
      </c>
      <c r="G11" s="58">
        <v>0</v>
      </c>
    </row>
    <row r="12" spans="2:9" x14ac:dyDescent="0.25">
      <c r="B12" s="10" t="s">
        <v>16</v>
      </c>
      <c r="C12" s="66">
        <v>52</v>
      </c>
      <c r="D12" s="46">
        <v>44509</v>
      </c>
      <c r="E12" s="46">
        <v>126</v>
      </c>
      <c r="F12" s="46">
        <v>7442</v>
      </c>
      <c r="G12" s="58">
        <v>43</v>
      </c>
    </row>
    <row r="13" spans="2:9" x14ac:dyDescent="0.25">
      <c r="B13" s="16" t="s">
        <v>17</v>
      </c>
      <c r="C13" s="66">
        <v>2369</v>
      </c>
      <c r="D13" s="46">
        <v>1458104</v>
      </c>
      <c r="E13" s="46">
        <v>4316</v>
      </c>
      <c r="F13" s="46">
        <v>1458103</v>
      </c>
      <c r="G13" s="58">
        <v>4316</v>
      </c>
    </row>
    <row r="14" spans="2:9" x14ac:dyDescent="0.25">
      <c r="B14" s="18" t="s">
        <v>21</v>
      </c>
      <c r="C14" s="68">
        <f>SUM(C6:C13)</f>
        <v>9739</v>
      </c>
      <c r="D14" s="19">
        <f>SUM(D6:D13)</f>
        <v>206264546</v>
      </c>
      <c r="E14" s="19">
        <f>SUM(E6:E13)</f>
        <v>338020</v>
      </c>
      <c r="F14" s="19">
        <f>SUM(F6:F13)</f>
        <v>135464892</v>
      </c>
      <c r="G14" s="47">
        <f>SUM(G6:G13)</f>
        <v>314744</v>
      </c>
      <c r="I14" s="1"/>
    </row>
    <row r="15" spans="2:9" x14ac:dyDescent="0.25">
      <c r="B15" s="43" t="s">
        <v>57</v>
      </c>
      <c r="C15" s="43"/>
      <c r="D15" s="44">
        <f>D14-D9</f>
        <v>202064935</v>
      </c>
      <c r="E15" s="44"/>
      <c r="F15" s="44"/>
      <c r="G15" s="44"/>
      <c r="H15" s="44"/>
      <c r="I15" s="43"/>
    </row>
    <row r="16" spans="2:9" x14ac:dyDescent="0.25">
      <c r="B16" s="43" t="s">
        <v>58</v>
      </c>
      <c r="C16" s="43"/>
      <c r="D16" s="44"/>
      <c r="E16" s="44"/>
      <c r="F16" s="44">
        <f>F14-F9-F10</f>
        <v>99018213</v>
      </c>
      <c r="G16" s="44"/>
      <c r="H16" s="44"/>
      <c r="I16" s="43"/>
    </row>
    <row r="18" spans="2:9" x14ac:dyDescent="0.25">
      <c r="B18" s="40" t="s">
        <v>109</v>
      </c>
      <c r="C18" s="41"/>
      <c r="D18" s="41"/>
      <c r="E18" s="41"/>
      <c r="F18" s="41"/>
      <c r="G18" s="41"/>
      <c r="H18" s="41"/>
      <c r="I18" s="42"/>
    </row>
    <row r="19" spans="2:9" x14ac:dyDescent="0.25">
      <c r="B19" s="29" t="s">
        <v>9</v>
      </c>
      <c r="C19" s="23">
        <v>1550</v>
      </c>
      <c r="D19" s="23">
        <v>1551</v>
      </c>
      <c r="E19" s="23">
        <v>1580</v>
      </c>
      <c r="F19" s="23">
        <v>1584</v>
      </c>
      <c r="G19" s="23">
        <v>1586</v>
      </c>
      <c r="H19" s="23">
        <v>1588</v>
      </c>
      <c r="I19" s="24">
        <v>1589</v>
      </c>
    </row>
    <row r="20" spans="2:9" x14ac:dyDescent="0.25">
      <c r="B20" s="48" t="s">
        <v>59</v>
      </c>
      <c r="C20" s="50">
        <f>'1. Balances for Disposition'!N23</f>
        <v>78718.859306529455</v>
      </c>
      <c r="D20" s="50">
        <f>'1. Balances for Disposition'!N24</f>
        <v>4900.6106534346527</v>
      </c>
      <c r="E20" s="50">
        <f>'1. Balances for Disposition'!N25</f>
        <v>-141999.29823854016</v>
      </c>
      <c r="F20" s="50">
        <f>'1. Balances for Disposition'!N26</f>
        <v>4306.985437266886</v>
      </c>
      <c r="G20" s="50">
        <f>'1. Balances for Disposition'!N27</f>
        <v>132688.47746614242</v>
      </c>
      <c r="H20" s="50">
        <f>'1. Balances for Disposition'!N28</f>
        <v>216618.42942402011</v>
      </c>
      <c r="I20" s="51">
        <f>'1. Balances for Disposition'!N29</f>
        <v>-74356.200269342356</v>
      </c>
    </row>
    <row r="21" spans="2:9" s="39" customFormat="1" ht="36" x14ac:dyDescent="0.25">
      <c r="B21" s="49" t="s">
        <v>36</v>
      </c>
      <c r="C21" s="52" t="s">
        <v>10</v>
      </c>
      <c r="D21" s="52" t="s">
        <v>72</v>
      </c>
      <c r="E21" s="52" t="s">
        <v>37</v>
      </c>
      <c r="F21" s="52" t="s">
        <v>10</v>
      </c>
      <c r="G21" s="52" t="s">
        <v>10</v>
      </c>
      <c r="H21" s="52" t="s">
        <v>37</v>
      </c>
      <c r="I21" s="53" t="s">
        <v>39</v>
      </c>
    </row>
    <row r="22" spans="2:9" x14ac:dyDescent="0.25">
      <c r="B22" s="11" t="s">
        <v>11</v>
      </c>
      <c r="C22" s="22">
        <f t="shared" ref="C22:C29" si="0">$C$20*D6/$D$14</f>
        <v>22503.166908012914</v>
      </c>
      <c r="D22" s="22">
        <f>$D$20*C6/SUM($C$6:$C$7)</f>
        <v>4447.3315151496117</v>
      </c>
      <c r="E22" s="22">
        <f>$E$20*(D6/$D$15)</f>
        <v>-41436.653811802549</v>
      </c>
      <c r="F22" s="22">
        <f t="shared" ref="F22:F29" si="1">$F$20*(D6/$D$14)</f>
        <v>1231.2273452514125</v>
      </c>
      <c r="G22" s="22">
        <f t="shared" ref="G22:G29" si="2">$G$20*(D6/$D$14)</f>
        <v>37931.329055006296</v>
      </c>
      <c r="H22" s="22">
        <f>$H$20*(D6/$D$15)</f>
        <v>63211.177665266347</v>
      </c>
      <c r="I22" s="25">
        <f>$I$20*(F6/$F$16)</f>
        <v>-5083.408841360304</v>
      </c>
    </row>
    <row r="23" spans="2:9" x14ac:dyDescent="0.25">
      <c r="B23" s="10" t="s">
        <v>12</v>
      </c>
      <c r="C23" s="22">
        <f t="shared" si="0"/>
        <v>7014.6815581961882</v>
      </c>
      <c r="D23" s="22">
        <f>$D$20*C7/SUM($C$6:$C$7)</f>
        <v>453.27913828504109</v>
      </c>
      <c r="E23" s="22">
        <f>$E$20*(D7/$D$15)</f>
        <v>-12916.623358622084</v>
      </c>
      <c r="F23" s="22">
        <f t="shared" si="1"/>
        <v>383.79788000446268</v>
      </c>
      <c r="G23" s="22">
        <f t="shared" si="2"/>
        <v>11823.94440247784</v>
      </c>
      <c r="H23" s="22">
        <f>$H$20*(D7/$D$15)</f>
        <v>19704.172486163214</v>
      </c>
      <c r="I23" s="25">
        <f>$I$20*(F7/$F$16)</f>
        <v>-2061.3724952859457</v>
      </c>
    </row>
    <row r="24" spans="2:9" x14ac:dyDescent="0.25">
      <c r="B24" s="10" t="s">
        <v>13</v>
      </c>
      <c r="C24" s="22">
        <f t="shared" si="0"/>
        <v>34594.439697253496</v>
      </c>
      <c r="D24" s="21"/>
      <c r="E24" s="22">
        <f>$E$20*(D8/$D$15)</f>
        <v>-63701.159370503563</v>
      </c>
      <c r="F24" s="22">
        <f t="shared" si="1"/>
        <v>1892.7833723591498</v>
      </c>
      <c r="G24" s="22">
        <f t="shared" si="2"/>
        <v>58312.373586974667</v>
      </c>
      <c r="H24" s="22">
        <f>$H$20*(D8/$D$15)</f>
        <v>97175.445699368443</v>
      </c>
      <c r="I24" s="25">
        <f>$I$20*(F8/$F$16)</f>
        <v>-66046.973964719771</v>
      </c>
    </row>
    <row r="25" spans="2:9" x14ac:dyDescent="0.25">
      <c r="B25" s="10" t="s">
        <v>38</v>
      </c>
      <c r="C25" s="22">
        <f t="shared" si="0"/>
        <v>1602.7407223496054</v>
      </c>
      <c r="D25" s="21"/>
      <c r="E25" s="22">
        <v>0</v>
      </c>
      <c r="F25" s="22">
        <f t="shared" si="1"/>
        <v>87.691577490907349</v>
      </c>
      <c r="G25" s="22">
        <f t="shared" si="2"/>
        <v>2701.5791145224916</v>
      </c>
      <c r="H25" s="22">
        <v>0</v>
      </c>
      <c r="I25" s="25">
        <v>0</v>
      </c>
    </row>
    <row r="26" spans="2:9" x14ac:dyDescent="0.25">
      <c r="B26" s="10" t="s">
        <v>68</v>
      </c>
      <c r="C26" s="22">
        <f t="shared" si="0"/>
        <v>12306.780094627064</v>
      </c>
      <c r="D26" s="21"/>
      <c r="E26" s="22">
        <f>$E$20*(D10/$D$15)</f>
        <v>-22661.334220360819</v>
      </c>
      <c r="F26" s="22">
        <f t="shared" si="1"/>
        <v>673.34718915074734</v>
      </c>
      <c r="G26" s="22">
        <f t="shared" si="2"/>
        <v>20744.303558921671</v>
      </c>
      <c r="H26" s="22">
        <f>$H$20*(D10/$D$15)</f>
        <v>34569.625965482715</v>
      </c>
      <c r="I26" s="25">
        <v>0</v>
      </c>
    </row>
    <row r="27" spans="2:9" x14ac:dyDescent="0.25">
      <c r="B27" s="10" t="s">
        <v>15</v>
      </c>
      <c r="C27" s="22">
        <f t="shared" si="0"/>
        <v>123.59267845760724</v>
      </c>
      <c r="D27" s="21"/>
      <c r="E27" s="22">
        <f>$E$20*(D11/$D$15)</f>
        <v>-227.57983584513698</v>
      </c>
      <c r="F27" s="22">
        <f t="shared" si="1"/>
        <v>6.7621897847492018</v>
      </c>
      <c r="G27" s="22">
        <f t="shared" si="2"/>
        <v>208.32776891041834</v>
      </c>
      <c r="H27" s="22">
        <f>$H$20*(D11/$D$15)</f>
        <v>347.17063549522442</v>
      </c>
      <c r="I27" s="25">
        <f>$I$20*(F11/$F$16)</f>
        <v>-63.91654777818848</v>
      </c>
    </row>
    <row r="28" spans="2:9" x14ac:dyDescent="0.25">
      <c r="B28" s="10" t="s">
        <v>16</v>
      </c>
      <c r="C28" s="22">
        <f t="shared" si="0"/>
        <v>16.986427269349136</v>
      </c>
      <c r="D28" s="21"/>
      <c r="E28" s="22">
        <f>$E$20*(D12/$D$15)</f>
        <v>-31.278295589975489</v>
      </c>
      <c r="F28" s="22">
        <f t="shared" si="1"/>
        <v>0.92938713193740929</v>
      </c>
      <c r="G28" s="22">
        <f t="shared" si="2"/>
        <v>28.632314947332407</v>
      </c>
      <c r="H28" s="22">
        <f>$H$20*(D12/$D$15)</f>
        <v>47.714709507781308</v>
      </c>
      <c r="I28" s="25">
        <f>$I$20*(F12/$F$16)</f>
        <v>-5.5884551502100512</v>
      </c>
    </row>
    <row r="29" spans="2:9" x14ac:dyDescent="0.25">
      <c r="B29" s="16" t="s">
        <v>17</v>
      </c>
      <c r="C29" s="22">
        <f t="shared" si="0"/>
        <v>556.47122036323117</v>
      </c>
      <c r="D29" s="26"/>
      <c r="E29" s="22">
        <f>$E$20*(D13/$D$15)</f>
        <v>-1024.6693458160287</v>
      </c>
      <c r="F29" s="22">
        <f t="shared" si="1"/>
        <v>30.44649609351961</v>
      </c>
      <c r="G29" s="22">
        <f t="shared" si="2"/>
        <v>937.98766438170196</v>
      </c>
      <c r="H29" s="22">
        <f>$H$20*(D13/$D$15)</f>
        <v>1563.1222627363893</v>
      </c>
      <c r="I29" s="25">
        <f>$I$20*(F13/$F$16)</f>
        <v>-1094.939965047934</v>
      </c>
    </row>
    <row r="30" spans="2:9" x14ac:dyDescent="0.25">
      <c r="B30" s="18" t="s">
        <v>21</v>
      </c>
      <c r="C30" s="27">
        <f t="shared" ref="C30:I30" si="3">SUM(C22:C29)</f>
        <v>78718.859306529455</v>
      </c>
      <c r="D30" s="27">
        <f t="shared" si="3"/>
        <v>4900.6106534346527</v>
      </c>
      <c r="E30" s="27">
        <f t="shared" si="3"/>
        <v>-141999.29823854016</v>
      </c>
      <c r="F30" s="27">
        <f t="shared" si="3"/>
        <v>4306.985437266886</v>
      </c>
      <c r="G30" s="27">
        <f t="shared" si="3"/>
        <v>132688.47746614245</v>
      </c>
      <c r="H30" s="27">
        <f t="shared" si="3"/>
        <v>216618.42942402011</v>
      </c>
      <c r="I30" s="28">
        <f t="shared" si="3"/>
        <v>-74356.200269342356</v>
      </c>
    </row>
    <row r="32" spans="2:9" x14ac:dyDescent="0.25">
      <c r="B32" s="40" t="s">
        <v>135</v>
      </c>
      <c r="C32" s="41"/>
      <c r="D32" s="41"/>
      <c r="E32" s="41"/>
      <c r="F32" s="41"/>
      <c r="G32" s="42"/>
    </row>
    <row r="33" spans="2:10" x14ac:dyDescent="0.25">
      <c r="B33" s="29" t="s">
        <v>32</v>
      </c>
      <c r="C33" s="152" t="s">
        <v>40</v>
      </c>
      <c r="D33" s="152"/>
      <c r="E33" s="152" t="s">
        <v>41</v>
      </c>
      <c r="F33" s="152"/>
      <c r="G33" s="144" t="s">
        <v>21</v>
      </c>
    </row>
    <row r="34" spans="2:10" x14ac:dyDescent="0.25">
      <c r="B34" s="32" t="s">
        <v>33</v>
      </c>
      <c r="C34" s="147">
        <v>668.20999999999913</v>
      </c>
      <c r="D34" s="147"/>
      <c r="E34" s="147">
        <v>-7229.070000000007</v>
      </c>
      <c r="F34" s="147"/>
      <c r="G34" s="145"/>
    </row>
    <row r="35" spans="2:10" x14ac:dyDescent="0.25">
      <c r="B35" s="33" t="s">
        <v>8</v>
      </c>
      <c r="C35" s="34" t="s">
        <v>19</v>
      </c>
      <c r="D35" s="34" t="s">
        <v>20</v>
      </c>
      <c r="E35" s="34" t="s">
        <v>19</v>
      </c>
      <c r="F35" s="34" t="s">
        <v>20</v>
      </c>
      <c r="G35" s="146"/>
    </row>
    <row r="36" spans="2:10" x14ac:dyDescent="0.25">
      <c r="B36" s="11" t="s">
        <v>11</v>
      </c>
      <c r="C36" s="54">
        <v>0.29511560009468951</v>
      </c>
      <c r="D36" s="31">
        <f>ROUND(C36*C$34,2)</f>
        <v>197.2</v>
      </c>
      <c r="E36" s="54">
        <v>0.7663091388180473</v>
      </c>
      <c r="F36" s="31">
        <f>ROUND(E36*E$34,2)</f>
        <v>-5539.7</v>
      </c>
      <c r="G36" s="25">
        <f>D36+F36</f>
        <v>-5342.5</v>
      </c>
    </row>
    <row r="37" spans="2:10" x14ac:dyDescent="0.25">
      <c r="B37" s="10" t="s">
        <v>12</v>
      </c>
      <c r="C37" s="55">
        <v>9.0180473672937966E-2</v>
      </c>
      <c r="D37" s="31">
        <f>ROUND(C37*C$34,2)</f>
        <v>60.26</v>
      </c>
      <c r="E37" s="55">
        <v>9.6013403484253468E-2</v>
      </c>
      <c r="F37" s="30">
        <f>ROUND(E37*E$34,2)</f>
        <v>-694.09</v>
      </c>
      <c r="G37" s="25">
        <f t="shared" ref="G37:G43" si="4">D37+F37</f>
        <v>-633.83000000000004</v>
      </c>
    </row>
    <row r="38" spans="2:10" ht="15.75" thickBot="1" x14ac:dyDescent="0.3">
      <c r="B38" s="10" t="s">
        <v>13</v>
      </c>
      <c r="C38" s="55">
        <v>0.46015713947537512</v>
      </c>
      <c r="D38" s="31">
        <f>ROUND(C38*C$34,2)-D39</f>
        <v>293.85863600000005</v>
      </c>
      <c r="E38" s="55">
        <v>0.12492667052861794</v>
      </c>
      <c r="F38" s="30">
        <f>ROUND(E38*E$34,2)-F39</f>
        <v>-863.09267</v>
      </c>
      <c r="G38" s="25">
        <f t="shared" si="4"/>
        <v>-569.23403399999995</v>
      </c>
      <c r="I38" s="2"/>
    </row>
    <row r="39" spans="2:10" x14ac:dyDescent="0.25">
      <c r="B39" s="10" t="s">
        <v>38</v>
      </c>
      <c r="C39" s="55">
        <v>0</v>
      </c>
      <c r="D39" s="31">
        <f>307.48*4.43%</f>
        <v>13.621364</v>
      </c>
      <c r="E39" s="55">
        <v>0</v>
      </c>
      <c r="F39" s="30">
        <f>-903.1*4.43%</f>
        <v>-40.007330000000003</v>
      </c>
      <c r="G39" s="25">
        <f t="shared" si="4"/>
        <v>-26.385966000000003</v>
      </c>
      <c r="I39" s="153" t="s">
        <v>81</v>
      </c>
    </row>
    <row r="40" spans="2:10" ht="15" customHeight="1" x14ac:dyDescent="0.25">
      <c r="B40" s="10" t="s">
        <v>68</v>
      </c>
      <c r="C40" s="55">
        <v>0.14546110403444895</v>
      </c>
      <c r="D40" s="31">
        <f>ROUND(C40*C$34,2)</f>
        <v>97.2</v>
      </c>
      <c r="E40" s="55">
        <v>7.7626283909163762E-3</v>
      </c>
      <c r="F40" s="30">
        <f t="shared" ref="F40" si="5">ROUND(E40*E$34,2)</f>
        <v>-56.12</v>
      </c>
      <c r="G40" s="25">
        <f t="shared" si="4"/>
        <v>41.080000000000005</v>
      </c>
      <c r="I40" s="154"/>
    </row>
    <row r="41" spans="2:10" x14ac:dyDescent="0.25">
      <c r="B41" s="10" t="s">
        <v>15</v>
      </c>
      <c r="C41" s="55">
        <v>1.5668857300672973E-3</v>
      </c>
      <c r="D41" s="31">
        <f>ROUND(C41*C$34,2)</f>
        <v>1.05</v>
      </c>
      <c r="E41" s="55">
        <v>2.5874849972495691E-3</v>
      </c>
      <c r="F41" s="30">
        <f>ROUND(E41*E$34,2)</f>
        <v>-18.71</v>
      </c>
      <c r="G41" s="25">
        <f t="shared" si="4"/>
        <v>-17.66</v>
      </c>
      <c r="I41" s="155"/>
    </row>
    <row r="42" spans="2:10" x14ac:dyDescent="0.25">
      <c r="B42" s="10" t="s">
        <v>16</v>
      </c>
      <c r="C42" s="55">
        <v>2.1417862497322766E-4</v>
      </c>
      <c r="D42" s="31">
        <f>ROUND(C42*C$34,2)</f>
        <v>0.14000000000000001</v>
      </c>
      <c r="E42" s="55">
        <v>1.1435675107814797E-4</v>
      </c>
      <c r="F42" s="30">
        <f>ROUND(E42*E$34,2)</f>
        <v>-0.83</v>
      </c>
      <c r="G42" s="25">
        <f t="shared" si="4"/>
        <v>-0.69</v>
      </c>
      <c r="I42" s="148">
        <v>1</v>
      </c>
    </row>
    <row r="43" spans="2:10" ht="15.75" thickBot="1" x14ac:dyDescent="0.3">
      <c r="B43" s="16" t="s">
        <v>17</v>
      </c>
      <c r="C43" s="56">
        <v>7.3046183675079751E-3</v>
      </c>
      <c r="D43" s="31">
        <f>ROUND(C43*C$34,2)</f>
        <v>4.88</v>
      </c>
      <c r="E43" s="55">
        <v>2.2863170298372134E-3</v>
      </c>
      <c r="F43" s="35">
        <f>ROUND(E43*E$34,2)</f>
        <v>-16.53</v>
      </c>
      <c r="G43" s="25">
        <f t="shared" si="4"/>
        <v>-11.650000000000002</v>
      </c>
      <c r="I43" s="149"/>
    </row>
    <row r="44" spans="2:10" x14ac:dyDescent="0.25">
      <c r="B44" s="18" t="s">
        <v>21</v>
      </c>
      <c r="C44" s="19"/>
      <c r="D44" s="36">
        <f>SUM(D36:D43)</f>
        <v>668.20999999999992</v>
      </c>
      <c r="E44" s="19"/>
      <c r="F44" s="36">
        <f>SUM(F36:F43)</f>
        <v>-7229.08</v>
      </c>
      <c r="G44" s="28">
        <f>SUM(G36:G43)</f>
        <v>-6560.869999999999</v>
      </c>
    </row>
    <row r="45" spans="2:10" x14ac:dyDescent="0.25">
      <c r="J45" s="4"/>
    </row>
    <row r="46" spans="2:10" hidden="1" x14ac:dyDescent="0.25">
      <c r="B46" s="40" t="s">
        <v>34</v>
      </c>
      <c r="C46" s="41"/>
      <c r="D46" s="41"/>
      <c r="E46" s="41"/>
      <c r="F46" s="41"/>
      <c r="G46" s="41"/>
      <c r="H46" s="41"/>
      <c r="I46" s="42"/>
    </row>
    <row r="47" spans="2:10" ht="45" x14ac:dyDescent="0.25">
      <c r="B47" s="13" t="s">
        <v>8</v>
      </c>
      <c r="C47" s="116" t="s">
        <v>22</v>
      </c>
      <c r="D47" s="123" t="s">
        <v>42</v>
      </c>
      <c r="E47" s="15" t="s">
        <v>107</v>
      </c>
      <c r="F47" s="123" t="s">
        <v>54</v>
      </c>
      <c r="G47" s="15" t="s">
        <v>106</v>
      </c>
      <c r="H47" s="123" t="s">
        <v>55</v>
      </c>
      <c r="I47" s="15" t="s">
        <v>105</v>
      </c>
    </row>
    <row r="48" spans="2:10" x14ac:dyDescent="0.25">
      <c r="B48" s="11" t="s">
        <v>11</v>
      </c>
      <c r="C48" s="117" t="s">
        <v>23</v>
      </c>
      <c r="D48" s="124">
        <f>SUM(C22:H22)+G36</f>
        <v>82545.078676884033</v>
      </c>
      <c r="E48" s="70">
        <f t="shared" ref="E48:E55" si="6">IF(D48=0,0,IF($C48="kWh",ROUND(D48/SMP_DISYR/$D6,4),ROUND(D48/SMP_DISYR/$E6,4)))</f>
        <v>1.4E-3</v>
      </c>
      <c r="F48" s="124"/>
      <c r="G48" s="70">
        <f t="shared" ref="G48:G55" si="7">IF(F48=0,0,IF($C48="kWh",ROUND(F48/SMP_DISYR/$D6,4),ROUND(F48/SMP_DISYR/$E6,4)))</f>
        <v>0</v>
      </c>
      <c r="H48" s="124">
        <f>I22</f>
        <v>-5083.408841360304</v>
      </c>
      <c r="I48" s="69">
        <f t="shared" ref="I48:I55" si="8">IF(H48=0,0,IF($C48="kWh",ROUND(H48/SMP_DISYR/$F6,4),ROUND(H48/SMP_DISYR/$G6,4)))</f>
        <v>-8.0000000000000004E-4</v>
      </c>
    </row>
    <row r="49" spans="2:9" x14ac:dyDescent="0.25">
      <c r="B49" s="10" t="s">
        <v>12</v>
      </c>
      <c r="C49" s="118" t="s">
        <v>23</v>
      </c>
      <c r="D49" s="124">
        <f t="shared" ref="D49:D55" si="9">SUM(C23:H23)+G37</f>
        <v>25829.422106504659</v>
      </c>
      <c r="E49" s="70">
        <f t="shared" si="6"/>
        <v>1.4E-3</v>
      </c>
      <c r="F49" s="124"/>
      <c r="G49" s="70">
        <f t="shared" si="7"/>
        <v>0</v>
      </c>
      <c r="H49" s="124">
        <f t="shared" ref="H49:H55" si="10">I23</f>
        <v>-2061.3724952859457</v>
      </c>
      <c r="I49" s="70">
        <f t="shared" si="8"/>
        <v>-8.0000000000000004E-4</v>
      </c>
    </row>
    <row r="50" spans="2:9" x14ac:dyDescent="0.25">
      <c r="B50" s="10" t="s">
        <v>13</v>
      </c>
      <c r="C50" s="118" t="s">
        <v>24</v>
      </c>
      <c r="D50" s="124">
        <f t="shared" si="9"/>
        <v>127704.6489514522</v>
      </c>
      <c r="E50" s="70">
        <f t="shared" si="6"/>
        <v>0.49880000000000002</v>
      </c>
      <c r="F50" s="124"/>
      <c r="G50" s="70">
        <f t="shared" si="7"/>
        <v>0</v>
      </c>
      <c r="H50" s="124">
        <f t="shared" si="10"/>
        <v>-66046.973964719771</v>
      </c>
      <c r="I50" s="70">
        <f t="shared" si="8"/>
        <v>-0.28370000000000001</v>
      </c>
    </row>
    <row r="51" spans="2:9" x14ac:dyDescent="0.25">
      <c r="B51" s="10" t="s">
        <v>38</v>
      </c>
      <c r="C51" s="118" t="s">
        <v>24</v>
      </c>
      <c r="D51" s="124"/>
      <c r="E51" s="70">
        <f t="shared" si="6"/>
        <v>0</v>
      </c>
      <c r="F51" s="124">
        <f>SUM(C25:I25)+G39</f>
        <v>4365.6254483630046</v>
      </c>
      <c r="G51" s="70">
        <f t="shared" si="7"/>
        <v>0.45329999999999998</v>
      </c>
      <c r="H51" s="124">
        <f t="shared" si="10"/>
        <v>0</v>
      </c>
      <c r="I51" s="70">
        <f t="shared" si="8"/>
        <v>0</v>
      </c>
    </row>
    <row r="52" spans="2:9" x14ac:dyDescent="0.25">
      <c r="B52" s="10" t="s">
        <v>68</v>
      </c>
      <c r="C52" s="118" t="s">
        <v>24</v>
      </c>
      <c r="D52" s="124">
        <f t="shared" si="9"/>
        <v>45673.802587821381</v>
      </c>
      <c r="E52" s="70">
        <f t="shared" si="6"/>
        <v>0.67249999999999999</v>
      </c>
      <c r="F52" s="124"/>
      <c r="G52" s="70">
        <f t="shared" si="7"/>
        <v>0</v>
      </c>
      <c r="H52" s="124">
        <f t="shared" si="10"/>
        <v>0</v>
      </c>
      <c r="I52" s="70">
        <f t="shared" si="8"/>
        <v>0</v>
      </c>
    </row>
    <row r="53" spans="2:9" x14ac:dyDescent="0.25">
      <c r="B53" s="10" t="s">
        <v>15</v>
      </c>
      <c r="C53" s="118" t="s">
        <v>23</v>
      </c>
      <c r="D53" s="124">
        <f t="shared" si="9"/>
        <v>440.61343680286217</v>
      </c>
      <c r="E53" s="70">
        <f t="shared" si="6"/>
        <v>1.4E-3</v>
      </c>
      <c r="F53" s="124"/>
      <c r="G53" s="70">
        <f t="shared" si="7"/>
        <v>0</v>
      </c>
      <c r="H53" s="124">
        <f t="shared" si="10"/>
        <v>-63.91654777818848</v>
      </c>
      <c r="I53" s="70">
        <f t="shared" si="8"/>
        <v>-8.0000000000000004E-4</v>
      </c>
    </row>
    <row r="54" spans="2:9" x14ac:dyDescent="0.25">
      <c r="B54" s="10" t="s">
        <v>16</v>
      </c>
      <c r="C54" s="119" t="s">
        <v>24</v>
      </c>
      <c r="D54" s="124">
        <f t="shared" si="9"/>
        <v>62.294543266424775</v>
      </c>
      <c r="E54" s="70">
        <f t="shared" si="6"/>
        <v>0.49440000000000001</v>
      </c>
      <c r="F54" s="124"/>
      <c r="G54" s="70">
        <f t="shared" si="7"/>
        <v>0</v>
      </c>
      <c r="H54" s="124">
        <f t="shared" si="10"/>
        <v>-5.5884551502100512</v>
      </c>
      <c r="I54" s="70">
        <f t="shared" si="8"/>
        <v>-0.13</v>
      </c>
    </row>
    <row r="55" spans="2:9" x14ac:dyDescent="0.25">
      <c r="B55" s="16" t="s">
        <v>17</v>
      </c>
      <c r="C55" s="120" t="s">
        <v>24</v>
      </c>
      <c r="D55" s="124">
        <f t="shared" si="9"/>
        <v>2051.7082977588134</v>
      </c>
      <c r="E55" s="70">
        <f t="shared" si="6"/>
        <v>0.47539999999999999</v>
      </c>
      <c r="F55" s="124"/>
      <c r="G55" s="70">
        <f t="shared" si="7"/>
        <v>0</v>
      </c>
      <c r="H55" s="124">
        <f t="shared" si="10"/>
        <v>-1094.939965047934</v>
      </c>
      <c r="I55" s="71">
        <f t="shared" si="8"/>
        <v>-0.25369999999999998</v>
      </c>
    </row>
    <row r="56" spans="2:9" x14ac:dyDescent="0.25">
      <c r="B56" s="18" t="s">
        <v>21</v>
      </c>
      <c r="C56" s="121"/>
      <c r="D56" s="125">
        <f>SUM(D48:D55)</f>
        <v>284307.5686004904</v>
      </c>
      <c r="E56" s="126"/>
      <c r="F56" s="125">
        <f>SUM(F48:F55)</f>
        <v>4365.6254483630046</v>
      </c>
      <c r="G56" s="47"/>
      <c r="H56" s="125">
        <f>SUM(H48:H55)</f>
        <v>-74356.200269342356</v>
      </c>
      <c r="I56" s="20"/>
    </row>
    <row r="57" spans="2:9" x14ac:dyDescent="0.25">
      <c r="C57" s="3"/>
      <c r="D57" s="3"/>
      <c r="E57" s="3"/>
    </row>
    <row r="58" spans="2:9" x14ac:dyDescent="0.25">
      <c r="B58" s="140" t="s">
        <v>66</v>
      </c>
    </row>
    <row r="59" spans="2:9" ht="30.75" customHeight="1" x14ac:dyDescent="0.25">
      <c r="B59" s="151" t="s">
        <v>136</v>
      </c>
      <c r="C59" s="151"/>
      <c r="D59" s="151"/>
      <c r="E59" s="151"/>
      <c r="F59" s="151"/>
      <c r="G59" s="151"/>
      <c r="H59" s="151"/>
      <c r="I59" s="151"/>
    </row>
    <row r="60" spans="2:9" x14ac:dyDescent="0.25">
      <c r="B60" t="s">
        <v>137</v>
      </c>
    </row>
  </sheetData>
  <mergeCells count="8">
    <mergeCell ref="B59:I59"/>
    <mergeCell ref="C33:D33"/>
    <mergeCell ref="E33:F33"/>
    <mergeCell ref="G33:G35"/>
    <mergeCell ref="C34:D34"/>
    <mergeCell ref="E34:F34"/>
    <mergeCell ref="I42:I43"/>
    <mergeCell ref="I39:I41"/>
  </mergeCells>
  <pageMargins left="0.5" right="0.5" top="0.5" bottom="0.5" header="0.3" footer="0.3"/>
  <pageSetup scale="67" orientation="portrait" r:id="rId1"/>
  <headerFooter>
    <oddFooter>&amp;L&amp;8&amp;F
Tab: &amp;A&amp;R&amp;8&amp;P/&amp;N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showGridLines="0" zoomScaleNormal="100" workbookViewId="0">
      <selection activeCell="J74" sqref="J74"/>
    </sheetView>
  </sheetViews>
  <sheetFormatPr defaultRowHeight="15" x14ac:dyDescent="0.25"/>
  <cols>
    <col min="1" max="1" width="1.7109375" customWidth="1"/>
    <col min="2" max="2" width="47.5703125" bestFit="1" customWidth="1"/>
    <col min="3" max="6" width="13.7109375" style="1" customWidth="1"/>
    <col min="7" max="15" width="13.7109375" customWidth="1"/>
    <col min="16" max="16" width="15.5703125" bestFit="1" customWidth="1"/>
    <col min="17" max="17" width="11.140625" bestFit="1" customWidth="1"/>
  </cols>
  <sheetData>
    <row r="1" spans="2:10" ht="18.75" x14ac:dyDescent="0.3">
      <c r="B1" s="5" t="s">
        <v>25</v>
      </c>
      <c r="C1" s="6"/>
      <c r="D1" s="6"/>
      <c r="E1" s="6"/>
      <c r="F1" s="6"/>
      <c r="G1" s="5"/>
      <c r="H1" s="5"/>
      <c r="I1" s="5"/>
      <c r="J1" s="5"/>
    </row>
    <row r="2" spans="2:10" ht="19.5" thickBot="1" x14ac:dyDescent="0.35">
      <c r="B2" s="7" t="s">
        <v>70</v>
      </c>
      <c r="C2" s="8"/>
      <c r="D2" s="8"/>
      <c r="E2" s="8"/>
      <c r="F2" s="8"/>
      <c r="G2" s="7"/>
      <c r="H2" s="7"/>
      <c r="I2" s="7"/>
      <c r="J2" s="5"/>
    </row>
    <row r="3" spans="2:10" x14ac:dyDescent="0.25">
      <c r="G3" s="1"/>
      <c r="H3" s="1"/>
    </row>
    <row r="4" spans="2:10" x14ac:dyDescent="0.25">
      <c r="B4" s="40" t="s">
        <v>30</v>
      </c>
      <c r="C4" s="41"/>
      <c r="D4" s="41"/>
      <c r="E4" s="41"/>
      <c r="F4" s="41"/>
      <c r="G4" s="42"/>
    </row>
    <row r="5" spans="2:10" ht="30" x14ac:dyDescent="0.25">
      <c r="B5" s="13" t="s">
        <v>8</v>
      </c>
      <c r="C5" s="59" t="s">
        <v>71</v>
      </c>
      <c r="D5" s="14" t="s">
        <v>26</v>
      </c>
      <c r="E5" s="14" t="s">
        <v>27</v>
      </c>
      <c r="F5" s="14" t="s">
        <v>28</v>
      </c>
      <c r="G5" s="15" t="s">
        <v>29</v>
      </c>
    </row>
    <row r="6" spans="2:10" x14ac:dyDescent="0.25">
      <c r="B6" s="11" t="s">
        <v>11</v>
      </c>
      <c r="C6" s="61">
        <v>542</v>
      </c>
      <c r="D6" s="46">
        <v>4459461</v>
      </c>
      <c r="E6" s="46">
        <v>0</v>
      </c>
      <c r="F6" s="46">
        <v>446086</v>
      </c>
      <c r="G6" s="57">
        <v>0</v>
      </c>
    </row>
    <row r="7" spans="2:10" x14ac:dyDescent="0.25">
      <c r="B7" s="10" t="s">
        <v>12</v>
      </c>
      <c r="C7" s="61">
        <v>89</v>
      </c>
      <c r="D7" s="46">
        <v>3350792</v>
      </c>
      <c r="E7" s="46">
        <v>0</v>
      </c>
      <c r="F7" s="46">
        <v>812196</v>
      </c>
      <c r="G7" s="57">
        <v>0</v>
      </c>
    </row>
    <row r="8" spans="2:10" x14ac:dyDescent="0.25">
      <c r="B8" s="10" t="s">
        <v>16</v>
      </c>
      <c r="C8" s="61">
        <v>1</v>
      </c>
      <c r="D8" s="46">
        <v>881</v>
      </c>
      <c r="E8" s="46">
        <v>2</v>
      </c>
      <c r="F8" s="46">
        <v>0</v>
      </c>
      <c r="G8" s="57">
        <v>0</v>
      </c>
    </row>
    <row r="9" spans="2:10" x14ac:dyDescent="0.25">
      <c r="B9" s="16" t="s">
        <v>17</v>
      </c>
      <c r="C9" s="61">
        <v>208</v>
      </c>
      <c r="D9" s="46">
        <v>115994</v>
      </c>
      <c r="E9" s="46">
        <v>343</v>
      </c>
      <c r="F9" s="46">
        <v>115986</v>
      </c>
      <c r="G9" s="57">
        <v>343</v>
      </c>
    </row>
    <row r="10" spans="2:10" x14ac:dyDescent="0.25">
      <c r="B10" s="18" t="s">
        <v>21</v>
      </c>
      <c r="C10" s="60">
        <f>SUM(C6:C9)</f>
        <v>840</v>
      </c>
      <c r="D10" s="19">
        <f>SUM(D6:D9)</f>
        <v>7927128</v>
      </c>
      <c r="E10" s="19">
        <f>SUM(E6:E9)</f>
        <v>345</v>
      </c>
      <c r="F10" s="19">
        <f>SUM(F6:F9)</f>
        <v>1374268</v>
      </c>
      <c r="G10" s="47">
        <f>SUM(G6:G9)</f>
        <v>343</v>
      </c>
      <c r="I10" s="1"/>
    </row>
    <row r="12" spans="2:10" x14ac:dyDescent="0.25">
      <c r="B12" s="40" t="s">
        <v>31</v>
      </c>
      <c r="C12" s="41"/>
      <c r="D12" s="41"/>
      <c r="E12" s="41"/>
      <c r="F12" s="41"/>
      <c r="G12" s="41"/>
      <c r="H12" s="41"/>
      <c r="I12" s="41"/>
    </row>
    <row r="13" spans="2:10" x14ac:dyDescent="0.25">
      <c r="B13" s="29" t="s">
        <v>9</v>
      </c>
      <c r="C13" s="23">
        <v>1550</v>
      </c>
      <c r="D13" s="23">
        <v>1551</v>
      </c>
      <c r="E13" s="23">
        <v>1580</v>
      </c>
      <c r="F13" s="23">
        <v>1584</v>
      </c>
      <c r="G13" s="23">
        <v>1586</v>
      </c>
      <c r="H13" s="23">
        <v>1588</v>
      </c>
      <c r="I13" s="24">
        <v>1589</v>
      </c>
    </row>
    <row r="14" spans="2:10" x14ac:dyDescent="0.25">
      <c r="B14" s="48" t="s">
        <v>59</v>
      </c>
      <c r="C14" s="50">
        <f>'1. Balances for Disposition'!N38</f>
        <v>2884.7148727970798</v>
      </c>
      <c r="D14" s="50">
        <f>'1. Balances for Disposition'!N39</f>
        <v>188.3395313508708</v>
      </c>
      <c r="E14" s="50">
        <f>'1. Balances for Disposition'!N40</f>
        <v>-5298.366527045896</v>
      </c>
      <c r="F14" s="50">
        <f>'1. Balances for Disposition'!N41</f>
        <v>203.40384717308399</v>
      </c>
      <c r="G14" s="50">
        <f>'1. Balances for Disposition'!N42</f>
        <v>5092.6925836938753</v>
      </c>
      <c r="H14" s="50">
        <f>'1. Balances for Disposition'!N43</f>
        <v>8373.5480627957932</v>
      </c>
      <c r="I14" s="51">
        <f>'1. Balances for Disposition'!N44</f>
        <v>-557.10701667014473</v>
      </c>
    </row>
    <row r="15" spans="2:10" s="39" customFormat="1" ht="24" x14ac:dyDescent="0.25">
      <c r="B15" s="49" t="s">
        <v>36</v>
      </c>
      <c r="C15" s="52" t="s">
        <v>10</v>
      </c>
      <c r="D15" s="52" t="s">
        <v>72</v>
      </c>
      <c r="E15" s="52" t="s">
        <v>10</v>
      </c>
      <c r="F15" s="52" t="s">
        <v>10</v>
      </c>
      <c r="G15" s="52" t="s">
        <v>10</v>
      </c>
      <c r="H15" s="52" t="s">
        <v>10</v>
      </c>
      <c r="I15" s="53" t="s">
        <v>74</v>
      </c>
    </row>
    <row r="16" spans="2:10" x14ac:dyDescent="0.25">
      <c r="B16" s="11" t="s">
        <v>11</v>
      </c>
      <c r="C16" s="22">
        <f>$C$14*D6/$D$10</f>
        <v>1622.8164186775509</v>
      </c>
      <c r="D16" s="22">
        <f>D14*(C6/SUM(C6:C7))</f>
        <v>161.77500157238032</v>
      </c>
      <c r="E16" s="22">
        <f>$E$14*(D6/$D$10)</f>
        <v>-2980.6329468966082</v>
      </c>
      <c r="F16" s="22">
        <f>$F$14*(D6/$D$10)</f>
        <v>114.42624916846658</v>
      </c>
      <c r="G16" s="22">
        <f>$G$14*(D6/$D$10)</f>
        <v>2864.9296393311765</v>
      </c>
      <c r="H16" s="22">
        <f>$H$14*(D6/$D$10)</f>
        <v>4710.5977117643852</v>
      </c>
      <c r="I16" s="25">
        <f>$I$14*(F6/$F$10)</f>
        <v>-180.83637299152582</v>
      </c>
    </row>
    <row r="17" spans="2:12" x14ac:dyDescent="0.25">
      <c r="B17" s="10" t="s">
        <v>12</v>
      </c>
      <c r="C17" s="22">
        <f t="shared" ref="C17:C19" si="0">$C$14*D7/$D$10</f>
        <v>1219.3671551726518</v>
      </c>
      <c r="D17" s="22">
        <f>D14*(C7/SUM(C6:C7))</f>
        <v>26.564529778490492</v>
      </c>
      <c r="E17" s="22">
        <f t="shared" ref="E17:E19" si="1">$E$14*(D7/$D$10)</f>
        <v>-2239.6161853187145</v>
      </c>
      <c r="F17" s="22">
        <f t="shared" ref="F17:F19" si="2">$F$14*(D7/$D$10)</f>
        <v>85.978677760317794</v>
      </c>
      <c r="G17" s="22">
        <f t="shared" ref="G17:G19" si="3">$G$14*(D7/$D$10)</f>
        <v>2152.6779393370171</v>
      </c>
      <c r="H17" s="22">
        <f t="shared" ref="H17:H19" si="4">$H$14*(D7/$D$10)</f>
        <v>3539.4934786509871</v>
      </c>
      <c r="I17" s="25">
        <f t="shared" ref="I17:I19" si="5">$I$14*(F7/$F$10)</f>
        <v>-329.25171110105515</v>
      </c>
    </row>
    <row r="18" spans="2:12" x14ac:dyDescent="0.25">
      <c r="B18" s="10" t="s">
        <v>16</v>
      </c>
      <c r="C18" s="22">
        <f t="shared" si="0"/>
        <v>0.32059956682095048</v>
      </c>
      <c r="D18" s="21"/>
      <c r="E18" s="22">
        <f t="shared" si="1"/>
        <v>-0.58884641579238217</v>
      </c>
      <c r="F18" s="22">
        <f t="shared" si="2"/>
        <v>2.2605764579490453E-2</v>
      </c>
      <c r="G18" s="22">
        <f t="shared" si="3"/>
        <v>0.56598835873904196</v>
      </c>
      <c r="H18" s="22">
        <f t="shared" si="4"/>
        <v>0.930613942820539</v>
      </c>
      <c r="I18" s="25">
        <f t="shared" si="5"/>
        <v>0</v>
      </c>
    </row>
    <row r="19" spans="2:12" x14ac:dyDescent="0.25">
      <c r="B19" s="16" t="s">
        <v>17</v>
      </c>
      <c r="C19" s="22">
        <f t="shared" si="0"/>
        <v>42.210699380055985</v>
      </c>
      <c r="D19" s="26"/>
      <c r="E19" s="22">
        <f t="shared" si="1"/>
        <v>-77.528548414780445</v>
      </c>
      <c r="F19" s="22">
        <f t="shared" si="2"/>
        <v>2.9763144797201084</v>
      </c>
      <c r="G19" s="22">
        <f t="shared" si="3"/>
        <v>74.519016666942605</v>
      </c>
      <c r="H19" s="22">
        <f t="shared" si="4"/>
        <v>122.52625843760001</v>
      </c>
      <c r="I19" s="25">
        <f t="shared" si="5"/>
        <v>-47.018932577563774</v>
      </c>
    </row>
    <row r="20" spans="2:12" x14ac:dyDescent="0.25">
      <c r="B20" s="18" t="s">
        <v>21</v>
      </c>
      <c r="C20" s="27">
        <f t="shared" ref="C20:I20" si="6">SUM(C16:C19)</f>
        <v>2884.7148727970798</v>
      </c>
      <c r="D20" s="27">
        <f t="shared" si="6"/>
        <v>188.3395313508708</v>
      </c>
      <c r="E20" s="27">
        <f t="shared" si="6"/>
        <v>-5298.366527045896</v>
      </c>
      <c r="F20" s="27">
        <f t="shared" si="6"/>
        <v>203.40384717308399</v>
      </c>
      <c r="G20" s="27">
        <f t="shared" si="6"/>
        <v>5092.6925836938753</v>
      </c>
      <c r="H20" s="27">
        <f t="shared" si="6"/>
        <v>8373.5480627957932</v>
      </c>
      <c r="I20" s="28">
        <f t="shared" si="6"/>
        <v>-557.10701667014473</v>
      </c>
    </row>
    <row r="22" spans="2:12" x14ac:dyDescent="0.25">
      <c r="B22" s="40" t="s">
        <v>116</v>
      </c>
      <c r="C22" s="41"/>
      <c r="D22" s="41"/>
      <c r="E22" s="42"/>
      <c r="F22"/>
    </row>
    <row r="23" spans="2:12" x14ac:dyDescent="0.25">
      <c r="B23" s="29" t="s">
        <v>32</v>
      </c>
      <c r="C23" s="150" t="s">
        <v>73</v>
      </c>
      <c r="D23" s="150"/>
      <c r="E23" s="144" t="s">
        <v>21</v>
      </c>
    </row>
    <row r="24" spans="2:12" x14ac:dyDescent="0.25">
      <c r="B24" s="32" t="s">
        <v>33</v>
      </c>
      <c r="C24" s="147">
        <v>1333.7899999999972</v>
      </c>
      <c r="D24" s="147"/>
      <c r="E24" s="145"/>
      <c r="F24"/>
    </row>
    <row r="25" spans="2:12" x14ac:dyDescent="0.25">
      <c r="B25" s="33" t="s">
        <v>8</v>
      </c>
      <c r="C25" s="34" t="s">
        <v>19</v>
      </c>
      <c r="D25" s="34" t="s">
        <v>20</v>
      </c>
      <c r="E25" s="146"/>
      <c r="F25"/>
    </row>
    <row r="26" spans="2:12" x14ac:dyDescent="0.25">
      <c r="B26" s="11" t="s">
        <v>11</v>
      </c>
      <c r="C26" s="54">
        <v>0.5595</v>
      </c>
      <c r="D26" s="31">
        <f>ROUND(C26*C$24,2)</f>
        <v>746.26</v>
      </c>
      <c r="E26" s="25">
        <f>D26</f>
        <v>746.26</v>
      </c>
      <c r="F26"/>
    </row>
    <row r="27" spans="2:12" x14ac:dyDescent="0.25">
      <c r="B27" s="10" t="s">
        <v>12</v>
      </c>
      <c r="C27" s="54">
        <v>0.4264</v>
      </c>
      <c r="D27" s="31">
        <f t="shared" ref="D27:D29" si="7">ROUND(C27*C$24,2)</f>
        <v>568.73</v>
      </c>
      <c r="E27" s="25">
        <f t="shared" ref="E27:E29" si="8">D27</f>
        <v>568.73</v>
      </c>
      <c r="F27"/>
    </row>
    <row r="28" spans="2:12" x14ac:dyDescent="0.25">
      <c r="B28" s="10" t="s">
        <v>16</v>
      </c>
      <c r="C28" s="54">
        <v>1E-4</v>
      </c>
      <c r="D28" s="31">
        <f t="shared" si="7"/>
        <v>0.13</v>
      </c>
      <c r="E28" s="25">
        <f t="shared" si="8"/>
        <v>0.13</v>
      </c>
      <c r="F28"/>
    </row>
    <row r="29" spans="2:12" x14ac:dyDescent="0.25">
      <c r="B29" s="16" t="s">
        <v>17</v>
      </c>
      <c r="C29" s="54">
        <v>1.4E-2</v>
      </c>
      <c r="D29" s="31">
        <f t="shared" si="7"/>
        <v>18.670000000000002</v>
      </c>
      <c r="E29" s="25">
        <f t="shared" si="8"/>
        <v>18.670000000000002</v>
      </c>
      <c r="F29"/>
    </row>
    <row r="30" spans="2:12" x14ac:dyDescent="0.25">
      <c r="B30" s="18" t="s">
        <v>21</v>
      </c>
      <c r="C30" s="19"/>
      <c r="D30" s="36">
        <f>SUM(D26:D29)</f>
        <v>1333.7900000000002</v>
      </c>
      <c r="E30" s="28">
        <f>SUM(E26:E29)</f>
        <v>1333.7900000000002</v>
      </c>
      <c r="F30"/>
    </row>
    <row r="31" spans="2:12" x14ac:dyDescent="0.25">
      <c r="L31" s="4"/>
    </row>
    <row r="32" spans="2:12" x14ac:dyDescent="0.25">
      <c r="B32" s="40" t="s">
        <v>34</v>
      </c>
      <c r="C32" s="41"/>
      <c r="D32" s="41"/>
      <c r="E32" s="41"/>
      <c r="F32" s="41"/>
      <c r="G32" s="42"/>
    </row>
    <row r="33" spans="2:7" ht="30" x14ac:dyDescent="0.25">
      <c r="B33" s="13" t="s">
        <v>8</v>
      </c>
      <c r="C33" s="38" t="s">
        <v>22</v>
      </c>
      <c r="D33" s="14" t="s">
        <v>42</v>
      </c>
      <c r="E33" s="14" t="s">
        <v>107</v>
      </c>
      <c r="F33" s="14" t="s">
        <v>117</v>
      </c>
      <c r="G33" s="15" t="s">
        <v>118</v>
      </c>
    </row>
    <row r="34" spans="2:7" x14ac:dyDescent="0.25">
      <c r="B34" s="11" t="s">
        <v>11</v>
      </c>
      <c r="C34" s="12" t="s">
        <v>23</v>
      </c>
      <c r="D34" s="31">
        <f>SUM(C16:H16)+D26</f>
        <v>7240.1720736173511</v>
      </c>
      <c r="E34" s="37">
        <f>IF(D34=0,0,IF($C34="kWh",ROUND(D34/$D6,4),ROUND(D34/$E6,4)))</f>
        <v>1.6000000000000001E-3</v>
      </c>
      <c r="F34" s="31">
        <f>I16</f>
        <v>-180.83637299152582</v>
      </c>
      <c r="G34" s="69">
        <f>IF(F34=0,0,IF($C34="kWh",ROUND(F34/$F6,4),ROUND(F34/$G6,4)))</f>
        <v>-4.0000000000000002E-4</v>
      </c>
    </row>
    <row r="35" spans="2:7" x14ac:dyDescent="0.25">
      <c r="B35" s="10" t="s">
        <v>12</v>
      </c>
      <c r="C35" s="9" t="s">
        <v>23</v>
      </c>
      <c r="D35" s="31">
        <f t="shared" ref="D35:D37" si="9">SUM(C17:H17)+D27</f>
        <v>5353.1955953807501</v>
      </c>
      <c r="E35" s="37">
        <f t="shared" ref="E35:E37" si="10">IF(D35=0,0,IF($C35="kWh",ROUND(D35/$D7,4),ROUND(D35/$E7,4)))</f>
        <v>1.6000000000000001E-3</v>
      </c>
      <c r="F35" s="31">
        <f t="shared" ref="F35:F37" si="11">I17</f>
        <v>-329.25171110105515</v>
      </c>
      <c r="G35" s="70">
        <f t="shared" ref="G35:G37" si="12">IF(F35=0,0,IF($C35="kWh",ROUND(F35/$F7,4),ROUND(F35/$G7,4)))</f>
        <v>-4.0000000000000002E-4</v>
      </c>
    </row>
    <row r="36" spans="2:7" x14ac:dyDescent="0.25">
      <c r="B36" s="10" t="s">
        <v>16</v>
      </c>
      <c r="C36" s="73" t="s">
        <v>24</v>
      </c>
      <c r="D36" s="31">
        <f t="shared" si="9"/>
        <v>1.3809612171676395</v>
      </c>
      <c r="E36" s="37">
        <f t="shared" si="10"/>
        <v>0.6905</v>
      </c>
      <c r="F36" s="31">
        <f>I18</f>
        <v>0</v>
      </c>
      <c r="G36" s="70">
        <f t="shared" si="12"/>
        <v>0</v>
      </c>
    </row>
    <row r="37" spans="2:7" x14ac:dyDescent="0.25">
      <c r="B37" s="16" t="s">
        <v>17</v>
      </c>
      <c r="C37" s="17" t="s">
        <v>24</v>
      </c>
      <c r="D37" s="31">
        <f t="shared" si="9"/>
        <v>183.37374054953824</v>
      </c>
      <c r="E37" s="37">
        <f t="shared" si="10"/>
        <v>0.53459999999999996</v>
      </c>
      <c r="F37" s="31">
        <f t="shared" si="11"/>
        <v>-47.018932577563774</v>
      </c>
      <c r="G37" s="71">
        <f t="shared" si="12"/>
        <v>-0.1371</v>
      </c>
    </row>
    <row r="38" spans="2:7" x14ac:dyDescent="0.25">
      <c r="B38" s="18" t="s">
        <v>21</v>
      </c>
      <c r="C38" s="19"/>
      <c r="D38" s="36">
        <f>SUM(D34:D37)</f>
        <v>12778.122370764806</v>
      </c>
      <c r="E38" s="36"/>
      <c r="F38" s="36">
        <f>SUM(F34:F37)</f>
        <v>-557.10701667014473</v>
      </c>
      <c r="G38" s="20"/>
    </row>
    <row r="39" spans="2:7" x14ac:dyDescent="0.25">
      <c r="C39" s="3"/>
      <c r="D39" s="3"/>
      <c r="E39" s="3"/>
    </row>
  </sheetData>
  <mergeCells count="3">
    <mergeCell ref="C23:D23"/>
    <mergeCell ref="E23:E25"/>
    <mergeCell ref="C24:D24"/>
  </mergeCells>
  <pageMargins left="0.25" right="0.25" top="0.5" bottom="0.5" header="0.3" footer="0.3"/>
  <pageSetup scale="70" orientation="portrait" r:id="rId1"/>
  <headerFooter>
    <oddFooter>&amp;L&amp;8&amp;F
Tab: &amp;A&amp;R&amp;8&amp;P/&amp;N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showGridLines="0" zoomScaleNormal="100" workbookViewId="0">
      <selection activeCell="J74" sqref="J74"/>
    </sheetView>
  </sheetViews>
  <sheetFormatPr defaultRowHeight="15" x14ac:dyDescent="0.25"/>
  <cols>
    <col min="1" max="1" width="1.7109375" customWidth="1"/>
    <col min="2" max="2" width="47.5703125" bestFit="1" customWidth="1"/>
    <col min="3" max="6" width="13.7109375" style="1" customWidth="1"/>
    <col min="7" max="15" width="13.7109375" customWidth="1"/>
    <col min="16" max="16" width="15.5703125" bestFit="1" customWidth="1"/>
    <col min="17" max="17" width="11.140625" bestFit="1" customWidth="1"/>
  </cols>
  <sheetData>
    <row r="1" spans="2:10" ht="18.75" x14ac:dyDescent="0.3">
      <c r="B1" s="5" t="s">
        <v>25</v>
      </c>
      <c r="C1" s="6"/>
      <c r="D1" s="6"/>
      <c r="E1" s="6"/>
      <c r="F1" s="6"/>
      <c r="G1" s="5"/>
      <c r="H1" s="5"/>
      <c r="I1" s="5"/>
      <c r="J1" s="5"/>
    </row>
    <row r="2" spans="2:10" ht="19.5" thickBot="1" x14ac:dyDescent="0.35">
      <c r="B2" s="7" t="s">
        <v>77</v>
      </c>
      <c r="C2" s="8"/>
      <c r="D2" s="8"/>
      <c r="E2" s="8"/>
      <c r="F2" s="8"/>
      <c r="G2" s="7"/>
      <c r="H2" s="7"/>
      <c r="I2" s="7"/>
      <c r="J2" s="5"/>
    </row>
    <row r="3" spans="2:10" x14ac:dyDescent="0.25">
      <c r="G3" s="1"/>
      <c r="H3" s="1"/>
    </row>
    <row r="4" spans="2:10" x14ac:dyDescent="0.25">
      <c r="B4" s="40" t="s">
        <v>30</v>
      </c>
      <c r="C4" s="41"/>
      <c r="D4" s="41"/>
      <c r="E4" s="41"/>
      <c r="F4" s="41"/>
      <c r="G4" s="42"/>
    </row>
    <row r="5" spans="2:10" ht="30" x14ac:dyDescent="0.25">
      <c r="B5" s="13" t="s">
        <v>8</v>
      </c>
      <c r="C5" s="59" t="s">
        <v>71</v>
      </c>
      <c r="D5" s="14" t="s">
        <v>26</v>
      </c>
      <c r="E5" s="14" t="s">
        <v>27</v>
      </c>
      <c r="F5" s="14" t="s">
        <v>28</v>
      </c>
      <c r="G5" s="15" t="s">
        <v>29</v>
      </c>
    </row>
    <row r="6" spans="2:10" x14ac:dyDescent="0.25">
      <c r="B6" s="11" t="s">
        <v>11</v>
      </c>
      <c r="C6" s="61">
        <v>170</v>
      </c>
      <c r="D6" s="46">
        <v>1295687</v>
      </c>
      <c r="E6" s="46">
        <v>0</v>
      </c>
      <c r="F6" s="46">
        <v>126256</v>
      </c>
      <c r="G6" s="57">
        <v>0</v>
      </c>
    </row>
    <row r="7" spans="2:10" x14ac:dyDescent="0.25">
      <c r="B7" s="10" t="s">
        <v>12</v>
      </c>
      <c r="C7" s="61">
        <v>33</v>
      </c>
      <c r="D7" s="46">
        <v>469879</v>
      </c>
      <c r="E7" s="46">
        <v>0</v>
      </c>
      <c r="F7" s="46">
        <v>24072</v>
      </c>
      <c r="G7" s="57">
        <v>0</v>
      </c>
    </row>
    <row r="8" spans="2:10" x14ac:dyDescent="0.25">
      <c r="B8" s="10" t="s">
        <v>13</v>
      </c>
      <c r="C8" s="61">
        <v>4</v>
      </c>
      <c r="D8" s="46">
        <v>1575940</v>
      </c>
      <c r="E8" s="46">
        <v>4253</v>
      </c>
      <c r="F8" s="46">
        <v>1460260</v>
      </c>
      <c r="G8" s="57">
        <v>3885.0000000000005</v>
      </c>
    </row>
    <row r="9" spans="2:10" x14ac:dyDescent="0.25">
      <c r="B9" s="16" t="s">
        <v>17</v>
      </c>
      <c r="C9" s="62">
        <v>74</v>
      </c>
      <c r="D9" s="46">
        <v>55076</v>
      </c>
      <c r="E9" s="46">
        <v>163</v>
      </c>
      <c r="F9" s="46">
        <v>55074</v>
      </c>
      <c r="G9" s="57">
        <v>163</v>
      </c>
    </row>
    <row r="10" spans="2:10" x14ac:dyDescent="0.25">
      <c r="B10" s="18" t="s">
        <v>21</v>
      </c>
      <c r="C10" s="60">
        <f>SUM(C6:C9)</f>
        <v>281</v>
      </c>
      <c r="D10" s="19">
        <f>SUM(D6:D9)</f>
        <v>3396582</v>
      </c>
      <c r="E10" s="19">
        <f>SUM(E6:E9)</f>
        <v>4416</v>
      </c>
      <c r="F10" s="19">
        <f>SUM(F6:F9)</f>
        <v>1665662</v>
      </c>
      <c r="G10" s="47">
        <f>SUM(G6:G9)</f>
        <v>4048.0000000000005</v>
      </c>
      <c r="I10" s="1"/>
    </row>
    <row r="12" spans="2:10" x14ac:dyDescent="0.25">
      <c r="B12" s="40" t="s">
        <v>31</v>
      </c>
      <c r="C12" s="41"/>
      <c r="D12" s="41"/>
      <c r="E12" s="41"/>
      <c r="F12" s="41"/>
      <c r="G12" s="41"/>
      <c r="H12" s="41"/>
      <c r="I12" s="41"/>
    </row>
    <row r="13" spans="2:10" x14ac:dyDescent="0.25">
      <c r="B13" s="29" t="s">
        <v>9</v>
      </c>
      <c r="C13" s="23">
        <v>1550</v>
      </c>
      <c r="D13" s="23">
        <v>1551</v>
      </c>
      <c r="E13" s="23">
        <v>1580</v>
      </c>
      <c r="F13" s="23">
        <v>1584</v>
      </c>
      <c r="G13" s="23">
        <v>1586</v>
      </c>
      <c r="H13" s="23">
        <v>1588</v>
      </c>
      <c r="I13" s="24">
        <v>1589</v>
      </c>
    </row>
    <row r="14" spans="2:10" x14ac:dyDescent="0.25">
      <c r="B14" s="48" t="s">
        <v>59</v>
      </c>
      <c r="C14" s="50">
        <f>'1. Balances for Disposition'!N52</f>
        <v>1272.2287812488194</v>
      </c>
      <c r="D14" s="50">
        <f>'1. Balances for Disposition'!N53</f>
        <v>80.698919214475083</v>
      </c>
      <c r="E14" s="50">
        <f>'1. Balances for Disposition'!N54</f>
        <v>-2311.1399744139508</v>
      </c>
      <c r="F14" s="50">
        <f>'1. Balances for Disposition'!N55</f>
        <v>77.401251560036343</v>
      </c>
      <c r="G14" s="50">
        <f>'1. Balances for Disposition'!N56</f>
        <v>2183.8384261637129</v>
      </c>
      <c r="H14" s="50">
        <f>'1. Balances for Disposition'!N57</f>
        <v>3575.3748891840419</v>
      </c>
      <c r="I14" s="51">
        <f>'1. Balances for Disposition'!N58</f>
        <v>-896.64858598747526</v>
      </c>
    </row>
    <row r="15" spans="2:10" s="39" customFormat="1" ht="24" x14ac:dyDescent="0.25">
      <c r="B15" s="49" t="s">
        <v>36</v>
      </c>
      <c r="C15" s="52" t="s">
        <v>10</v>
      </c>
      <c r="D15" s="52" t="s">
        <v>72</v>
      </c>
      <c r="E15" s="52" t="s">
        <v>10</v>
      </c>
      <c r="F15" s="52" t="s">
        <v>10</v>
      </c>
      <c r="G15" s="52" t="s">
        <v>10</v>
      </c>
      <c r="H15" s="52" t="s">
        <v>10</v>
      </c>
      <c r="I15" s="53" t="s">
        <v>74</v>
      </c>
    </row>
    <row r="16" spans="2:10" x14ac:dyDescent="0.25">
      <c r="B16" s="11" t="s">
        <v>11</v>
      </c>
      <c r="C16" s="22">
        <f>$C$14*D6/$D$10</f>
        <v>485.31444048456331</v>
      </c>
      <c r="D16" s="22">
        <f>D14*(C6/SUM(C6:C7))</f>
        <v>67.58037569685105</v>
      </c>
      <c r="E16" s="22">
        <f>$E$14*(D6/$D$10)</f>
        <v>-881.62571079646784</v>
      </c>
      <c r="F16" s="22">
        <f>$F$14*(D6/$D$10)</f>
        <v>29.526092828045606</v>
      </c>
      <c r="G16" s="22">
        <f>$G$14*(D6/$D$10)</f>
        <v>833.06425662056222</v>
      </c>
      <c r="H16" s="22">
        <f>$H$14*(D6/$D$10)</f>
        <v>1363.8907478289066</v>
      </c>
      <c r="I16" s="25">
        <f>$I$14*(F6/$F$10)</f>
        <v>-67.965327823072556</v>
      </c>
    </row>
    <row r="17" spans="2:12" x14ac:dyDescent="0.25">
      <c r="B17" s="10" t="s">
        <v>12</v>
      </c>
      <c r="C17" s="22">
        <f t="shared" ref="C17:C19" si="0">$C$14*D7/$D$10</f>
        <v>175.99857371452063</v>
      </c>
      <c r="D17" s="22">
        <f>D14*(C7/SUM(C6:C7))</f>
        <v>13.118543517624028</v>
      </c>
      <c r="E17" s="22">
        <f t="shared" ref="E17:E19" si="1">$E$14*(D7/$D$10)</f>
        <v>-319.72027763135202</v>
      </c>
      <c r="F17" s="22">
        <f t="shared" ref="F17:F19" si="2">$F$14*(D7/$D$10)</f>
        <v>10.707594482270212</v>
      </c>
      <c r="G17" s="22">
        <f t="shared" ref="G17:G19" si="3">$G$14*(D7/$D$10)</f>
        <v>302.10953713096853</v>
      </c>
      <c r="H17" s="22">
        <f t="shared" ref="H17:H19" si="4">$H$14*(D7/$D$10)</f>
        <v>494.61298963337509</v>
      </c>
      <c r="I17" s="25">
        <f t="shared" ref="I17:I19" si="5">$I$14*(F7/$F$10)</f>
        <v>-12.958286112002618</v>
      </c>
    </row>
    <row r="18" spans="2:12" x14ac:dyDescent="0.25">
      <c r="B18" s="10" t="s">
        <v>13</v>
      </c>
      <c r="C18" s="22">
        <f t="shared" si="0"/>
        <v>590.2864189709727</v>
      </c>
      <c r="D18" s="21"/>
      <c r="E18" s="22">
        <f t="shared" si="1"/>
        <v>-1072.3185635671159</v>
      </c>
      <c r="F18" s="22">
        <f t="shared" si="2"/>
        <v>35.912493319320326</v>
      </c>
      <c r="G18" s="22">
        <f t="shared" si="3"/>
        <v>1013.2534204469205</v>
      </c>
      <c r="H18" s="22">
        <f t="shared" si="4"/>
        <v>1658.896002764161</v>
      </c>
      <c r="I18" s="25">
        <f t="shared" si="5"/>
        <v>-786.07788625427645</v>
      </c>
    </row>
    <row r="19" spans="2:12" x14ac:dyDescent="0.25">
      <c r="B19" s="16" t="s">
        <v>17</v>
      </c>
      <c r="C19" s="22">
        <f t="shared" si="0"/>
        <v>20.6293480787627</v>
      </c>
      <c r="D19" s="26"/>
      <c r="E19" s="22">
        <f t="shared" si="1"/>
        <v>-37.475422419014983</v>
      </c>
      <c r="F19" s="22">
        <f t="shared" si="2"/>
        <v>1.255070930400197</v>
      </c>
      <c r="G19" s="22">
        <f t="shared" si="3"/>
        <v>35.411211965261742</v>
      </c>
      <c r="H19" s="22">
        <f t="shared" si="4"/>
        <v>57.975148957599231</v>
      </c>
      <c r="I19" s="25">
        <f t="shared" si="5"/>
        <v>-29.647085798123637</v>
      </c>
    </row>
    <row r="20" spans="2:12" x14ac:dyDescent="0.25">
      <c r="B20" s="18" t="s">
        <v>21</v>
      </c>
      <c r="C20" s="27">
        <f t="shared" ref="C20:I20" si="6">SUM(C16:C19)</f>
        <v>1272.2287812488194</v>
      </c>
      <c r="D20" s="27">
        <f t="shared" si="6"/>
        <v>80.698919214475083</v>
      </c>
      <c r="E20" s="27">
        <f t="shared" si="6"/>
        <v>-2311.1399744139512</v>
      </c>
      <c r="F20" s="27">
        <f t="shared" si="6"/>
        <v>77.401251560036343</v>
      </c>
      <c r="G20" s="27">
        <f t="shared" si="6"/>
        <v>2183.8384261637129</v>
      </c>
      <c r="H20" s="27">
        <f t="shared" si="6"/>
        <v>3575.3748891840419</v>
      </c>
      <c r="I20" s="28">
        <f t="shared" si="6"/>
        <v>-896.64858598747526</v>
      </c>
    </row>
    <row r="22" spans="2:12" x14ac:dyDescent="0.25">
      <c r="B22" s="40" t="s">
        <v>116</v>
      </c>
      <c r="C22" s="41"/>
      <c r="D22" s="41"/>
      <c r="E22" s="41"/>
      <c r="F22" s="41"/>
      <c r="G22" s="42"/>
    </row>
    <row r="23" spans="2:12" x14ac:dyDescent="0.25">
      <c r="B23" s="29" t="s">
        <v>32</v>
      </c>
      <c r="C23" s="150" t="s">
        <v>115</v>
      </c>
      <c r="D23" s="150"/>
      <c r="E23" s="150" t="s">
        <v>78</v>
      </c>
      <c r="F23" s="150"/>
      <c r="G23" s="144" t="s">
        <v>21</v>
      </c>
      <c r="H23" s="1"/>
    </row>
    <row r="24" spans="2:12" x14ac:dyDescent="0.25">
      <c r="B24" s="32" t="s">
        <v>33</v>
      </c>
      <c r="C24" s="147">
        <v>29050.450000000015</v>
      </c>
      <c r="D24" s="147"/>
      <c r="E24" s="147">
        <v>862.56999999999789</v>
      </c>
      <c r="F24" s="147"/>
      <c r="G24" s="145"/>
    </row>
    <row r="25" spans="2:12" x14ac:dyDescent="0.25">
      <c r="B25" s="33" t="s">
        <v>8</v>
      </c>
      <c r="C25" s="34" t="s">
        <v>19</v>
      </c>
      <c r="D25" s="34" t="s">
        <v>20</v>
      </c>
      <c r="E25" s="34" t="s">
        <v>19</v>
      </c>
      <c r="F25" s="34" t="s">
        <v>20</v>
      </c>
      <c r="G25" s="146"/>
    </row>
    <row r="26" spans="2:12" x14ac:dyDescent="0.25">
      <c r="B26" s="11" t="s">
        <v>11</v>
      </c>
      <c r="C26" s="54">
        <v>0.40012237856600141</v>
      </c>
      <c r="D26" s="31">
        <f>ROUND(C26*C$24,2)</f>
        <v>11623.74</v>
      </c>
      <c r="E26" s="54">
        <v>0.40460000000000002</v>
      </c>
      <c r="F26" s="31">
        <f>ROUND(E26*E$24,2)</f>
        <v>349</v>
      </c>
      <c r="G26" s="25">
        <f>D26</f>
        <v>11623.74</v>
      </c>
    </row>
    <row r="27" spans="2:12" x14ac:dyDescent="0.25">
      <c r="B27" s="10" t="s">
        <v>12</v>
      </c>
      <c r="C27" s="54">
        <v>0.16909027780661073</v>
      </c>
      <c r="D27" s="31">
        <f t="shared" ref="D27:D29" si="7">ROUND(C27*C$24,2)</f>
        <v>4912.1499999999996</v>
      </c>
      <c r="E27" s="54">
        <v>0.13730000000000001</v>
      </c>
      <c r="F27" s="31">
        <f t="shared" ref="F27:F29" si="8">ROUND(E27*E$24,2)</f>
        <v>118.43</v>
      </c>
      <c r="G27" s="25">
        <f>D27</f>
        <v>4912.1499999999996</v>
      </c>
    </row>
    <row r="28" spans="2:12" x14ac:dyDescent="0.25">
      <c r="B28" s="10" t="s">
        <v>13</v>
      </c>
      <c r="C28" s="54">
        <v>0.41498530211624612</v>
      </c>
      <c r="D28" s="31">
        <f t="shared" si="7"/>
        <v>12055.51</v>
      </c>
      <c r="E28" s="54">
        <v>0.443</v>
      </c>
      <c r="F28" s="31">
        <f t="shared" si="8"/>
        <v>382.12</v>
      </c>
      <c r="G28" s="25">
        <f>D28</f>
        <v>12055.51</v>
      </c>
    </row>
    <row r="29" spans="2:12" x14ac:dyDescent="0.25">
      <c r="B29" s="16" t="s">
        <v>17</v>
      </c>
      <c r="C29" s="54">
        <v>1.5802041511141743E-2</v>
      </c>
      <c r="D29" s="31">
        <f t="shared" si="7"/>
        <v>459.06</v>
      </c>
      <c r="E29" s="54">
        <v>1.5100000000000001E-2</v>
      </c>
      <c r="F29" s="31">
        <f t="shared" si="8"/>
        <v>13.02</v>
      </c>
      <c r="G29" s="25">
        <f>D29</f>
        <v>459.06</v>
      </c>
    </row>
    <row r="30" spans="2:12" x14ac:dyDescent="0.25">
      <c r="B30" s="18" t="s">
        <v>21</v>
      </c>
      <c r="C30" s="19"/>
      <c r="D30" s="36">
        <f>SUM(D26:D29)</f>
        <v>29050.460000000003</v>
      </c>
      <c r="E30" s="19"/>
      <c r="F30" s="36">
        <f>SUM(F26:F29)</f>
        <v>862.56999999999994</v>
      </c>
      <c r="G30" s="28">
        <f>SUM(G26:G29)</f>
        <v>29050.460000000003</v>
      </c>
    </row>
    <row r="31" spans="2:12" x14ac:dyDescent="0.25">
      <c r="L31" s="4"/>
    </row>
    <row r="32" spans="2:12" ht="15.75" thickBot="1" x14ac:dyDescent="0.3">
      <c r="B32" s="40" t="s">
        <v>34</v>
      </c>
      <c r="C32" s="41"/>
      <c r="D32" s="41"/>
      <c r="E32" s="41"/>
      <c r="F32" s="41"/>
      <c r="G32" s="42"/>
    </row>
    <row r="33" spans="2:9" ht="30" x14ac:dyDescent="0.25">
      <c r="B33" s="13" t="s">
        <v>8</v>
      </c>
      <c r="C33" s="38" t="s">
        <v>22</v>
      </c>
      <c r="D33" s="14" t="s">
        <v>42</v>
      </c>
      <c r="E33" s="14" t="s">
        <v>119</v>
      </c>
      <c r="F33" s="14" t="s">
        <v>75</v>
      </c>
      <c r="G33" s="15" t="s">
        <v>118</v>
      </c>
      <c r="I33" s="65" t="s">
        <v>79</v>
      </c>
    </row>
    <row r="34" spans="2:9" ht="15.75" thickBot="1" x14ac:dyDescent="0.3">
      <c r="B34" s="11" t="s">
        <v>11</v>
      </c>
      <c r="C34" s="12" t="s">
        <v>23</v>
      </c>
      <c r="D34" s="31">
        <f>SUM(C16:H16)+G26</f>
        <v>13521.49020266246</v>
      </c>
      <c r="E34" s="37">
        <f>IF(D34=0," ",IF($C34="kWh",ROUND(D34/NEW_DISYR/$D6,4),ROUND(D34/NEW_DISYR/$E6,4)))</f>
        <v>5.1999999999999998E-3</v>
      </c>
      <c r="F34" s="31">
        <f>I16</f>
        <v>-67.965327823072556</v>
      </c>
      <c r="G34" s="70">
        <f>IF(F34=0," ",IF($C34="kWh",ROUND(F34/NEW_DISYR/$F6,4),ROUND(F34/NEW_DISYR/$G6,4)))</f>
        <v>-2.9999999999999997E-4</v>
      </c>
      <c r="I34" s="64">
        <v>2</v>
      </c>
    </row>
    <row r="35" spans="2:9" x14ac:dyDescent="0.25">
      <c r="B35" s="10" t="s">
        <v>12</v>
      </c>
      <c r="C35" s="9" t="s">
        <v>23</v>
      </c>
      <c r="D35" s="31">
        <f t="shared" ref="D35:D37" si="9">SUM(C17:H17)+G27</f>
        <v>5588.9769608474062</v>
      </c>
      <c r="E35" s="37">
        <f>IF(D35=0," ",IF($C35="kWh",ROUND(D35/NEW_DISYR/$D7,4),ROUND(D35/NEW_DISYR/$E7,4)))</f>
        <v>5.8999999999999999E-3</v>
      </c>
      <c r="F35" s="31">
        <f t="shared" ref="F35:F37" si="10">I17</f>
        <v>-12.958286112002618</v>
      </c>
      <c r="G35" s="70">
        <f>IF(F35=0," ",IF($C35="kWh",ROUND(F35/NEW_DISYR/$F7,4),ROUND(F35/NEW_DISYR/$G7,4)))</f>
        <v>-2.9999999999999997E-4</v>
      </c>
    </row>
    <row r="36" spans="2:9" x14ac:dyDescent="0.25">
      <c r="B36" s="10" t="s">
        <v>13</v>
      </c>
      <c r="C36" s="73" t="s">
        <v>24</v>
      </c>
      <c r="D36" s="31">
        <f t="shared" si="9"/>
        <v>14281.539771934258</v>
      </c>
      <c r="E36" s="37">
        <f>IF(D36=0," ",IF($C36="kWh",ROUND(D36/NEW_DISYR/$D8,4),ROUND(D36/NEW_DISYR/$E8,4)))</f>
        <v>1.679</v>
      </c>
      <c r="F36" s="31">
        <f>I18</f>
        <v>-786.07788625427645</v>
      </c>
      <c r="G36" s="70">
        <f>IF(F36=0," ",IF($C36="kWh",ROUND(F36/NEW_DISYR/$F8,4),ROUND(F36/NEW_DISYR/$G8,4)))</f>
        <v>-0.1012</v>
      </c>
    </row>
    <row r="37" spans="2:9" x14ac:dyDescent="0.25">
      <c r="B37" s="16" t="s">
        <v>17</v>
      </c>
      <c r="C37" s="17" t="s">
        <v>24</v>
      </c>
      <c r="D37" s="31">
        <f t="shared" si="9"/>
        <v>536.85535751300893</v>
      </c>
      <c r="E37" s="37">
        <f>IF(D37=0," ",IF($C37="kWh",ROUND(D37/NEW_DISYR/$D9,4),ROUND(D37/NEW_DISYR/$E9,4)))</f>
        <v>1.6468</v>
      </c>
      <c r="F37" s="31">
        <f t="shared" si="10"/>
        <v>-29.647085798123637</v>
      </c>
      <c r="G37" s="70">
        <f>IF(F37=0," ",IF($C37="kWh",ROUND(F37/NEW_DISYR/$F9,4),ROUND(F37/NEW_DISYR/$G9,4)))</f>
        <v>-9.0899999999999995E-2</v>
      </c>
    </row>
    <row r="38" spans="2:9" x14ac:dyDescent="0.25">
      <c r="B38" s="18" t="s">
        <v>21</v>
      </c>
      <c r="C38" s="19"/>
      <c r="D38" s="36">
        <f>SUM(D34:D37)</f>
        <v>33928.862292957128</v>
      </c>
      <c r="E38" s="36"/>
      <c r="F38" s="36">
        <f>SUM(F34:F37)</f>
        <v>-896.64858598747526</v>
      </c>
      <c r="G38" s="20"/>
    </row>
    <row r="39" spans="2:9" x14ac:dyDescent="0.25">
      <c r="C39" s="3"/>
      <c r="D39" s="3"/>
      <c r="E39" s="3"/>
    </row>
    <row r="41" spans="2:9" x14ac:dyDescent="0.25">
      <c r="D41" s="135"/>
    </row>
    <row r="42" spans="2:9" x14ac:dyDescent="0.25">
      <c r="D42" s="135"/>
      <c r="G42" s="136"/>
    </row>
    <row r="43" spans="2:9" x14ac:dyDescent="0.25">
      <c r="G43" s="136"/>
    </row>
  </sheetData>
  <mergeCells count="5">
    <mergeCell ref="C23:D23"/>
    <mergeCell ref="G23:G25"/>
    <mergeCell ref="C24:D24"/>
    <mergeCell ref="E23:F23"/>
    <mergeCell ref="E24:F24"/>
  </mergeCells>
  <pageMargins left="0.25" right="0.25" top="0.5" bottom="0.5" header="0.3" footer="0.3"/>
  <pageSetup scale="70" orientation="portrait" r:id="rId1"/>
  <headerFooter>
    <oddFooter>&amp;L&amp;8&amp;F
Tab: &amp;A&amp;R&amp;8&amp;P/&amp;N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showGridLines="0" zoomScaleNormal="100" workbookViewId="0">
      <selection activeCell="I23" sqref="I23"/>
    </sheetView>
  </sheetViews>
  <sheetFormatPr defaultRowHeight="15" x14ac:dyDescent="0.25"/>
  <cols>
    <col min="1" max="1" width="1.7109375" customWidth="1"/>
    <col min="2" max="2" width="38.5703125" customWidth="1"/>
    <col min="3" max="7" width="12.7109375" customWidth="1"/>
  </cols>
  <sheetData>
    <row r="1" spans="2:7" ht="18.75" x14ac:dyDescent="0.3">
      <c r="B1" s="5" t="s">
        <v>25</v>
      </c>
      <c r="C1" s="6"/>
      <c r="D1" s="6"/>
      <c r="E1" s="6"/>
      <c r="F1" s="6"/>
      <c r="G1" s="5"/>
    </row>
    <row r="2" spans="2:7" ht="18.75" x14ac:dyDescent="0.3">
      <c r="B2" s="5" t="s">
        <v>88</v>
      </c>
      <c r="C2" s="6"/>
      <c r="D2" s="6"/>
      <c r="E2" s="6"/>
      <c r="F2" s="6"/>
      <c r="G2" s="5"/>
    </row>
    <row r="3" spans="2:7" ht="19.5" thickBot="1" x14ac:dyDescent="0.35">
      <c r="B3" s="7" t="s">
        <v>110</v>
      </c>
      <c r="C3" s="8"/>
      <c r="D3" s="8"/>
      <c r="E3" s="8"/>
      <c r="F3" s="8"/>
      <c r="G3" s="7"/>
    </row>
    <row r="4" spans="2:7" x14ac:dyDescent="0.25">
      <c r="C4" s="1"/>
      <c r="D4" s="1"/>
      <c r="E4" s="1"/>
      <c r="F4" s="1"/>
      <c r="G4" s="1"/>
    </row>
    <row r="5" spans="2:7" x14ac:dyDescent="0.25">
      <c r="B5" s="40" t="s">
        <v>30</v>
      </c>
      <c r="C5" s="41"/>
      <c r="D5" s="41"/>
      <c r="E5" s="41"/>
      <c r="F5" s="41"/>
      <c r="G5" s="42"/>
    </row>
    <row r="6" spans="2:7" ht="30" x14ac:dyDescent="0.25">
      <c r="B6" s="13" t="s">
        <v>8</v>
      </c>
      <c r="C6" s="59" t="s">
        <v>80</v>
      </c>
      <c r="D6" s="14" t="s">
        <v>26</v>
      </c>
      <c r="E6" s="14" t="s">
        <v>27</v>
      </c>
      <c r="F6" s="14" t="s">
        <v>28</v>
      </c>
      <c r="G6" s="15" t="s">
        <v>29</v>
      </c>
    </row>
    <row r="7" spans="2:7" x14ac:dyDescent="0.25">
      <c r="B7" s="11" t="s">
        <v>11</v>
      </c>
      <c r="C7" s="127">
        <f>'3A. CK Calculation'!C7</f>
        <v>28799</v>
      </c>
      <c r="D7" s="128">
        <f>'3A. CK Calculation'!D7</f>
        <v>216352313</v>
      </c>
      <c r="E7" s="128">
        <f>'3A. CK Calculation'!E7</f>
        <v>0</v>
      </c>
      <c r="F7" s="128">
        <f>'3A. CK Calculation'!F7</f>
        <v>19943840</v>
      </c>
      <c r="G7" s="129">
        <f>'3A. CK Calculation'!G7</f>
        <v>0</v>
      </c>
    </row>
    <row r="8" spans="2:7" x14ac:dyDescent="0.25">
      <c r="B8" s="10" t="s">
        <v>12</v>
      </c>
      <c r="C8" s="127">
        <f>'3A. CK Calculation'!C8</f>
        <v>3087</v>
      </c>
      <c r="D8" s="128">
        <f>'3A. CK Calculation'!D8</f>
        <v>84825628</v>
      </c>
      <c r="E8" s="128">
        <f>'3A. CK Calculation'!E8</f>
        <v>0</v>
      </c>
      <c r="F8" s="128">
        <f>'3A. CK Calculation'!F8</f>
        <v>12121570</v>
      </c>
      <c r="G8" s="129">
        <f>'3A. CK Calculation'!G8</f>
        <v>0</v>
      </c>
    </row>
    <row r="9" spans="2:7" x14ac:dyDescent="0.25">
      <c r="B9" s="10" t="s">
        <v>13</v>
      </c>
      <c r="C9" s="127">
        <f>'3A. CK Calculation'!C9</f>
        <v>381</v>
      </c>
      <c r="D9" s="128">
        <f>'3A. CK Calculation'!D9</f>
        <v>254848303.64429528</v>
      </c>
      <c r="E9" s="128">
        <f>'3A. CK Calculation'!E9</f>
        <v>691390</v>
      </c>
      <c r="F9" s="128">
        <f>'3A. CK Calculation'!F9</f>
        <v>204241649</v>
      </c>
      <c r="G9" s="129">
        <f>'3A. CK Calculation'!G9</f>
        <v>587994</v>
      </c>
    </row>
    <row r="10" spans="2:7" x14ac:dyDescent="0.25">
      <c r="B10" s="10" t="s">
        <v>14</v>
      </c>
      <c r="C10" s="127">
        <f>'3A. CK Calculation'!C10</f>
        <v>13</v>
      </c>
      <c r="D10" s="128">
        <f>'3A. CK Calculation'!D10</f>
        <v>112421650.80153404</v>
      </c>
      <c r="E10" s="128">
        <f>'3A. CK Calculation'!E10</f>
        <v>278345</v>
      </c>
      <c r="F10" s="128">
        <f>'3A. CK Calculation'!F10</f>
        <v>112421650.80153404</v>
      </c>
      <c r="G10" s="129">
        <f>'3A. CK Calculation'!G10</f>
        <v>278345</v>
      </c>
    </row>
    <row r="11" spans="2:7" x14ac:dyDescent="0.25">
      <c r="B11" s="10" t="s">
        <v>130</v>
      </c>
      <c r="C11" s="127">
        <f>'3A. CK Calculation'!C11</f>
        <v>1</v>
      </c>
      <c r="D11" s="128">
        <f>'3A. CK Calculation'!D11</f>
        <v>39427413.279952668</v>
      </c>
      <c r="E11" s="128">
        <f>'3A. CK Calculation'!E11</f>
        <v>87871</v>
      </c>
      <c r="F11" s="128">
        <f>'3A. CK Calculation'!F11</f>
        <v>39427413.279952668</v>
      </c>
      <c r="G11" s="129">
        <f>'3A. CK Calculation'!G11</f>
        <v>87871</v>
      </c>
    </row>
    <row r="12" spans="2:7" x14ac:dyDescent="0.25">
      <c r="B12" s="10" t="s">
        <v>15</v>
      </c>
      <c r="C12" s="127">
        <f>'3A. CK Calculation'!C12</f>
        <v>199</v>
      </c>
      <c r="D12" s="128">
        <f>'3A. CK Calculation'!D12</f>
        <v>904820</v>
      </c>
      <c r="E12" s="128">
        <f>'3A. CK Calculation'!E12</f>
        <v>0</v>
      </c>
      <c r="F12" s="128">
        <f>'3A. CK Calculation'!F12</f>
        <v>0</v>
      </c>
      <c r="G12" s="129">
        <f>'3A. CK Calculation'!G12</f>
        <v>0</v>
      </c>
    </row>
    <row r="13" spans="2:7" x14ac:dyDescent="0.25">
      <c r="B13" s="10" t="s">
        <v>16</v>
      </c>
      <c r="C13" s="127">
        <f>'3A. CK Calculation'!C13</f>
        <v>440</v>
      </c>
      <c r="D13" s="128">
        <f>'3A. CK Calculation'!D13</f>
        <v>364770</v>
      </c>
      <c r="E13" s="128">
        <f>'3A. CK Calculation'!E13</f>
        <v>1002</v>
      </c>
      <c r="F13" s="128">
        <f>'3A. CK Calculation'!F13</f>
        <v>136303</v>
      </c>
      <c r="G13" s="129">
        <f>'3A. CK Calculation'!G13</f>
        <v>354</v>
      </c>
    </row>
    <row r="14" spans="2:7" x14ac:dyDescent="0.25">
      <c r="B14" s="16" t="s">
        <v>17</v>
      </c>
      <c r="C14" s="127">
        <f>'3A. CK Calculation'!C14</f>
        <v>10623</v>
      </c>
      <c r="D14" s="128">
        <f>'3A. CK Calculation'!D14</f>
        <v>6163072</v>
      </c>
      <c r="E14" s="128">
        <f>'3A. CK Calculation'!E14</f>
        <v>18186</v>
      </c>
      <c r="F14" s="128">
        <f>'3A. CK Calculation'!F14</f>
        <v>6163083</v>
      </c>
      <c r="G14" s="129">
        <f>'3A. CK Calculation'!G14</f>
        <v>18186</v>
      </c>
    </row>
    <row r="15" spans="2:7" x14ac:dyDescent="0.25">
      <c r="B15" s="18" t="s">
        <v>21</v>
      </c>
      <c r="C15" s="67">
        <f>SUM(C7:C14)</f>
        <v>43543</v>
      </c>
      <c r="D15" s="19">
        <f>SUM(D7:D14)</f>
        <v>715307970.72578192</v>
      </c>
      <c r="E15" s="19">
        <f>SUM(E7:E14)</f>
        <v>1076794</v>
      </c>
      <c r="F15" s="19">
        <f>SUM(F7:F14)</f>
        <v>394455509.0814867</v>
      </c>
      <c r="G15" s="47">
        <f>SUM(G7:G14)</f>
        <v>972750</v>
      </c>
    </row>
    <row r="17" spans="2:5" x14ac:dyDescent="0.25">
      <c r="B17" s="40" t="s">
        <v>111</v>
      </c>
      <c r="C17" s="41"/>
      <c r="D17" s="41"/>
      <c r="E17" s="42"/>
    </row>
    <row r="18" spans="2:5" ht="30" x14ac:dyDescent="0.25">
      <c r="B18" s="13" t="s">
        <v>8</v>
      </c>
      <c r="C18" s="38" t="s">
        <v>22</v>
      </c>
      <c r="D18" s="59" t="s">
        <v>112</v>
      </c>
      <c r="E18" s="15" t="s">
        <v>108</v>
      </c>
    </row>
    <row r="19" spans="2:5" x14ac:dyDescent="0.25">
      <c r="B19" s="11" t="s">
        <v>11</v>
      </c>
      <c r="C19" s="12" t="s">
        <v>23</v>
      </c>
      <c r="D19" s="132">
        <v>21577.3</v>
      </c>
      <c r="E19" s="131">
        <f>IF(C19="kWh",ROUND(D19/D7,4),ROUND(D19/E7,4))</f>
        <v>1E-4</v>
      </c>
    </row>
    <row r="20" spans="2:5" x14ac:dyDescent="0.25">
      <c r="B20" s="10" t="s">
        <v>12</v>
      </c>
      <c r="C20" s="9" t="s">
        <v>23</v>
      </c>
      <c r="D20" s="132">
        <v>49157.77</v>
      </c>
      <c r="E20" s="131">
        <f t="shared" ref="E20:E23" si="0">IF(C20="kWh",ROUND(D20/D8,4),ROUND(D20/E8,4))</f>
        <v>5.9999999999999995E-4</v>
      </c>
    </row>
    <row r="21" spans="2:5" x14ac:dyDescent="0.25">
      <c r="B21" s="10" t="s">
        <v>13</v>
      </c>
      <c r="C21" s="9" t="s">
        <v>24</v>
      </c>
      <c r="D21" s="132">
        <v>23505.03</v>
      </c>
      <c r="E21" s="131">
        <f t="shared" si="0"/>
        <v>3.4000000000000002E-2</v>
      </c>
    </row>
    <row r="22" spans="2:5" x14ac:dyDescent="0.25">
      <c r="B22" s="10" t="s">
        <v>14</v>
      </c>
      <c r="C22" s="9" t="s">
        <v>24</v>
      </c>
      <c r="D22" s="132">
        <v>8996.69</v>
      </c>
      <c r="E22" s="131">
        <f t="shared" si="0"/>
        <v>3.2300000000000002E-2</v>
      </c>
    </row>
    <row r="23" spans="2:5" x14ac:dyDescent="0.25">
      <c r="B23" s="10" t="s">
        <v>130</v>
      </c>
      <c r="C23" s="9" t="s">
        <v>24</v>
      </c>
      <c r="D23" s="132">
        <v>4246.67</v>
      </c>
      <c r="E23" s="131">
        <f t="shared" si="0"/>
        <v>4.8300000000000003E-2</v>
      </c>
    </row>
    <row r="24" spans="2:5" x14ac:dyDescent="0.25">
      <c r="B24" s="10" t="s">
        <v>15</v>
      </c>
      <c r="C24" s="9" t="s">
        <v>23</v>
      </c>
      <c r="D24" s="130"/>
      <c r="E24" s="129"/>
    </row>
    <row r="25" spans="2:5" x14ac:dyDescent="0.25">
      <c r="B25" s="10" t="s">
        <v>16</v>
      </c>
      <c r="C25" s="73" t="s">
        <v>24</v>
      </c>
      <c r="D25" s="130"/>
      <c r="E25" s="129"/>
    </row>
    <row r="26" spans="2:5" x14ac:dyDescent="0.25">
      <c r="B26" s="16" t="s">
        <v>17</v>
      </c>
      <c r="C26" s="17" t="s">
        <v>24</v>
      </c>
      <c r="D26" s="130"/>
      <c r="E26" s="129"/>
    </row>
    <row r="27" spans="2:5" x14ac:dyDescent="0.25">
      <c r="B27" s="18" t="s">
        <v>21</v>
      </c>
      <c r="C27" s="19"/>
      <c r="D27" s="122">
        <f>SUM(D19:D26)</f>
        <v>107483.45999999999</v>
      </c>
      <c r="E27" s="47"/>
    </row>
  </sheetData>
  <pageMargins left="0.5" right="0.5" top="0.5" bottom="0.5" header="0.3" footer="0.3"/>
  <pageSetup scale="93" orientation="portrait" r:id="rId1"/>
  <headerFooter>
    <oddFooter>&amp;L&amp;8&amp;F
Tab: &amp;A&amp;R&amp;8&amp;P/&amp;N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GridLines="0" tabSelected="1" zoomScaleNormal="100" workbookViewId="0">
      <selection activeCell="I8" sqref="I8"/>
    </sheetView>
  </sheetViews>
  <sheetFormatPr defaultRowHeight="15" x14ac:dyDescent="0.25"/>
  <cols>
    <col min="1" max="1" width="1.7109375" customWidth="1"/>
    <col min="2" max="2" width="37" customWidth="1"/>
    <col min="3" max="7" width="12.7109375" customWidth="1"/>
  </cols>
  <sheetData>
    <row r="1" spans="2:7" ht="18.75" x14ac:dyDescent="0.3">
      <c r="B1" s="5" t="s">
        <v>25</v>
      </c>
      <c r="C1" s="6"/>
      <c r="D1" s="6"/>
      <c r="E1" s="6"/>
      <c r="F1" s="6"/>
      <c r="G1" s="5"/>
    </row>
    <row r="2" spans="2:7" ht="19.5" thickBot="1" x14ac:dyDescent="0.35">
      <c r="B2" s="7" t="s">
        <v>120</v>
      </c>
      <c r="C2" s="8"/>
      <c r="D2" s="8"/>
      <c r="E2" s="8"/>
      <c r="F2" s="8"/>
      <c r="G2" s="7"/>
    </row>
    <row r="3" spans="2:7" x14ac:dyDescent="0.25">
      <c r="C3" s="1"/>
      <c r="D3" s="1"/>
      <c r="E3" s="1"/>
      <c r="F3" s="1"/>
      <c r="G3" s="1"/>
    </row>
    <row r="4" spans="2:7" x14ac:dyDescent="0.25">
      <c r="B4" s="40" t="s">
        <v>30</v>
      </c>
      <c r="C4" s="41"/>
      <c r="D4" s="41"/>
      <c r="E4" s="41"/>
      <c r="F4" s="41"/>
      <c r="G4" s="42"/>
    </row>
    <row r="5" spans="2:7" ht="30" x14ac:dyDescent="0.25">
      <c r="B5" s="13" t="s">
        <v>8</v>
      </c>
      <c r="C5" s="59" t="s">
        <v>80</v>
      </c>
      <c r="D5" s="14" t="s">
        <v>26</v>
      </c>
      <c r="E5" s="14" t="s">
        <v>27</v>
      </c>
      <c r="F5" s="14" t="s">
        <v>28</v>
      </c>
      <c r="G5" s="15" t="s">
        <v>29</v>
      </c>
    </row>
    <row r="6" spans="2:7" x14ac:dyDescent="0.25">
      <c r="B6" s="11" t="s">
        <v>11</v>
      </c>
      <c r="C6" s="127">
        <f>'4. SMP Calculation'!C6</f>
        <v>6505</v>
      </c>
      <c r="D6" s="128">
        <f>'4. SMP Calculation'!D6</f>
        <v>58964339</v>
      </c>
      <c r="E6" s="128">
        <f>'4. SMP Calculation'!E6</f>
        <v>0</v>
      </c>
      <c r="F6" s="128">
        <f>'4. SMP Calculation'!F6</f>
        <v>6769443</v>
      </c>
      <c r="G6" s="129">
        <f>'4. SMP Calculation'!G6</f>
        <v>0</v>
      </c>
    </row>
    <row r="7" spans="2:7" x14ac:dyDescent="0.25">
      <c r="B7" s="10" t="s">
        <v>12</v>
      </c>
      <c r="C7" s="127">
        <f>'4. SMP Calculation'!C7</f>
        <v>663</v>
      </c>
      <c r="D7" s="128">
        <f>'4. SMP Calculation'!D7</f>
        <v>18380349</v>
      </c>
      <c r="E7" s="128">
        <f>'4. SMP Calculation'!E7</f>
        <v>0</v>
      </c>
      <c r="F7" s="128">
        <f>'4. SMP Calculation'!F7</f>
        <v>2745076</v>
      </c>
      <c r="G7" s="133">
        <f>'4. SMP Calculation'!G7</f>
        <v>0</v>
      </c>
    </row>
    <row r="8" spans="2:7" x14ac:dyDescent="0.25">
      <c r="B8" s="10" t="s">
        <v>13</v>
      </c>
      <c r="C8" s="127">
        <f>'4. SMP Calculation'!C8+'4. SMP Calculation'!C9</f>
        <v>97</v>
      </c>
      <c r="D8" s="128">
        <f>'4. SMP Calculation'!D8+'4. SMP Calculation'!D9</f>
        <v>94846331</v>
      </c>
      <c r="E8" s="128">
        <f>'4. SMP Calculation'!E8+'4. SMP Calculation'!E9</f>
        <v>265664</v>
      </c>
      <c r="F8" s="128">
        <f>'4. SMP Calculation'!F8+'4. SMP Calculation'!F9</f>
        <v>92152644</v>
      </c>
      <c r="G8" s="133">
        <f>'4. SMP Calculation'!G8+'4. SMP Calculation'!G9</f>
        <v>242471</v>
      </c>
    </row>
    <row r="9" spans="2:7" x14ac:dyDescent="0.25">
      <c r="B9" s="10" t="s">
        <v>113</v>
      </c>
      <c r="C9" s="127">
        <f>'4. SMP Calculation'!C10</f>
        <v>1</v>
      </c>
      <c r="D9" s="128">
        <f>'4. SMP Calculation'!D10</f>
        <v>32247068</v>
      </c>
      <c r="E9" s="128">
        <f>'4. SMP Calculation'!E10</f>
        <v>67914</v>
      </c>
      <c r="F9" s="128">
        <f>'4. SMP Calculation'!F10</f>
        <v>32247068</v>
      </c>
      <c r="G9" s="133">
        <f>'4. SMP Calculation'!G10</f>
        <v>67914</v>
      </c>
    </row>
    <row r="10" spans="2:7" x14ac:dyDescent="0.25">
      <c r="B10" s="10" t="s">
        <v>15</v>
      </c>
      <c r="C10" s="127">
        <f>'4. SMP Calculation'!C11</f>
        <v>52</v>
      </c>
      <c r="D10" s="128">
        <f>'4. SMP Calculation'!D11</f>
        <v>323846</v>
      </c>
      <c r="E10" s="128">
        <f>'4. SMP Calculation'!E11</f>
        <v>0</v>
      </c>
      <c r="F10" s="128">
        <f>'4. SMP Calculation'!F11</f>
        <v>85116</v>
      </c>
      <c r="G10" s="133">
        <f>'4. SMP Calculation'!G11</f>
        <v>0</v>
      </c>
    </row>
    <row r="11" spans="2:7" x14ac:dyDescent="0.25">
      <c r="B11" s="10" t="s">
        <v>16</v>
      </c>
      <c r="C11" s="127">
        <f>'4. SMP Calculation'!C12</f>
        <v>52</v>
      </c>
      <c r="D11" s="128">
        <f>'4. SMP Calculation'!D12</f>
        <v>44509</v>
      </c>
      <c r="E11" s="128">
        <f>'4. SMP Calculation'!E12</f>
        <v>126</v>
      </c>
      <c r="F11" s="128">
        <f>'4. SMP Calculation'!F12</f>
        <v>7442</v>
      </c>
      <c r="G11" s="133">
        <f>'4. SMP Calculation'!G12</f>
        <v>43</v>
      </c>
    </row>
    <row r="12" spans="2:7" x14ac:dyDescent="0.25">
      <c r="B12" s="16" t="s">
        <v>17</v>
      </c>
      <c r="C12" s="127">
        <f>'4. SMP Calculation'!C13</f>
        <v>2369</v>
      </c>
      <c r="D12" s="128">
        <f>'4. SMP Calculation'!D13</f>
        <v>1458104</v>
      </c>
      <c r="E12" s="128">
        <f>'4. SMP Calculation'!E13</f>
        <v>4316</v>
      </c>
      <c r="F12" s="128">
        <f>'4. SMP Calculation'!F13</f>
        <v>1458103</v>
      </c>
      <c r="G12" s="134">
        <f>'4. SMP Calculation'!G13</f>
        <v>4316</v>
      </c>
    </row>
    <row r="13" spans="2:7" x14ac:dyDescent="0.25">
      <c r="B13" s="18" t="s">
        <v>21</v>
      </c>
      <c r="C13" s="68">
        <f>SUM(C6:C12)</f>
        <v>9739</v>
      </c>
      <c r="D13" s="19">
        <f>SUM(D6:D12)</f>
        <v>206264546</v>
      </c>
      <c r="E13" s="19">
        <f>SUM(E6:E12)</f>
        <v>338020</v>
      </c>
      <c r="F13" s="19">
        <f>SUM(F6:F12)</f>
        <v>135464892</v>
      </c>
      <c r="G13" s="47">
        <f>SUM(G6:G12)</f>
        <v>314744</v>
      </c>
    </row>
    <row r="15" spans="2:7" x14ac:dyDescent="0.25">
      <c r="B15" s="40" t="s">
        <v>138</v>
      </c>
      <c r="C15" s="41"/>
      <c r="D15" s="41"/>
      <c r="E15" s="42"/>
    </row>
    <row r="16" spans="2:7" ht="30" x14ac:dyDescent="0.25">
      <c r="B16" s="13" t="s">
        <v>8</v>
      </c>
      <c r="C16" s="38" t="s">
        <v>22</v>
      </c>
      <c r="D16" s="59" t="s">
        <v>112</v>
      </c>
      <c r="E16" s="15" t="s">
        <v>108</v>
      </c>
    </row>
    <row r="17" spans="2:5" x14ac:dyDescent="0.25">
      <c r="B17" s="11" t="s">
        <v>11</v>
      </c>
      <c r="C17" s="12" t="s">
        <v>23</v>
      </c>
      <c r="D17" s="132">
        <v>9245.7759999999998</v>
      </c>
      <c r="E17" s="131">
        <f>IF(C17="kWh",ROUND(D17/D6,4),ROUND(D17/E6,4))</f>
        <v>2.0000000000000001E-4</v>
      </c>
    </row>
    <row r="18" spans="2:5" x14ac:dyDescent="0.25">
      <c r="B18" s="10" t="s">
        <v>12</v>
      </c>
      <c r="C18" s="9" t="s">
        <v>23</v>
      </c>
      <c r="D18" s="132">
        <v>2967.47</v>
      </c>
      <c r="E18" s="131">
        <f>IF(C18="kWh",ROUND(D18/D7,4),ROUND(D18/E7,4))</f>
        <v>2.0000000000000001E-4</v>
      </c>
    </row>
    <row r="19" spans="2:5" x14ac:dyDescent="0.25">
      <c r="B19" s="10" t="s">
        <v>13</v>
      </c>
      <c r="C19" s="9" t="s">
        <v>24</v>
      </c>
      <c r="D19" s="132">
        <v>4217.6350000000002</v>
      </c>
      <c r="E19" s="131">
        <f>IF(C19="kWh",ROUND(D19/D8,4),ROUND(D19/E8,4))</f>
        <v>1.5900000000000001E-2</v>
      </c>
    </row>
    <row r="20" spans="2:5" x14ac:dyDescent="0.25">
      <c r="B20" s="10" t="s">
        <v>113</v>
      </c>
      <c r="C20" s="9" t="s">
        <v>24</v>
      </c>
      <c r="D20" s="132">
        <v>40.92</v>
      </c>
      <c r="E20" s="131">
        <f>IF(C20="kWh",ROUND(D20/D9,4),ROUND(D20/E9,4))</f>
        <v>5.9999999999999995E-4</v>
      </c>
    </row>
    <row r="21" spans="2:5" x14ac:dyDescent="0.25">
      <c r="B21" s="10" t="s">
        <v>15</v>
      </c>
      <c r="C21" s="9" t="s">
        <v>23</v>
      </c>
      <c r="D21" s="130"/>
      <c r="E21" s="129"/>
    </row>
    <row r="22" spans="2:5" x14ac:dyDescent="0.25">
      <c r="B22" s="10" t="s">
        <v>16</v>
      </c>
      <c r="C22" s="73" t="s">
        <v>24</v>
      </c>
      <c r="D22" s="130"/>
      <c r="E22" s="129"/>
    </row>
    <row r="23" spans="2:5" x14ac:dyDescent="0.25">
      <c r="B23" s="16" t="s">
        <v>17</v>
      </c>
      <c r="C23" s="17" t="s">
        <v>24</v>
      </c>
      <c r="D23" s="130"/>
      <c r="E23" s="129"/>
    </row>
    <row r="24" spans="2:5" x14ac:dyDescent="0.25">
      <c r="B24" s="18" t="s">
        <v>21</v>
      </c>
      <c r="C24" s="19"/>
      <c r="D24" s="122">
        <f>SUM(D17:D23)</f>
        <v>16471.800999999999</v>
      </c>
      <c r="E24" s="47"/>
    </row>
    <row r="26" spans="2:5" x14ac:dyDescent="0.25">
      <c r="B26" s="40" t="s">
        <v>114</v>
      </c>
      <c r="C26" s="41"/>
      <c r="D26" s="41"/>
      <c r="E26" s="42"/>
    </row>
    <row r="27" spans="2:5" ht="30" x14ac:dyDescent="0.25">
      <c r="B27" s="13" t="s">
        <v>8</v>
      </c>
      <c r="C27" s="38" t="s">
        <v>22</v>
      </c>
      <c r="D27" s="59" t="s">
        <v>112</v>
      </c>
      <c r="E27" s="15" t="s">
        <v>121</v>
      </c>
    </row>
    <row r="28" spans="2:5" x14ac:dyDescent="0.25">
      <c r="B28" s="11" t="s">
        <v>11</v>
      </c>
      <c r="C28" s="12" t="s">
        <v>23</v>
      </c>
      <c r="D28" s="132">
        <v>14156.56</v>
      </c>
      <c r="E28" s="131">
        <f>IF(C28="kWh",ROUND(D28/D6,4),ROUND(D28/E6,4))</f>
        <v>2.0000000000000001E-4</v>
      </c>
    </row>
    <row r="29" spans="2:5" x14ac:dyDescent="0.25">
      <c r="B29" s="10" t="s">
        <v>12</v>
      </c>
      <c r="C29" s="9" t="s">
        <v>23</v>
      </c>
      <c r="D29" s="132">
        <v>4202.1000000000004</v>
      </c>
      <c r="E29" s="131">
        <f t="shared" ref="E29:E30" si="0">IF(C29="kWh",ROUND(D29/D7,4),ROUND(D29/E7,4))</f>
        <v>2.0000000000000001E-4</v>
      </c>
    </row>
    <row r="30" spans="2:5" x14ac:dyDescent="0.25">
      <c r="B30" s="10" t="s">
        <v>13</v>
      </c>
      <c r="C30" s="9" t="s">
        <v>24</v>
      </c>
      <c r="D30" s="132">
        <v>629.59</v>
      </c>
      <c r="E30" s="131">
        <f t="shared" si="0"/>
        <v>2.3999999999999998E-3</v>
      </c>
    </row>
    <row r="31" spans="2:5" x14ac:dyDescent="0.25">
      <c r="B31" s="10" t="s">
        <v>113</v>
      </c>
      <c r="C31" s="9" t="s">
        <v>24</v>
      </c>
      <c r="D31" s="130"/>
      <c r="E31" s="131"/>
    </row>
    <row r="32" spans="2:5" x14ac:dyDescent="0.25">
      <c r="B32" s="10" t="s">
        <v>15</v>
      </c>
      <c r="C32" s="9" t="s">
        <v>23</v>
      </c>
      <c r="D32" s="130"/>
      <c r="E32" s="129"/>
    </row>
    <row r="33" spans="2:5" x14ac:dyDescent="0.25">
      <c r="B33" s="10" t="s">
        <v>16</v>
      </c>
      <c r="C33" s="73" t="s">
        <v>24</v>
      </c>
      <c r="D33" s="130"/>
      <c r="E33" s="129"/>
    </row>
    <row r="34" spans="2:5" x14ac:dyDescent="0.25">
      <c r="B34" s="16" t="s">
        <v>17</v>
      </c>
      <c r="C34" s="17" t="s">
        <v>24</v>
      </c>
      <c r="D34" s="130"/>
      <c r="E34" s="129"/>
    </row>
    <row r="35" spans="2:5" x14ac:dyDescent="0.25">
      <c r="B35" s="18" t="s">
        <v>21</v>
      </c>
      <c r="C35" s="19"/>
      <c r="D35" s="122">
        <f>SUM(D28:D34)</f>
        <v>18988.25</v>
      </c>
      <c r="E35" s="47"/>
    </row>
  </sheetData>
  <pageMargins left="0.5" right="0.5" top="0.5" bottom="0.5" header="0.3" footer="0.3"/>
  <pageSetup scale="94" orientation="portrait" r:id="rId1"/>
  <headerFooter>
    <oddFooter>&amp;L&amp;8&amp;F
Tab: &amp;A&amp;R&amp;8&amp;P/&amp;N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1. Balances for Disposition</vt:lpstr>
      <vt:lpstr>2. Threshold Test</vt:lpstr>
      <vt:lpstr>3A. CK Calculation</vt:lpstr>
      <vt:lpstr>3B. CK Calculation</vt:lpstr>
      <vt:lpstr>4. SMP Calculation</vt:lpstr>
      <vt:lpstr>5. DUT Calculation</vt:lpstr>
      <vt:lpstr>6. NEW Calculations</vt:lpstr>
      <vt:lpstr>7. CK LRAM</vt:lpstr>
      <vt:lpstr>8. SMP LRAM</vt:lpstr>
      <vt:lpstr>'3B. CK Calculation'!CK_DISYR</vt:lpstr>
      <vt:lpstr>CK_DISYR</vt:lpstr>
      <vt:lpstr>NEW_DISYR</vt:lpstr>
      <vt:lpstr>'1. Balances for Disposition'!Print_Area</vt:lpstr>
      <vt:lpstr>'2. Threshold Test'!Print_Area</vt:lpstr>
      <vt:lpstr>'3A. CK Calculation'!Print_Area</vt:lpstr>
      <vt:lpstr>'3B. CK Calculation'!Print_Area</vt:lpstr>
      <vt:lpstr>'4. SMP Calculation'!Print_Area</vt:lpstr>
      <vt:lpstr>'5. DUT Calculation'!Print_Area</vt:lpstr>
      <vt:lpstr>'6. NEW Calculations'!Print_Area</vt:lpstr>
      <vt:lpstr>'7. CK LRAM'!Print_Area</vt:lpstr>
      <vt:lpstr>'8. SMP LRAM'!Print_Area</vt:lpstr>
      <vt:lpstr>'1. Balances for Disposition'!Print_Titles</vt:lpstr>
      <vt:lpstr>SMP_DISYR</vt:lpstr>
    </vt:vector>
  </TitlesOfParts>
  <Company>Municipality of Chatham-Kent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andrya.eagen</cp:lastModifiedBy>
  <cp:lastPrinted>2014-10-20T14:42:13Z</cp:lastPrinted>
  <dcterms:created xsi:type="dcterms:W3CDTF">2014-10-06T20:03:44Z</dcterms:created>
  <dcterms:modified xsi:type="dcterms:W3CDTF">2015-01-15T18:59:33Z</dcterms:modified>
</cp:coreProperties>
</file>