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952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63" i="1" l="1"/>
  <c r="K63" i="1" s="1"/>
  <c r="J56" i="1"/>
  <c r="K56" i="1" s="1"/>
  <c r="J49" i="1"/>
  <c r="K49" i="1" s="1"/>
  <c r="K42" i="1"/>
  <c r="J42" i="1"/>
  <c r="J35" i="1"/>
  <c r="K35" i="1" s="1"/>
  <c r="K28" i="1"/>
  <c r="J28" i="1"/>
  <c r="J21" i="1"/>
  <c r="K21" i="1" s="1"/>
  <c r="K14" i="1"/>
  <c r="J14" i="1"/>
  <c r="O14" i="1" s="1"/>
  <c r="K7" i="1"/>
  <c r="J7" i="1"/>
  <c r="O7" i="1" s="1"/>
  <c r="O53" i="1"/>
  <c r="M53" i="1"/>
  <c r="M51" i="1"/>
  <c r="N51" i="1" s="1"/>
  <c r="O51" i="1" s="1"/>
  <c r="F49" i="1"/>
  <c r="H49" i="1" s="1"/>
  <c r="I48" i="1"/>
  <c r="N47" i="1" s="1"/>
  <c r="N53" i="1" s="1"/>
  <c r="F48" i="1"/>
  <c r="H48" i="1" s="1"/>
  <c r="O39" i="1"/>
  <c r="M39" i="1"/>
  <c r="M37" i="1"/>
  <c r="N37" i="1" s="1"/>
  <c r="O37" i="1" s="1"/>
  <c r="F35" i="1"/>
  <c r="H35" i="1" s="1"/>
  <c r="I34" i="1"/>
  <c r="N33" i="1" s="1"/>
  <c r="N39" i="1" s="1"/>
  <c r="F34" i="1"/>
  <c r="H34" i="1" s="1"/>
  <c r="J34" i="1" s="1"/>
  <c r="O67" i="1"/>
  <c r="M67" i="1"/>
  <c r="N65" i="1"/>
  <c r="O65" i="1" s="1"/>
  <c r="M65" i="1"/>
  <c r="F63" i="1"/>
  <c r="H63" i="1" s="1"/>
  <c r="I62" i="1"/>
  <c r="N61" i="1" s="1"/>
  <c r="F62" i="1"/>
  <c r="H62" i="1" s="1"/>
  <c r="J62" i="1" s="1"/>
  <c r="O46" i="1"/>
  <c r="M46" i="1"/>
  <c r="M44" i="1"/>
  <c r="N44" i="1" s="1"/>
  <c r="O44" i="1" s="1"/>
  <c r="F42" i="1"/>
  <c r="H42" i="1" s="1"/>
  <c r="I41" i="1"/>
  <c r="N40" i="1" s="1"/>
  <c r="N46" i="1" s="1"/>
  <c r="F41" i="1"/>
  <c r="H41" i="1" s="1"/>
  <c r="J41" i="1" s="1"/>
  <c r="O60" i="1"/>
  <c r="M60" i="1"/>
  <c r="M58" i="1"/>
  <c r="N58" i="1" s="1"/>
  <c r="O58" i="1" s="1"/>
  <c r="I55" i="1"/>
  <c r="N54" i="1" s="1"/>
  <c r="H56" i="1"/>
  <c r="F56" i="1"/>
  <c r="F55" i="1"/>
  <c r="H55" i="1" s="1"/>
  <c r="J55" i="1" s="1"/>
  <c r="O32" i="1"/>
  <c r="M32" i="1"/>
  <c r="M30" i="1"/>
  <c r="N30" i="1" s="1"/>
  <c r="O30" i="1" s="1"/>
  <c r="I27" i="1"/>
  <c r="N26" i="1" s="1"/>
  <c r="F28" i="1"/>
  <c r="H28" i="1" s="1"/>
  <c r="F27" i="1"/>
  <c r="H27" i="1" s="1"/>
  <c r="J27" i="1" s="1"/>
  <c r="N5" i="1"/>
  <c r="N11" i="1" s="1"/>
  <c r="O25" i="1"/>
  <c r="M25" i="1"/>
  <c r="M23" i="1"/>
  <c r="N23" i="1" s="1"/>
  <c r="O23" i="1" s="1"/>
  <c r="I20" i="1"/>
  <c r="N19" i="1" s="1"/>
  <c r="H20" i="1"/>
  <c r="J20" i="1" s="1"/>
  <c r="F21" i="1"/>
  <c r="H21" i="1" s="1"/>
  <c r="F20" i="1"/>
  <c r="O18" i="1"/>
  <c r="M18" i="1"/>
  <c r="M16" i="1"/>
  <c r="N16" i="1" s="1"/>
  <c r="O16" i="1" s="1"/>
  <c r="I13" i="1"/>
  <c r="N12" i="1" s="1"/>
  <c r="N18" i="1" s="1"/>
  <c r="F14" i="1"/>
  <c r="H14" i="1" s="1"/>
  <c r="F13" i="1"/>
  <c r="H13" i="1" s="1"/>
  <c r="J13" i="1" s="1"/>
  <c r="O11" i="1"/>
  <c r="M11" i="1"/>
  <c r="N9" i="1"/>
  <c r="O9" i="1" s="1"/>
  <c r="M9" i="1"/>
  <c r="F7" i="1"/>
  <c r="H7" i="1" s="1"/>
  <c r="F6" i="1"/>
  <c r="H6" i="1" s="1"/>
  <c r="J6" i="1" s="1"/>
  <c r="K6" i="1" s="1"/>
  <c r="M13" i="1" l="1"/>
  <c r="O13" i="1"/>
  <c r="O15" i="1" s="1"/>
  <c r="O17" i="1" s="1"/>
  <c r="N13" i="1"/>
  <c r="O21" i="1"/>
  <c r="M21" i="1"/>
  <c r="M28" i="1"/>
  <c r="O28" i="1"/>
  <c r="N60" i="1"/>
  <c r="N56" i="1"/>
  <c r="N57" i="1" s="1"/>
  <c r="N59" i="1" s="1"/>
  <c r="K20" i="1"/>
  <c r="M20" i="1"/>
  <c r="O20" i="1"/>
  <c r="N20" i="1"/>
  <c r="N28" i="1"/>
  <c r="N21" i="1"/>
  <c r="N22" i="1" s="1"/>
  <c r="N24" i="1" s="1"/>
  <c r="N25" i="1"/>
  <c r="K55" i="1"/>
  <c r="O55" i="1"/>
  <c r="N55" i="1"/>
  <c r="M55" i="1"/>
  <c r="K27" i="1"/>
  <c r="N27" i="1"/>
  <c r="M27" i="1"/>
  <c r="M29" i="1" s="1"/>
  <c r="M31" i="1" s="1"/>
  <c r="O27" i="1"/>
  <c r="O29" i="1" s="1"/>
  <c r="O31" i="1" s="1"/>
  <c r="M56" i="1"/>
  <c r="M57" i="1" s="1"/>
  <c r="M59" i="1" s="1"/>
  <c r="O56" i="1"/>
  <c r="M6" i="1"/>
  <c r="M7" i="1"/>
  <c r="N6" i="1"/>
  <c r="O6" i="1"/>
  <c r="O8" i="1" s="1"/>
  <c r="O10" i="1" s="1"/>
  <c r="N7" i="1"/>
  <c r="N8" i="1" s="1"/>
  <c r="N10" i="1" s="1"/>
  <c r="J48" i="1"/>
  <c r="N48" i="1" s="1"/>
  <c r="N49" i="1"/>
  <c r="M49" i="1"/>
  <c r="O49" i="1"/>
  <c r="O35" i="1"/>
  <c r="M35" i="1"/>
  <c r="N34" i="1"/>
  <c r="M34" i="1"/>
  <c r="K34" i="1"/>
  <c r="O34" i="1"/>
  <c r="N35" i="1"/>
  <c r="O63" i="1"/>
  <c r="M63" i="1"/>
  <c r="O62" i="1"/>
  <c r="N62" i="1"/>
  <c r="M62" i="1"/>
  <c r="K62" i="1"/>
  <c r="N63" i="1"/>
  <c r="N67" i="1"/>
  <c r="N41" i="1"/>
  <c r="M41" i="1"/>
  <c r="K41" i="1"/>
  <c r="O41" i="1"/>
  <c r="O42" i="1"/>
  <c r="M42" i="1"/>
  <c r="N42" i="1"/>
  <c r="N32" i="1"/>
  <c r="M14" i="1"/>
  <c r="N14" i="1"/>
  <c r="K13" i="1"/>
  <c r="N36" i="1" l="1"/>
  <c r="N38" i="1" s="1"/>
  <c r="O22" i="1"/>
  <c r="O24" i="1" s="1"/>
  <c r="N29" i="1"/>
  <c r="N31" i="1" s="1"/>
  <c r="M8" i="1"/>
  <c r="M10" i="1" s="1"/>
  <c r="N15" i="1"/>
  <c r="N17" i="1" s="1"/>
  <c r="M15" i="1"/>
  <c r="M17" i="1" s="1"/>
  <c r="O57" i="1"/>
  <c r="O59" i="1" s="1"/>
  <c r="M22" i="1"/>
  <c r="M24" i="1" s="1"/>
  <c r="M48" i="1"/>
  <c r="M50" i="1" s="1"/>
  <c r="M52" i="1" s="1"/>
  <c r="O48" i="1"/>
  <c r="O50" i="1" s="1"/>
  <c r="O52" i="1" s="1"/>
  <c r="K48" i="1"/>
  <c r="N50" i="1"/>
  <c r="N52" i="1" s="1"/>
  <c r="M36" i="1"/>
  <c r="M38" i="1" s="1"/>
  <c r="O36" i="1"/>
  <c r="O38" i="1" s="1"/>
  <c r="O64" i="1"/>
  <c r="O66" i="1" s="1"/>
  <c r="N64" i="1"/>
  <c r="N66" i="1" s="1"/>
  <c r="M64" i="1"/>
  <c r="M66" i="1" s="1"/>
  <c r="O43" i="1"/>
  <c r="O45" i="1" s="1"/>
  <c r="M43" i="1"/>
  <c r="M45" i="1" s="1"/>
  <c r="N43" i="1"/>
  <c r="N45" i="1" s="1"/>
</calcChain>
</file>

<file path=xl/sharedStrings.xml><?xml version="1.0" encoding="utf-8"?>
<sst xmlns="http://schemas.openxmlformats.org/spreadsheetml/2006/main" count="88" uniqueCount="31">
  <si>
    <t>UR</t>
  </si>
  <si>
    <t>R1</t>
  </si>
  <si>
    <t>R2</t>
  </si>
  <si>
    <t>Seasonal</t>
  </si>
  <si>
    <t>GSe</t>
  </si>
  <si>
    <t>ST</t>
  </si>
  <si>
    <t>GSd</t>
  </si>
  <si>
    <t>UGe</t>
  </si>
  <si>
    <t>UGd</t>
  </si>
  <si>
    <t>Foregone Revenue Analysis</t>
  </si>
  <si>
    <t xml:space="preserve">Fixed </t>
  </si>
  <si>
    <t>Variable</t>
  </si>
  <si>
    <t>Total</t>
  </si>
  <si>
    <t>Billing Units</t>
  </si>
  <si>
    <t>New Rates</t>
  </si>
  <si>
    <t>Existing Rates</t>
  </si>
  <si>
    <t>Lost Revenue</t>
  </si>
  <si>
    <t>Foregone Revenue</t>
  </si>
  <si>
    <t>Implied Rate</t>
  </si>
  <si>
    <t>Proposed Rate</t>
  </si>
  <si>
    <t>SM Adjust.</t>
  </si>
  <si>
    <t>Net Lost Revenue</t>
  </si>
  <si>
    <t>Collects</t>
  </si>
  <si>
    <t>Low</t>
  </si>
  <si>
    <t>High</t>
  </si>
  <si>
    <t>Load</t>
  </si>
  <si>
    <t>Proposed</t>
  </si>
  <si>
    <t>Difference</t>
  </si>
  <si>
    <t>Actual Lost</t>
  </si>
  <si>
    <t>Amounts Collected and Rates</t>
  </si>
  <si>
    <t>Class 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</si>
</sst>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"/>
    <numFmt numFmtId="165" formatCode="&quot;$&quot;#,##0.0000"/>
    <numFmt numFmtId="166" formatCode="&quot;$&quot;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wrapText="1"/>
    </xf>
    <xf numFmtId="166" fontId="0" fillId="0" borderId="0" xfId="0" applyNumberFormat="1"/>
    <xf numFmtId="166" fontId="0" fillId="0" borderId="1" xfId="0" applyNumberFormat="1" applyBorder="1"/>
    <xf numFmtId="165" fontId="0" fillId="0" borderId="1" xfId="0" applyNumberFormat="1" applyBorder="1"/>
    <xf numFmtId="164" fontId="0" fillId="0" borderId="1" xfId="0" applyNumberFormat="1" applyBorder="1"/>
    <xf numFmtId="3" fontId="0" fillId="0" borderId="5" xfId="0" applyNumberFormat="1" applyBorder="1"/>
    <xf numFmtId="164" fontId="0" fillId="0" borderId="6" xfId="0" applyNumberFormat="1" applyBorder="1"/>
    <xf numFmtId="0" fontId="0" fillId="0" borderId="5" xfId="0" applyBorder="1"/>
    <xf numFmtId="0" fontId="0" fillId="0" borderId="6" xfId="0" applyBorder="1"/>
    <xf numFmtId="3" fontId="0" fillId="0" borderId="7" xfId="0" applyNumberFormat="1" applyBorder="1"/>
    <xf numFmtId="165" fontId="0" fillId="0" borderId="8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166" fontId="0" fillId="0" borderId="6" xfId="0" applyNumberFormat="1" applyBorder="1"/>
    <xf numFmtId="166" fontId="0" fillId="0" borderId="8" xfId="0" applyNumberFormat="1" applyBorder="1"/>
    <xf numFmtId="166" fontId="0" fillId="0" borderId="9" xfId="0" applyNumberFormat="1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0" fillId="0" borderId="13" xfId="0" applyBorder="1"/>
    <xf numFmtId="0" fontId="0" fillId="0" borderId="14" xfId="0" applyBorder="1" applyAlignment="1">
      <alignment wrapText="1"/>
    </xf>
    <xf numFmtId="0" fontId="0" fillId="0" borderId="15" xfId="0" applyBorder="1"/>
    <xf numFmtId="0" fontId="0" fillId="0" borderId="14" xfId="0" applyBorder="1"/>
    <xf numFmtId="0" fontId="0" fillId="0" borderId="15" xfId="0" applyBorder="1" applyAlignment="1">
      <alignment horizontal="center" wrapText="1"/>
    </xf>
    <xf numFmtId="166" fontId="0" fillId="0" borderId="15" xfId="0" applyNumberFormat="1" applyBorder="1" applyAlignment="1">
      <alignment horizontal="center" wrapText="1"/>
    </xf>
    <xf numFmtId="1" fontId="0" fillId="0" borderId="15" xfId="0" applyNumberForma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66" fontId="0" fillId="0" borderId="3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 wrapText="1"/>
    </xf>
    <xf numFmtId="0" fontId="0" fillId="0" borderId="10" xfId="0" applyBorder="1"/>
    <xf numFmtId="0" fontId="0" fillId="0" borderId="11" xfId="0" applyBorder="1"/>
    <xf numFmtId="3" fontId="0" fillId="0" borderId="10" xfId="0" applyNumberFormat="1" applyBorder="1"/>
    <xf numFmtId="165" fontId="0" fillId="0" borderId="12" xfId="0" applyNumberFormat="1" applyBorder="1"/>
    <xf numFmtId="164" fontId="0" fillId="0" borderId="12" xfId="0" applyNumberFormat="1" applyBorder="1"/>
    <xf numFmtId="164" fontId="0" fillId="0" borderId="11" xfId="0" applyNumberFormat="1" applyBorder="1"/>
    <xf numFmtId="166" fontId="0" fillId="0" borderId="12" xfId="0" applyNumberFormat="1" applyBorder="1"/>
    <xf numFmtId="166" fontId="0" fillId="0" borderId="11" xfId="0" applyNumberFormat="1" applyBorder="1"/>
    <xf numFmtId="3" fontId="0" fillId="0" borderId="13" xfId="0" applyNumberFormat="1" applyBorder="1"/>
    <xf numFmtId="165" fontId="0" fillId="0" borderId="15" xfId="0" applyNumberFormat="1" applyBorder="1"/>
    <xf numFmtId="164" fontId="0" fillId="0" borderId="15" xfId="0" applyNumberFormat="1" applyBorder="1"/>
    <xf numFmtId="164" fontId="0" fillId="0" borderId="14" xfId="0" applyNumberFormat="1" applyBorder="1"/>
    <xf numFmtId="166" fontId="0" fillId="0" borderId="15" xfId="0" applyNumberFormat="1" applyBorder="1"/>
    <xf numFmtId="3" fontId="0" fillId="0" borderId="2" xfId="0" applyNumberFormat="1" applyBorder="1"/>
    <xf numFmtId="165" fontId="0" fillId="0" borderId="3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166" fontId="0" fillId="0" borderId="3" xfId="0" applyNumberFormat="1" applyBorder="1"/>
    <xf numFmtId="0" fontId="1" fillId="0" borderId="10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166" fontId="1" fillId="0" borderId="12" xfId="0" applyNumberFormat="1" applyFont="1" applyBorder="1" applyAlignment="1">
      <alignment horizontal="center" wrapText="1"/>
    </xf>
    <xf numFmtId="0" fontId="2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8"/>
  <sheetViews>
    <sheetView tabSelected="1" workbookViewId="0">
      <selection activeCell="O62" sqref="O62"/>
    </sheetView>
  </sheetViews>
  <sheetFormatPr defaultRowHeight="14.4" x14ac:dyDescent="0.3"/>
  <cols>
    <col min="1" max="1" width="5.109375" customWidth="1"/>
    <col min="2" max="2" width="11.33203125" customWidth="1"/>
    <col min="3" max="3" width="12.33203125" bestFit="1" customWidth="1"/>
    <col min="4" max="5" width="9.5546875" bestFit="1" customWidth="1"/>
    <col min="6" max="6" width="11.77734375" customWidth="1"/>
    <col min="7" max="7" width="9.88671875" bestFit="1" customWidth="1"/>
    <col min="8" max="8" width="11" customWidth="1"/>
    <col min="9" max="9" width="12.33203125" customWidth="1"/>
    <col min="10" max="10" width="10" customWidth="1"/>
    <col min="11" max="11" width="12.21875" customWidth="1"/>
    <col min="12" max="12" width="9.5546875" style="2" bestFit="1" customWidth="1"/>
    <col min="13" max="13" width="9.6640625" bestFit="1" customWidth="1"/>
    <col min="14" max="14" width="11.5546875" bestFit="1" customWidth="1"/>
    <col min="15" max="15" width="10.109375" customWidth="1"/>
  </cols>
  <sheetData>
    <row r="1" spans="1:15" ht="18" x14ac:dyDescent="0.35">
      <c r="B1" s="56" t="s">
        <v>9</v>
      </c>
    </row>
    <row r="2" spans="1:15" ht="15" thickBot="1" x14ac:dyDescent="0.35"/>
    <row r="3" spans="1:15" ht="15" thickTop="1" x14ac:dyDescent="0.3">
      <c r="A3" s="60"/>
      <c r="B3" s="61"/>
      <c r="C3" s="57" t="s">
        <v>17</v>
      </c>
      <c r="D3" s="58"/>
      <c r="E3" s="58"/>
      <c r="F3" s="58"/>
      <c r="G3" s="58"/>
      <c r="H3" s="59"/>
      <c r="I3" s="57" t="s">
        <v>29</v>
      </c>
      <c r="J3" s="58"/>
      <c r="K3" s="58"/>
      <c r="L3" s="58"/>
      <c r="M3" s="58"/>
      <c r="N3" s="58"/>
      <c r="O3" s="59"/>
    </row>
    <row r="4" spans="1:15" s="1" customFormat="1" ht="29.4" thickBot="1" x14ac:dyDescent="0.35">
      <c r="A4" s="62"/>
      <c r="B4" s="63"/>
      <c r="C4" s="52" t="s">
        <v>13</v>
      </c>
      <c r="D4" s="53" t="s">
        <v>15</v>
      </c>
      <c r="E4" s="53" t="s">
        <v>14</v>
      </c>
      <c r="F4" s="53" t="s">
        <v>16</v>
      </c>
      <c r="G4" s="53" t="s">
        <v>20</v>
      </c>
      <c r="H4" s="54" t="s">
        <v>21</v>
      </c>
      <c r="I4" s="52" t="s">
        <v>13</v>
      </c>
      <c r="J4" s="53" t="s">
        <v>18</v>
      </c>
      <c r="K4" s="53" t="s">
        <v>22</v>
      </c>
      <c r="L4" s="55" t="s">
        <v>19</v>
      </c>
      <c r="M4" s="53" t="s">
        <v>23</v>
      </c>
      <c r="N4" s="53" t="s">
        <v>30</v>
      </c>
      <c r="O4" s="54" t="s">
        <v>24</v>
      </c>
    </row>
    <row r="5" spans="1:15" s="1" customFormat="1" ht="15" thickTop="1" x14ac:dyDescent="0.3">
      <c r="A5" s="17" t="s">
        <v>0</v>
      </c>
      <c r="B5" s="28" t="s">
        <v>25</v>
      </c>
      <c r="C5" s="29"/>
      <c r="D5" s="30"/>
      <c r="E5" s="30"/>
      <c r="F5" s="30"/>
      <c r="G5" s="30"/>
      <c r="H5" s="31"/>
      <c r="I5" s="29"/>
      <c r="J5" s="30"/>
      <c r="K5" s="30"/>
      <c r="L5" s="32"/>
      <c r="M5" s="30">
        <v>200</v>
      </c>
      <c r="N5" s="33">
        <f>+(I7/(I6*8))</f>
        <v>767.53099229264103</v>
      </c>
      <c r="O5" s="31">
        <v>2500</v>
      </c>
    </row>
    <row r="6" spans="1:15" x14ac:dyDescent="0.3">
      <c r="A6" s="8"/>
      <c r="B6" s="9" t="s">
        <v>10</v>
      </c>
      <c r="C6" s="6">
        <v>209540</v>
      </c>
      <c r="D6" s="4">
        <v>12.72</v>
      </c>
      <c r="E6" s="4">
        <v>19.07</v>
      </c>
      <c r="F6" s="5">
        <f>+(E6-D6)*C6*4</f>
        <v>5322316</v>
      </c>
      <c r="G6" s="5">
        <v>3285588</v>
      </c>
      <c r="H6" s="7">
        <f>+F6-G6</f>
        <v>2036728</v>
      </c>
      <c r="I6" s="6">
        <v>209540</v>
      </c>
      <c r="J6" s="4">
        <f>+H6/(I6*8)</f>
        <v>1.2149995227641501</v>
      </c>
      <c r="K6" s="5">
        <f>+J6*I6*8</f>
        <v>2036728.0000000002</v>
      </c>
      <c r="L6" s="3">
        <v>-0.8</v>
      </c>
      <c r="M6" s="3">
        <f>+J6*8</f>
        <v>9.719996182113201</v>
      </c>
      <c r="N6" s="3">
        <f>+J6*8</f>
        <v>9.719996182113201</v>
      </c>
      <c r="O6" s="14">
        <f>+J6*8</f>
        <v>9.719996182113201</v>
      </c>
    </row>
    <row r="7" spans="1:15" x14ac:dyDescent="0.3">
      <c r="A7" s="8"/>
      <c r="B7" s="9" t="s">
        <v>11</v>
      </c>
      <c r="C7" s="6">
        <v>714651671</v>
      </c>
      <c r="D7" s="4">
        <v>2.5600000000000001E-2</v>
      </c>
      <c r="E7" s="4">
        <v>2.0799999999999999E-2</v>
      </c>
      <c r="F7" s="5">
        <f>+(E7-D7)*C7</f>
        <v>-3430328.0208000015</v>
      </c>
      <c r="G7" s="5"/>
      <c r="H7" s="7">
        <f>+F7-G7</f>
        <v>-3430328.0208000015</v>
      </c>
      <c r="I7" s="6">
        <v>1286627553</v>
      </c>
      <c r="J7" s="4">
        <f>+H7/(I7)</f>
        <v>-2.6661390958102708E-3</v>
      </c>
      <c r="K7" s="5">
        <f>+J7*I7</f>
        <v>-3430328.0208000015</v>
      </c>
      <c r="L7" s="3"/>
      <c r="M7" s="3">
        <f>+M5*J7*8</f>
        <v>-4.2658225532964336</v>
      </c>
      <c r="N7" s="3">
        <f>+N5*J7*8</f>
        <v>-16.370755086379695</v>
      </c>
      <c r="O7" s="14">
        <f>+O5*J7*8</f>
        <v>-53.322781916205415</v>
      </c>
    </row>
    <row r="8" spans="1:15" x14ac:dyDescent="0.3">
      <c r="A8" s="8"/>
      <c r="B8" s="9" t="s">
        <v>12</v>
      </c>
      <c r="C8" s="6"/>
      <c r="D8" s="4"/>
      <c r="E8" s="4"/>
      <c r="F8" s="5"/>
      <c r="G8" s="5"/>
      <c r="H8" s="7"/>
      <c r="I8" s="6"/>
      <c r="J8" s="4"/>
      <c r="K8" s="4"/>
      <c r="L8" s="3"/>
      <c r="M8" s="3">
        <f>+M6+M7</f>
        <v>5.4541736288167675</v>
      </c>
      <c r="N8" s="3">
        <f t="shared" ref="N8:O8" si="0">+N6+N7</f>
        <v>-6.6507589042664943</v>
      </c>
      <c r="O8" s="14">
        <f t="shared" si="0"/>
        <v>-43.602785734092215</v>
      </c>
    </row>
    <row r="9" spans="1:15" x14ac:dyDescent="0.3">
      <c r="A9" s="8"/>
      <c r="B9" s="9" t="s">
        <v>26</v>
      </c>
      <c r="C9" s="6"/>
      <c r="D9" s="4"/>
      <c r="E9" s="4"/>
      <c r="F9" s="5"/>
      <c r="G9" s="5"/>
      <c r="H9" s="7"/>
      <c r="I9" s="6"/>
      <c r="J9" s="4"/>
      <c r="K9" s="4"/>
      <c r="L9" s="3"/>
      <c r="M9" s="3">
        <f>+L6*8</f>
        <v>-6.4</v>
      </c>
      <c r="N9" s="3">
        <f>+M9</f>
        <v>-6.4</v>
      </c>
      <c r="O9" s="14">
        <f>+N9</f>
        <v>-6.4</v>
      </c>
    </row>
    <row r="10" spans="1:15" x14ac:dyDescent="0.3">
      <c r="A10" s="8"/>
      <c r="B10" s="9" t="s">
        <v>27</v>
      </c>
      <c r="C10" s="6"/>
      <c r="D10" s="4"/>
      <c r="E10" s="4"/>
      <c r="F10" s="5"/>
      <c r="G10" s="5"/>
      <c r="H10" s="7"/>
      <c r="I10" s="6"/>
      <c r="J10" s="4"/>
      <c r="K10" s="4"/>
      <c r="L10" s="3"/>
      <c r="M10" s="3">
        <f>+M8-M9</f>
        <v>11.854173628816767</v>
      </c>
      <c r="N10" s="3">
        <f t="shared" ref="N10:O10" si="1">+N8-N9</f>
        <v>-0.25075890426649394</v>
      </c>
      <c r="O10" s="14">
        <f t="shared" si="1"/>
        <v>-37.202785734092217</v>
      </c>
    </row>
    <row r="11" spans="1:15" ht="15" thickBot="1" x14ac:dyDescent="0.35">
      <c r="A11" s="18"/>
      <c r="B11" s="19" t="s">
        <v>28</v>
      </c>
      <c r="C11" s="10"/>
      <c r="D11" s="11"/>
      <c r="E11" s="11"/>
      <c r="F11" s="12"/>
      <c r="G11" s="12"/>
      <c r="H11" s="13"/>
      <c r="I11" s="10"/>
      <c r="J11" s="11"/>
      <c r="K11" s="11"/>
      <c r="L11" s="15"/>
      <c r="M11" s="15">
        <f>+((E6-D6))*4+((E7-D7)*M5*4)-(G6/C6)</f>
        <v>5.8799961821131959</v>
      </c>
      <c r="N11" s="15">
        <f>+((E6-D6)*4)+((E7-D7)*N5*4)-(G6/C6)</f>
        <v>-5.0165988699055148</v>
      </c>
      <c r="O11" s="16">
        <f>+((E6-D6)*4)+((E7-D7)*O5*4)-(G6/C6)</f>
        <v>-38.280003817886822</v>
      </c>
    </row>
    <row r="12" spans="1:15" ht="15" thickTop="1" x14ac:dyDescent="0.3">
      <c r="A12" s="20" t="s">
        <v>1</v>
      </c>
      <c r="B12" s="21" t="s">
        <v>25</v>
      </c>
      <c r="C12" s="20"/>
      <c r="D12" s="22"/>
      <c r="E12" s="22"/>
      <c r="F12" s="22"/>
      <c r="G12" s="22"/>
      <c r="H12" s="23"/>
      <c r="I12" s="20"/>
      <c r="J12" s="24"/>
      <c r="K12" s="24"/>
      <c r="L12" s="25"/>
      <c r="M12" s="24">
        <v>200</v>
      </c>
      <c r="N12" s="26">
        <f>+(I14/(I13*8))</f>
        <v>888.01592075723067</v>
      </c>
      <c r="O12" s="27">
        <v>2500</v>
      </c>
    </row>
    <row r="13" spans="1:15" x14ac:dyDescent="0.3">
      <c r="A13" s="8"/>
      <c r="B13" s="9" t="s">
        <v>10</v>
      </c>
      <c r="C13" s="6">
        <v>433844</v>
      </c>
      <c r="D13" s="4">
        <v>20.149999999999999</v>
      </c>
      <c r="E13" s="4">
        <v>26.03</v>
      </c>
      <c r="F13" s="5">
        <f>+(E13-D13)*C13*4</f>
        <v>10204010.880000005</v>
      </c>
      <c r="G13" s="5">
        <v>6802678</v>
      </c>
      <c r="H13" s="7">
        <f>+F13-G13</f>
        <v>3401332.8800000045</v>
      </c>
      <c r="I13" s="6">
        <f>+C13</f>
        <v>433844</v>
      </c>
      <c r="J13" s="4">
        <f>+H13/(I13*8)</f>
        <v>0.9799988244622504</v>
      </c>
      <c r="K13" s="5">
        <f>+J13*I13*8</f>
        <v>3401332.8800000045</v>
      </c>
      <c r="L13" s="3">
        <v>0.56000000000000005</v>
      </c>
      <c r="M13" s="3">
        <f>+J13*8</f>
        <v>7.8399905956980032</v>
      </c>
      <c r="N13" s="3">
        <f>+J13*8</f>
        <v>7.8399905956980032</v>
      </c>
      <c r="O13" s="14">
        <f>+J13*8</f>
        <v>7.8399905956980032</v>
      </c>
    </row>
    <row r="14" spans="1:15" x14ac:dyDescent="0.3">
      <c r="A14" s="8"/>
      <c r="B14" s="9" t="s">
        <v>11</v>
      </c>
      <c r="C14" s="6">
        <v>1889884233</v>
      </c>
      <c r="D14" s="4">
        <v>3.39E-2</v>
      </c>
      <c r="E14" s="4">
        <v>3.3099999999999997E-2</v>
      </c>
      <c r="F14" s="5">
        <f>+(E14-D14)*C14</f>
        <v>-1511907.3864000039</v>
      </c>
      <c r="G14" s="5"/>
      <c r="H14" s="7">
        <f>+F14-G14</f>
        <v>-1511907.3864000039</v>
      </c>
      <c r="I14" s="6">
        <v>3082083033</v>
      </c>
      <c r="J14" s="4">
        <f>+H14/(I14)</f>
        <v>-4.9054725982783213E-4</v>
      </c>
      <c r="K14" s="5">
        <f>+J14*I14</f>
        <v>-1511907.3864000039</v>
      </c>
      <c r="L14" s="3"/>
      <c r="M14" s="3">
        <f>+M12*J14*8</f>
        <v>-0.78487561572453146</v>
      </c>
      <c r="N14" s="3">
        <f>+N12*J14*8</f>
        <v>-3.4849102128875904</v>
      </c>
      <c r="O14" s="14">
        <f>+O12*J14*8</f>
        <v>-9.8109451965566432</v>
      </c>
    </row>
    <row r="15" spans="1:15" x14ac:dyDescent="0.3">
      <c r="A15" s="8"/>
      <c r="B15" s="9" t="s">
        <v>12</v>
      </c>
      <c r="C15" s="6"/>
      <c r="D15" s="4"/>
      <c r="E15" s="4"/>
      <c r="F15" s="5"/>
      <c r="G15" s="5"/>
      <c r="H15" s="7"/>
      <c r="I15" s="6"/>
      <c r="J15" s="4"/>
      <c r="K15" s="4"/>
      <c r="L15" s="3"/>
      <c r="M15" s="3">
        <f>+M13+M14</f>
        <v>7.0551149799734718</v>
      </c>
      <c r="N15" s="3">
        <f t="shared" ref="N15" si="2">+N13+N14</f>
        <v>4.3550803828104128</v>
      </c>
      <c r="O15" s="14">
        <f t="shared" ref="O15" si="3">+O13+O14</f>
        <v>-1.97095460085864</v>
      </c>
    </row>
    <row r="16" spans="1:15" x14ac:dyDescent="0.3">
      <c r="A16" s="8"/>
      <c r="B16" s="9" t="s">
        <v>26</v>
      </c>
      <c r="C16" s="6"/>
      <c r="D16" s="4"/>
      <c r="E16" s="4"/>
      <c r="F16" s="5"/>
      <c r="G16" s="5"/>
      <c r="H16" s="7"/>
      <c r="I16" s="6"/>
      <c r="J16" s="4"/>
      <c r="K16" s="4"/>
      <c r="L16" s="3"/>
      <c r="M16" s="3">
        <f>+L13*8</f>
        <v>4.4800000000000004</v>
      </c>
      <c r="N16" s="3">
        <f>+M16</f>
        <v>4.4800000000000004</v>
      </c>
      <c r="O16" s="14">
        <f>+N16</f>
        <v>4.4800000000000004</v>
      </c>
    </row>
    <row r="17" spans="1:15" x14ac:dyDescent="0.3">
      <c r="A17" s="8"/>
      <c r="B17" s="9" t="s">
        <v>27</v>
      </c>
      <c r="C17" s="6"/>
      <c r="D17" s="4"/>
      <c r="E17" s="4"/>
      <c r="F17" s="5"/>
      <c r="G17" s="5"/>
      <c r="H17" s="7"/>
      <c r="I17" s="6"/>
      <c r="J17" s="4"/>
      <c r="K17" s="4"/>
      <c r="L17" s="3"/>
      <c r="M17" s="3">
        <f>+M15-M16</f>
        <v>2.5751149799734714</v>
      </c>
      <c r="N17" s="3">
        <f t="shared" ref="N17" si="4">+N15-N16</f>
        <v>-0.12491961718958766</v>
      </c>
      <c r="O17" s="14">
        <f t="shared" ref="O17" si="5">+O15-O16</f>
        <v>-6.4509546008586405</v>
      </c>
    </row>
    <row r="18" spans="1:15" ht="15" thickBot="1" x14ac:dyDescent="0.35">
      <c r="A18" s="34"/>
      <c r="B18" s="35" t="s">
        <v>28</v>
      </c>
      <c r="C18" s="36"/>
      <c r="D18" s="37"/>
      <c r="E18" s="37"/>
      <c r="F18" s="38"/>
      <c r="G18" s="38"/>
      <c r="H18" s="39"/>
      <c r="I18" s="36"/>
      <c r="J18" s="37"/>
      <c r="K18" s="37"/>
      <c r="L18" s="40"/>
      <c r="M18" s="40">
        <f>+((E13-D13))*4+((E14-D14)*M12*4)-(G13/C13)</f>
        <v>7.1999905956980026</v>
      </c>
      <c r="N18" s="40">
        <f>+((E13-D13)*4)+((E14-D14)*N12*4)-(G13/C13)</f>
        <v>4.9983396492748593</v>
      </c>
      <c r="O18" s="41">
        <f>+((E13-D13)*4)+((E14-D14)*O12*4)-(G13/C13)</f>
        <v>-0.16000940430201815</v>
      </c>
    </row>
    <row r="19" spans="1:15" ht="15" thickTop="1" x14ac:dyDescent="0.3">
      <c r="A19" s="17" t="s">
        <v>2</v>
      </c>
      <c r="B19" s="28" t="s">
        <v>25</v>
      </c>
      <c r="C19" s="47"/>
      <c r="D19" s="48"/>
      <c r="E19" s="48"/>
      <c r="F19" s="49"/>
      <c r="G19" s="49"/>
      <c r="H19" s="50"/>
      <c r="I19" s="47"/>
      <c r="J19" s="48"/>
      <c r="K19" s="48"/>
      <c r="L19" s="51"/>
      <c r="M19" s="30">
        <v>200</v>
      </c>
      <c r="N19" s="33">
        <f>+(I21/(I20*8))</f>
        <v>1131.4118025007899</v>
      </c>
      <c r="O19" s="31">
        <v>2500</v>
      </c>
    </row>
    <row r="20" spans="1:15" x14ac:dyDescent="0.3">
      <c r="A20" s="8"/>
      <c r="B20" s="9" t="s">
        <v>10</v>
      </c>
      <c r="C20" s="6">
        <v>329176</v>
      </c>
      <c r="D20" s="4">
        <v>57.61</v>
      </c>
      <c r="E20" s="4">
        <v>65.52</v>
      </c>
      <c r="F20" s="5">
        <f>+(E20-D20)*C20*4</f>
        <v>10415128.639999995</v>
      </c>
      <c r="G20" s="5">
        <v>5161472</v>
      </c>
      <c r="H20" s="7">
        <f>+F20-G20</f>
        <v>5253656.639999995</v>
      </c>
      <c r="I20" s="6">
        <f>+C20</f>
        <v>329176</v>
      </c>
      <c r="J20" s="4">
        <f>+H20/(I20*8)</f>
        <v>1.9950029163730023</v>
      </c>
      <c r="K20" s="5">
        <f>+J20*I20*8</f>
        <v>5253656.639999995</v>
      </c>
      <c r="L20" s="3">
        <v>5.55</v>
      </c>
      <c r="M20" s="3">
        <f>+J20*8</f>
        <v>15.960023330984018</v>
      </c>
      <c r="N20" s="3">
        <f>+J20*8</f>
        <v>15.960023330984018</v>
      </c>
      <c r="O20" s="14">
        <f>+J20*8</f>
        <v>15.960023330984018</v>
      </c>
    </row>
    <row r="21" spans="1:15" x14ac:dyDescent="0.3">
      <c r="A21" s="8"/>
      <c r="B21" s="9" t="s">
        <v>11</v>
      </c>
      <c r="C21" s="6">
        <v>1831177717</v>
      </c>
      <c r="D21" s="4">
        <v>3.7199999999999997E-2</v>
      </c>
      <c r="E21" s="4">
        <v>4.24E-2</v>
      </c>
      <c r="F21" s="5">
        <f>+(E21-D21)*C21</f>
        <v>9522124.1284000054</v>
      </c>
      <c r="G21" s="5"/>
      <c r="H21" s="7">
        <f>+F21-G21</f>
        <v>9522124.1284000054</v>
      </c>
      <c r="I21" s="6">
        <v>2979468892</v>
      </c>
      <c r="J21" s="4">
        <f>+H21/(I21)</f>
        <v>3.1959132562072762E-3</v>
      </c>
      <c r="K21" s="5">
        <f>+J21*I21</f>
        <v>9522124.1284000054</v>
      </c>
      <c r="L21" s="3"/>
      <c r="M21" s="3">
        <f>+M19*J21*8</f>
        <v>5.1134612099316419</v>
      </c>
      <c r="N21" s="3">
        <f>+N19*J21*8</f>
        <v>28.927151822733144</v>
      </c>
      <c r="O21" s="14">
        <f>+O19*J21*8</f>
        <v>63.91826512414552</v>
      </c>
    </row>
    <row r="22" spans="1:15" x14ac:dyDescent="0.3">
      <c r="A22" s="8"/>
      <c r="B22" s="9" t="s">
        <v>12</v>
      </c>
      <c r="C22" s="6"/>
      <c r="D22" s="4"/>
      <c r="E22" s="4"/>
      <c r="F22" s="5"/>
      <c r="G22" s="5"/>
      <c r="H22" s="7"/>
      <c r="I22" s="6"/>
      <c r="J22" s="4"/>
      <c r="K22" s="4"/>
      <c r="L22" s="3"/>
      <c r="M22" s="3">
        <f>+M20+M21</f>
        <v>21.073484540915661</v>
      </c>
      <c r="N22" s="3">
        <f t="shared" ref="N22" si="6">+N20+N21</f>
        <v>44.887175153717166</v>
      </c>
      <c r="O22" s="14">
        <f t="shared" ref="O22" si="7">+O20+O21</f>
        <v>79.878288455129535</v>
      </c>
    </row>
    <row r="23" spans="1:15" x14ac:dyDescent="0.3">
      <c r="A23" s="8"/>
      <c r="B23" s="9" t="s">
        <v>26</v>
      </c>
      <c r="C23" s="6"/>
      <c r="D23" s="4"/>
      <c r="E23" s="4"/>
      <c r="F23" s="5"/>
      <c r="G23" s="5"/>
      <c r="H23" s="7"/>
      <c r="I23" s="6"/>
      <c r="J23" s="4"/>
      <c r="K23" s="4"/>
      <c r="L23" s="3"/>
      <c r="M23" s="3">
        <f>+L20*8</f>
        <v>44.4</v>
      </c>
      <c r="N23" s="3">
        <f>+M23</f>
        <v>44.4</v>
      </c>
      <c r="O23" s="14">
        <f>+N23</f>
        <v>44.4</v>
      </c>
    </row>
    <row r="24" spans="1:15" x14ac:dyDescent="0.3">
      <c r="A24" s="8"/>
      <c r="B24" s="9" t="s">
        <v>27</v>
      </c>
      <c r="C24" s="6"/>
      <c r="D24" s="4"/>
      <c r="E24" s="4"/>
      <c r="F24" s="5"/>
      <c r="G24" s="5"/>
      <c r="H24" s="7"/>
      <c r="I24" s="6"/>
      <c r="J24" s="4"/>
      <c r="K24" s="4"/>
      <c r="L24" s="3"/>
      <c r="M24" s="3">
        <f>+M22-M23</f>
        <v>-23.326515459084337</v>
      </c>
      <c r="N24" s="3">
        <f t="shared" ref="N24" si="8">+N22-N23</f>
        <v>0.48717515371716757</v>
      </c>
      <c r="O24" s="14">
        <f t="shared" ref="O24" si="9">+O22-O23</f>
        <v>35.478288455129537</v>
      </c>
    </row>
    <row r="25" spans="1:15" ht="15" thickBot="1" x14ac:dyDescent="0.35">
      <c r="A25" s="18"/>
      <c r="B25" s="19" t="s">
        <v>28</v>
      </c>
      <c r="C25" s="10"/>
      <c r="D25" s="11"/>
      <c r="E25" s="11"/>
      <c r="F25" s="12"/>
      <c r="G25" s="12"/>
      <c r="H25" s="13"/>
      <c r="I25" s="10"/>
      <c r="J25" s="11"/>
      <c r="K25" s="11"/>
      <c r="L25" s="15"/>
      <c r="M25" s="15">
        <f>+((E20-D20))*4+((E21-D21)*M19*4)-(G20/C20)</f>
        <v>20.120023330984022</v>
      </c>
      <c r="N25" s="15">
        <f>+((E20-D20)*4)+((E21-D21)*N19*4)-(G20/C20)</f>
        <v>39.493388823000458</v>
      </c>
      <c r="O25" s="16">
        <f>+((E20-D20)*4)+((E21-D21)*O19*4)-(G20/C20)</f>
        <v>67.960023330984043</v>
      </c>
    </row>
    <row r="26" spans="1:15" ht="15" thickTop="1" x14ac:dyDescent="0.3">
      <c r="A26" s="20" t="s">
        <v>3</v>
      </c>
      <c r="B26" s="21" t="s">
        <v>25</v>
      </c>
      <c r="C26" s="42"/>
      <c r="D26" s="43"/>
      <c r="E26" s="43"/>
      <c r="F26" s="44"/>
      <c r="G26" s="44"/>
      <c r="H26" s="45"/>
      <c r="I26" s="42"/>
      <c r="J26" s="43"/>
      <c r="K26" s="43"/>
      <c r="L26" s="46"/>
      <c r="M26" s="24">
        <v>200</v>
      </c>
      <c r="N26" s="26">
        <f>+(I28/(I27*8))</f>
        <v>299.67059713706743</v>
      </c>
      <c r="O26" s="27">
        <v>2500</v>
      </c>
    </row>
    <row r="27" spans="1:15" x14ac:dyDescent="0.3">
      <c r="A27" s="8"/>
      <c r="B27" s="9" t="s">
        <v>10</v>
      </c>
      <c r="C27" s="6">
        <v>153968</v>
      </c>
      <c r="D27" s="4">
        <v>19.71</v>
      </c>
      <c r="E27" s="4">
        <v>28.62</v>
      </c>
      <c r="F27" s="5">
        <f>+(E27-D27)*C27*4</f>
        <v>5487419.5200000005</v>
      </c>
      <c r="G27" s="5">
        <v>2414221</v>
      </c>
      <c r="H27" s="7">
        <f>+F27-G27</f>
        <v>3073198.5200000005</v>
      </c>
      <c r="I27" s="6">
        <f>+C27</f>
        <v>153968</v>
      </c>
      <c r="J27" s="4">
        <f>+H27/(I27*8)</f>
        <v>2.4949977592746548</v>
      </c>
      <c r="K27" s="5">
        <f>+J27*I27*8</f>
        <v>3073198.5200000005</v>
      </c>
      <c r="L27" s="3">
        <v>1.08</v>
      </c>
      <c r="M27" s="3">
        <f>+J27*8</f>
        <v>19.959982074197239</v>
      </c>
      <c r="N27" s="3">
        <f>+J27*8</f>
        <v>19.959982074197239</v>
      </c>
      <c r="O27" s="14">
        <f>+J27*8</f>
        <v>19.959982074197239</v>
      </c>
    </row>
    <row r="28" spans="1:15" x14ac:dyDescent="0.3">
      <c r="A28" s="8"/>
      <c r="B28" s="9" t="s">
        <v>11</v>
      </c>
      <c r="C28" s="6">
        <v>308199285</v>
      </c>
      <c r="D28" s="4">
        <v>8.2100000000000006E-2</v>
      </c>
      <c r="E28" s="4">
        <v>7.6399999999999996E-2</v>
      </c>
      <c r="F28" s="5">
        <f>+(E28-D28)*C28</f>
        <v>-1756735.9245000032</v>
      </c>
      <c r="G28" s="5"/>
      <c r="H28" s="7">
        <f>+F28-G28</f>
        <v>-1756735.9245000032</v>
      </c>
      <c r="I28" s="6">
        <v>369117460</v>
      </c>
      <c r="J28" s="4">
        <f>+H28/(I28)</f>
        <v>-4.7592869882123788E-3</v>
      </c>
      <c r="K28" s="5">
        <f>+J28*I28</f>
        <v>-1756735.9245000032</v>
      </c>
      <c r="L28" s="3"/>
      <c r="M28" s="3">
        <f>+M26*J28*8</f>
        <v>-7.6148591811398063</v>
      </c>
      <c r="N28" s="3">
        <f>+N26*J28*8</f>
        <v>-11.409746989634231</v>
      </c>
      <c r="O28" s="14">
        <f>+O26*J28*8</f>
        <v>-95.185739764247572</v>
      </c>
    </row>
    <row r="29" spans="1:15" x14ac:dyDescent="0.3">
      <c r="A29" s="8"/>
      <c r="B29" s="9" t="s">
        <v>12</v>
      </c>
      <c r="C29" s="6"/>
      <c r="D29" s="4"/>
      <c r="E29" s="4"/>
      <c r="F29" s="5"/>
      <c r="G29" s="5"/>
      <c r="H29" s="7"/>
      <c r="I29" s="6"/>
      <c r="J29" s="4"/>
      <c r="K29" s="4"/>
      <c r="L29" s="3"/>
      <c r="M29" s="3">
        <f>+M27+M28</f>
        <v>12.345122893057432</v>
      </c>
      <c r="N29" s="3">
        <f t="shared" ref="N29" si="10">+N27+N28</f>
        <v>8.550235084563008</v>
      </c>
      <c r="O29" s="14">
        <f t="shared" ref="O29" si="11">+O27+O28</f>
        <v>-75.22575769005033</v>
      </c>
    </row>
    <row r="30" spans="1:15" x14ac:dyDescent="0.3">
      <c r="A30" s="8"/>
      <c r="B30" s="9" t="s">
        <v>26</v>
      </c>
      <c r="C30" s="6"/>
      <c r="D30" s="4"/>
      <c r="E30" s="4"/>
      <c r="F30" s="5"/>
      <c r="G30" s="5"/>
      <c r="H30" s="7"/>
      <c r="I30" s="6"/>
      <c r="J30" s="4"/>
      <c r="K30" s="4"/>
      <c r="L30" s="3"/>
      <c r="M30" s="3">
        <f>+L27*8</f>
        <v>8.64</v>
      </c>
      <c r="N30" s="3">
        <f>+M30</f>
        <v>8.64</v>
      </c>
      <c r="O30" s="14">
        <f>+N30</f>
        <v>8.64</v>
      </c>
    </row>
    <row r="31" spans="1:15" x14ac:dyDescent="0.3">
      <c r="A31" s="8"/>
      <c r="B31" s="9" t="s">
        <v>27</v>
      </c>
      <c r="C31" s="6"/>
      <c r="D31" s="4"/>
      <c r="E31" s="4"/>
      <c r="F31" s="5"/>
      <c r="G31" s="5"/>
      <c r="H31" s="7"/>
      <c r="I31" s="6"/>
      <c r="J31" s="4"/>
      <c r="K31" s="4"/>
      <c r="L31" s="3"/>
      <c r="M31" s="3">
        <f>+M29-M30</f>
        <v>3.7051228930574318</v>
      </c>
      <c r="N31" s="3">
        <f t="shared" ref="N31" si="12">+N29-N30</f>
        <v>-8.9764915436992609E-2</v>
      </c>
      <c r="O31" s="14">
        <f t="shared" ref="O31" si="13">+O29-O30</f>
        <v>-83.86575769005033</v>
      </c>
    </row>
    <row r="32" spans="1:15" ht="15" thickBot="1" x14ac:dyDescent="0.35">
      <c r="A32" s="34"/>
      <c r="B32" s="35" t="s">
        <v>28</v>
      </c>
      <c r="C32" s="36"/>
      <c r="D32" s="37"/>
      <c r="E32" s="37"/>
      <c r="F32" s="38"/>
      <c r="G32" s="38"/>
      <c r="H32" s="39"/>
      <c r="I32" s="36"/>
      <c r="J32" s="37"/>
      <c r="K32" s="37"/>
      <c r="L32" s="40"/>
      <c r="M32" s="40">
        <f>+((E27-D27))*4+((E28-D28)*M26*4)-(G27/C27)</f>
        <v>15.399982074197228</v>
      </c>
      <c r="N32" s="40">
        <f>+((E27-D27)*4)+((E28-D28)*N26*4)-(G27/C27)</f>
        <v>13.127492459472085</v>
      </c>
      <c r="O32" s="41">
        <f>+((E27-D27)*4)+((E28-D28)*O26*4)-(G27/C27)</f>
        <v>-37.040017925802871</v>
      </c>
    </row>
    <row r="33" spans="1:15" ht="15" thickTop="1" x14ac:dyDescent="0.3">
      <c r="A33" s="17" t="s">
        <v>4</v>
      </c>
      <c r="B33" s="28" t="s">
        <v>25</v>
      </c>
      <c r="C33" s="47"/>
      <c r="D33" s="48"/>
      <c r="E33" s="48"/>
      <c r="F33" s="49"/>
      <c r="G33" s="49"/>
      <c r="H33" s="50"/>
      <c r="I33" s="47"/>
      <c r="J33" s="48"/>
      <c r="K33" s="48"/>
      <c r="L33" s="51"/>
      <c r="M33" s="30">
        <v>500</v>
      </c>
      <c r="N33" s="33">
        <f>+(I35/(I34*8))</f>
        <v>1916.8601977905635</v>
      </c>
      <c r="O33" s="31">
        <v>12000</v>
      </c>
    </row>
    <row r="34" spans="1:15" x14ac:dyDescent="0.3">
      <c r="A34" s="8"/>
      <c r="B34" s="9" t="s">
        <v>10</v>
      </c>
      <c r="C34" s="6">
        <v>93508</v>
      </c>
      <c r="D34" s="4">
        <v>35.92</v>
      </c>
      <c r="E34" s="4">
        <v>26.35</v>
      </c>
      <c r="F34" s="5">
        <f>+(E34-D34)*C34*4</f>
        <v>-3579486.24</v>
      </c>
      <c r="G34" s="5">
        <v>1466212</v>
      </c>
      <c r="H34" s="7">
        <f>+F34-G34</f>
        <v>-5045698.24</v>
      </c>
      <c r="I34" s="6">
        <f>+C34</f>
        <v>93508</v>
      </c>
      <c r="J34" s="4">
        <f>+H34/(I34*8)</f>
        <v>-6.745008769303162</v>
      </c>
      <c r="K34" s="5">
        <f>+J34*I34*8</f>
        <v>-5045698.24</v>
      </c>
      <c r="L34" s="3">
        <v>6.42</v>
      </c>
      <c r="M34" s="3">
        <f>+J34*8</f>
        <v>-53.960070154425296</v>
      </c>
      <c r="N34" s="3">
        <f>+J34*8</f>
        <v>-53.960070154425296</v>
      </c>
      <c r="O34" s="14">
        <f>+J34*8</f>
        <v>-53.960070154425296</v>
      </c>
    </row>
    <row r="35" spans="1:15" x14ac:dyDescent="0.3">
      <c r="A35" s="8"/>
      <c r="B35" s="9" t="s">
        <v>11</v>
      </c>
      <c r="C35" s="6">
        <v>760875561</v>
      </c>
      <c r="D35" s="4">
        <v>4.0300000000000002E-2</v>
      </c>
      <c r="E35" s="4">
        <v>5.3199999999999997E-2</v>
      </c>
      <c r="F35" s="5">
        <f>+(E35-D35)*C35</f>
        <v>9815294.7368999962</v>
      </c>
      <c r="G35" s="5"/>
      <c r="H35" s="7">
        <f>+F35-G35</f>
        <v>9815294.7368999962</v>
      </c>
      <c r="I35" s="6">
        <v>1433934107</v>
      </c>
      <c r="J35" s="4">
        <f>+H35/(I35)</f>
        <v>6.845011000843706E-3</v>
      </c>
      <c r="K35" s="5">
        <f>+J35*I35</f>
        <v>9815294.7368999962</v>
      </c>
      <c r="L35" s="3"/>
      <c r="M35" s="3">
        <f>+M33*J35*8</f>
        <v>27.380044003374824</v>
      </c>
      <c r="N35" s="3">
        <f>+N33*J35*8</f>
        <v>104.96743312764679</v>
      </c>
      <c r="O35" s="14">
        <f>+O33*J35*8</f>
        <v>657.1210560809958</v>
      </c>
    </row>
    <row r="36" spans="1:15" x14ac:dyDescent="0.3">
      <c r="A36" s="8"/>
      <c r="B36" s="9" t="s">
        <v>12</v>
      </c>
      <c r="C36" s="6"/>
      <c r="D36" s="4"/>
      <c r="E36" s="4"/>
      <c r="F36" s="5"/>
      <c r="G36" s="5"/>
      <c r="H36" s="7"/>
      <c r="I36" s="6"/>
      <c r="J36" s="4"/>
      <c r="K36" s="4"/>
      <c r="L36" s="3"/>
      <c r="M36" s="3">
        <f>+M34+M35</f>
        <v>-26.580026151050472</v>
      </c>
      <c r="N36" s="3">
        <f t="shared" ref="N36" si="14">+N34+N35</f>
        <v>51.00736297322149</v>
      </c>
      <c r="O36" s="14">
        <f t="shared" ref="O36" si="15">+O34+O35</f>
        <v>603.16098592657045</v>
      </c>
    </row>
    <row r="37" spans="1:15" x14ac:dyDescent="0.3">
      <c r="A37" s="8"/>
      <c r="B37" s="9" t="s">
        <v>26</v>
      </c>
      <c r="C37" s="6"/>
      <c r="D37" s="4"/>
      <c r="E37" s="4"/>
      <c r="F37" s="5"/>
      <c r="G37" s="5"/>
      <c r="H37" s="7"/>
      <c r="I37" s="6"/>
      <c r="J37" s="4"/>
      <c r="K37" s="4"/>
      <c r="L37" s="3"/>
      <c r="M37" s="3">
        <f>+L34*8</f>
        <v>51.36</v>
      </c>
      <c r="N37" s="3">
        <f>+M37</f>
        <v>51.36</v>
      </c>
      <c r="O37" s="14">
        <f>+N37</f>
        <v>51.36</v>
      </c>
    </row>
    <row r="38" spans="1:15" x14ac:dyDescent="0.3">
      <c r="A38" s="8"/>
      <c r="B38" s="9" t="s">
        <v>27</v>
      </c>
      <c r="C38" s="6"/>
      <c r="D38" s="4"/>
      <c r="E38" s="4"/>
      <c r="F38" s="5"/>
      <c r="G38" s="5"/>
      <c r="H38" s="7"/>
      <c r="I38" s="6"/>
      <c r="J38" s="4"/>
      <c r="K38" s="4"/>
      <c r="L38" s="3"/>
      <c r="M38" s="3">
        <f>+M36-M37</f>
        <v>-77.940026151050475</v>
      </c>
      <c r="N38" s="3">
        <f t="shared" ref="N38" si="16">+N36-N37</f>
        <v>-0.35263702677850972</v>
      </c>
      <c r="O38" s="14">
        <f t="shared" ref="O38" si="17">+O36-O37</f>
        <v>551.80098592657043</v>
      </c>
    </row>
    <row r="39" spans="1:15" ht="15" thickBot="1" x14ac:dyDescent="0.35">
      <c r="A39" s="18"/>
      <c r="B39" s="19" t="s">
        <v>28</v>
      </c>
      <c r="C39" s="10"/>
      <c r="D39" s="11"/>
      <c r="E39" s="11"/>
      <c r="F39" s="12"/>
      <c r="G39" s="12"/>
      <c r="H39" s="13"/>
      <c r="I39" s="10"/>
      <c r="J39" s="11"/>
      <c r="K39" s="11"/>
      <c r="L39" s="15"/>
      <c r="M39" s="15">
        <f>+((E34-D34))*4+((E35-D35)*M33*4)-(G34/C34)</f>
        <v>-28.160070154425298</v>
      </c>
      <c r="N39" s="15">
        <f>+((E34-D34)*4)+((E35-D35)*N33*4)-(G34/C34)</f>
        <v>44.949916051567747</v>
      </c>
      <c r="O39" s="16">
        <f>+((E34-D34)*4)+((E35-D35)*O33*4)-(G34/C34)</f>
        <v>565.23992984557447</v>
      </c>
    </row>
    <row r="40" spans="1:15" ht="15" thickTop="1" x14ac:dyDescent="0.3">
      <c r="A40" s="20" t="s">
        <v>6</v>
      </c>
      <c r="B40" s="21" t="s">
        <v>25</v>
      </c>
      <c r="C40" s="42"/>
      <c r="D40" s="43"/>
      <c r="E40" s="43"/>
      <c r="F40" s="44"/>
      <c r="G40" s="44"/>
      <c r="H40" s="45"/>
      <c r="I40" s="42"/>
      <c r="J40" s="43"/>
      <c r="K40" s="43"/>
      <c r="L40" s="46"/>
      <c r="M40" s="24">
        <v>60</v>
      </c>
      <c r="N40" s="26">
        <f>+(I42/(I41*8))</f>
        <v>121.49108457385898</v>
      </c>
      <c r="O40" s="27">
        <v>1000</v>
      </c>
    </row>
    <row r="41" spans="1:15" x14ac:dyDescent="0.3">
      <c r="A41" s="8"/>
      <c r="B41" s="9" t="s">
        <v>10</v>
      </c>
      <c r="C41" s="6">
        <v>6113</v>
      </c>
      <c r="D41" s="4">
        <v>52.27</v>
      </c>
      <c r="E41" s="4">
        <v>74.989999999999995</v>
      </c>
      <c r="F41" s="5">
        <f>+(E41-D41)*C41*4</f>
        <v>555549.43999999983</v>
      </c>
      <c r="G41" s="5">
        <v>95850</v>
      </c>
      <c r="H41" s="7">
        <f>+F41-G41</f>
        <v>459699.43999999983</v>
      </c>
      <c r="I41" s="6">
        <f>+C41</f>
        <v>6113</v>
      </c>
      <c r="J41" s="4">
        <f>+H41/(I41*8)</f>
        <v>9.4000376247341695</v>
      </c>
      <c r="K41" s="5">
        <f>+J41*I41*8</f>
        <v>459699.43999999983</v>
      </c>
      <c r="L41" s="3">
        <v>94.31</v>
      </c>
      <c r="M41" s="3">
        <f>+J41*8</f>
        <v>75.200300997873356</v>
      </c>
      <c r="N41" s="3">
        <f>+J41*8</f>
        <v>75.200300997873356</v>
      </c>
      <c r="O41" s="14">
        <f>+J41*8</f>
        <v>75.200300997873356</v>
      </c>
    </row>
    <row r="42" spans="1:15" x14ac:dyDescent="0.3">
      <c r="A42" s="8"/>
      <c r="B42" s="9" t="s">
        <v>11</v>
      </c>
      <c r="C42" s="6">
        <v>2543270</v>
      </c>
      <c r="D42" s="4">
        <v>11.433</v>
      </c>
      <c r="E42" s="4">
        <v>13.0657</v>
      </c>
      <c r="F42" s="5">
        <f>+(E42-D42)*C42</f>
        <v>4152396.9289999995</v>
      </c>
      <c r="G42" s="5"/>
      <c r="H42" s="7">
        <f>+F42-G42</f>
        <v>4152396.9289999995</v>
      </c>
      <c r="I42" s="6">
        <v>5941400</v>
      </c>
      <c r="J42" s="4">
        <f>+H42/(I42)</f>
        <v>0.69889200003366203</v>
      </c>
      <c r="K42" s="5">
        <f>+J42*I42</f>
        <v>4152396.9289999995</v>
      </c>
      <c r="L42" s="3"/>
      <c r="M42" s="3">
        <f>+M40*J42*8</f>
        <v>335.46816001615775</v>
      </c>
      <c r="N42" s="3">
        <f>+N40*J42*8</f>
        <v>679.2731766726647</v>
      </c>
      <c r="O42" s="14">
        <f>+O40*J42*8</f>
        <v>5591.1360002692963</v>
      </c>
    </row>
    <row r="43" spans="1:15" x14ac:dyDescent="0.3">
      <c r="A43" s="8"/>
      <c r="B43" s="9" t="s">
        <v>12</v>
      </c>
      <c r="C43" s="6"/>
      <c r="D43" s="4"/>
      <c r="E43" s="4"/>
      <c r="F43" s="5"/>
      <c r="G43" s="5"/>
      <c r="H43" s="7"/>
      <c r="I43" s="6"/>
      <c r="J43" s="4"/>
      <c r="K43" s="4"/>
      <c r="L43" s="3"/>
      <c r="M43" s="3">
        <f>+M41+M42</f>
        <v>410.6684610140311</v>
      </c>
      <c r="N43" s="3">
        <f t="shared" ref="N43" si="18">+N41+N42</f>
        <v>754.47347767053805</v>
      </c>
      <c r="O43" s="14">
        <f t="shared" ref="O43" si="19">+O41+O42</f>
        <v>5666.3363012671698</v>
      </c>
    </row>
    <row r="44" spans="1:15" x14ac:dyDescent="0.3">
      <c r="A44" s="8"/>
      <c r="B44" s="9" t="s">
        <v>26</v>
      </c>
      <c r="C44" s="6"/>
      <c r="D44" s="4"/>
      <c r="E44" s="4"/>
      <c r="F44" s="5"/>
      <c r="G44" s="5"/>
      <c r="H44" s="7"/>
      <c r="I44" s="6"/>
      <c r="J44" s="4"/>
      <c r="K44" s="4"/>
      <c r="L44" s="3"/>
      <c r="M44" s="3">
        <f>+L41*8</f>
        <v>754.48</v>
      </c>
      <c r="N44" s="3">
        <f>+M44</f>
        <v>754.48</v>
      </c>
      <c r="O44" s="14">
        <f>+N44</f>
        <v>754.48</v>
      </c>
    </row>
    <row r="45" spans="1:15" x14ac:dyDescent="0.3">
      <c r="A45" s="8"/>
      <c r="B45" s="9" t="s">
        <v>27</v>
      </c>
      <c r="C45" s="6"/>
      <c r="D45" s="4"/>
      <c r="E45" s="4"/>
      <c r="F45" s="5"/>
      <c r="G45" s="5"/>
      <c r="H45" s="7"/>
      <c r="I45" s="6"/>
      <c r="J45" s="4"/>
      <c r="K45" s="4"/>
      <c r="L45" s="3"/>
      <c r="M45" s="3">
        <f>+M43-M44</f>
        <v>-343.81153898596892</v>
      </c>
      <c r="N45" s="3">
        <f t="shared" ref="N45" si="20">+N43-N44</f>
        <v>-6.5223294619727312E-3</v>
      </c>
      <c r="O45" s="14">
        <f t="shared" ref="O45" si="21">+O43-O44</f>
        <v>4911.8563012671693</v>
      </c>
    </row>
    <row r="46" spans="1:15" ht="15" thickBot="1" x14ac:dyDescent="0.35">
      <c r="A46" s="34"/>
      <c r="B46" s="35" t="s">
        <v>28</v>
      </c>
      <c r="C46" s="36"/>
      <c r="D46" s="37"/>
      <c r="E46" s="37"/>
      <c r="F46" s="38"/>
      <c r="G46" s="38"/>
      <c r="H46" s="39"/>
      <c r="I46" s="36"/>
      <c r="J46" s="37"/>
      <c r="K46" s="37"/>
      <c r="L46" s="40"/>
      <c r="M46" s="40">
        <f>+((E41-D41))*4+((E42-D42)*M40*4)-(G41/C41)</f>
        <v>467.04830099787335</v>
      </c>
      <c r="N46" s="40">
        <f>+((E41-D41)*4)+((E42-D42)*N40*4)-(G41/C41)</f>
        <v>868.63427613283147</v>
      </c>
      <c r="O46" s="41">
        <f>+((E41-D41)*4)+((E42-D42)*O40*4)-(G41/C41)</f>
        <v>6606.0003009978727</v>
      </c>
    </row>
    <row r="47" spans="1:15" ht="15" thickTop="1" x14ac:dyDescent="0.3">
      <c r="A47" s="17" t="s">
        <v>7</v>
      </c>
      <c r="B47" s="28" t="s">
        <v>25</v>
      </c>
      <c r="C47" s="47"/>
      <c r="D47" s="48"/>
      <c r="E47" s="48"/>
      <c r="F47" s="49"/>
      <c r="G47" s="49"/>
      <c r="H47" s="50"/>
      <c r="I47" s="47"/>
      <c r="J47" s="48"/>
      <c r="K47" s="48"/>
      <c r="L47" s="51"/>
      <c r="M47" s="30">
        <v>500</v>
      </c>
      <c r="N47" s="33">
        <f>+(I49/(I48*8))</f>
        <v>2792.5176651846014</v>
      </c>
      <c r="O47" s="31">
        <v>12000</v>
      </c>
    </row>
    <row r="48" spans="1:15" x14ac:dyDescent="0.3">
      <c r="A48" s="8"/>
      <c r="B48" s="9" t="s">
        <v>10</v>
      </c>
      <c r="C48" s="6">
        <v>17768</v>
      </c>
      <c r="D48" s="4">
        <v>10.199999999999999</v>
      </c>
      <c r="E48" s="4">
        <v>20.05</v>
      </c>
      <c r="F48" s="5">
        <f>+(E48-D48)*C48*4</f>
        <v>700059.20000000007</v>
      </c>
      <c r="G48" s="5">
        <v>278605</v>
      </c>
      <c r="H48" s="7">
        <f>+F48-G48</f>
        <v>421454.20000000007</v>
      </c>
      <c r="I48" s="6">
        <f>+C48</f>
        <v>17768</v>
      </c>
      <c r="J48" s="4">
        <f>+H48/(I48*8)</f>
        <v>2.9649805830706892</v>
      </c>
      <c r="K48" s="5">
        <f>+J48*I48*8</f>
        <v>421454.20000000007</v>
      </c>
      <c r="L48" s="3">
        <v>11.61</v>
      </c>
      <c r="M48" s="3">
        <f>+J48*8</f>
        <v>23.719844664565514</v>
      </c>
      <c r="N48" s="3">
        <f>+J48*8</f>
        <v>23.719844664565514</v>
      </c>
      <c r="O48" s="14">
        <f>+J48*8</f>
        <v>23.719844664565514</v>
      </c>
    </row>
    <row r="49" spans="1:15" x14ac:dyDescent="0.3">
      <c r="A49" s="8"/>
      <c r="B49" s="9" t="s">
        <v>11</v>
      </c>
      <c r="C49" s="6">
        <v>207119906</v>
      </c>
      <c r="D49" s="4">
        <v>1.6799999999999999E-2</v>
      </c>
      <c r="E49" s="4">
        <v>2.2800000000000001E-2</v>
      </c>
      <c r="F49" s="5">
        <f>+(E49-D49)*C49</f>
        <v>1242719.4360000005</v>
      </c>
      <c r="G49" s="5"/>
      <c r="H49" s="7">
        <f>+F49-G49</f>
        <v>1242719.4360000005</v>
      </c>
      <c r="I49" s="6">
        <v>396939631</v>
      </c>
      <c r="J49" s="4">
        <f>+H49/(I49)</f>
        <v>3.1307517288441285E-3</v>
      </c>
      <c r="K49" s="5">
        <f>+J49*I49</f>
        <v>1242719.4360000005</v>
      </c>
      <c r="L49" s="3"/>
      <c r="M49" s="3">
        <f>+M47*J49*8</f>
        <v>12.523006915376515</v>
      </c>
      <c r="N49" s="3">
        <f>+N47*J49*8</f>
        <v>69.941436064835685</v>
      </c>
      <c r="O49" s="14">
        <f>+O47*J49*8</f>
        <v>300.55216596903631</v>
      </c>
    </row>
    <row r="50" spans="1:15" x14ac:dyDescent="0.3">
      <c r="A50" s="8"/>
      <c r="B50" s="9" t="s">
        <v>12</v>
      </c>
      <c r="C50" s="6"/>
      <c r="D50" s="4"/>
      <c r="E50" s="4"/>
      <c r="F50" s="5"/>
      <c r="G50" s="5"/>
      <c r="H50" s="7"/>
      <c r="I50" s="6"/>
      <c r="J50" s="4"/>
      <c r="K50" s="4"/>
      <c r="L50" s="3"/>
      <c r="M50" s="3">
        <f>+M48+M49</f>
        <v>36.242851579942027</v>
      </c>
      <c r="N50" s="3">
        <f t="shared" ref="N50" si="22">+N48+N49</f>
        <v>93.661280729401199</v>
      </c>
      <c r="O50" s="14">
        <f t="shared" ref="O50" si="23">+O48+O49</f>
        <v>324.27201063360184</v>
      </c>
    </row>
    <row r="51" spans="1:15" x14ac:dyDescent="0.3">
      <c r="A51" s="8"/>
      <c r="B51" s="9" t="s">
        <v>26</v>
      </c>
      <c r="C51" s="6"/>
      <c r="D51" s="4"/>
      <c r="E51" s="4"/>
      <c r="F51" s="5"/>
      <c r="G51" s="5"/>
      <c r="H51" s="7"/>
      <c r="I51" s="6"/>
      <c r="J51" s="4"/>
      <c r="K51" s="4"/>
      <c r="L51" s="3"/>
      <c r="M51" s="3">
        <f>+L48*8</f>
        <v>92.88</v>
      </c>
      <c r="N51" s="3">
        <f>+M51</f>
        <v>92.88</v>
      </c>
      <c r="O51" s="14">
        <f>+N51</f>
        <v>92.88</v>
      </c>
    </row>
    <row r="52" spans="1:15" x14ac:dyDescent="0.3">
      <c r="A52" s="8"/>
      <c r="B52" s="9" t="s">
        <v>27</v>
      </c>
      <c r="C52" s="6"/>
      <c r="D52" s="4"/>
      <c r="E52" s="4"/>
      <c r="F52" s="5"/>
      <c r="G52" s="5"/>
      <c r="H52" s="7"/>
      <c r="I52" s="6"/>
      <c r="J52" s="4"/>
      <c r="K52" s="4"/>
      <c r="L52" s="3"/>
      <c r="M52" s="3">
        <f>+M50-M51</f>
        <v>-56.637148420057969</v>
      </c>
      <c r="N52" s="3">
        <f t="shared" ref="N52" si="24">+N50-N51</f>
        <v>0.78128072940120319</v>
      </c>
      <c r="O52" s="14">
        <f t="shared" ref="O52" si="25">+O50-O51</f>
        <v>231.39201063360184</v>
      </c>
    </row>
    <row r="53" spans="1:15" ht="15" thickBot="1" x14ac:dyDescent="0.35">
      <c r="A53" s="18"/>
      <c r="B53" s="19" t="s">
        <v>28</v>
      </c>
      <c r="C53" s="10"/>
      <c r="D53" s="11"/>
      <c r="E53" s="11"/>
      <c r="F53" s="12"/>
      <c r="G53" s="12"/>
      <c r="H53" s="13"/>
      <c r="I53" s="10"/>
      <c r="J53" s="11"/>
      <c r="K53" s="11"/>
      <c r="L53" s="15"/>
      <c r="M53" s="15">
        <f>+((E48-D48))*4+((E49-D49)*M47*4)-(G48/C48)</f>
        <v>35.719844664565514</v>
      </c>
      <c r="N53" s="15">
        <f>+((E48-D48)*4)+((E49-D49)*N47*4)-(G48/C48)</f>
        <v>90.740268628995963</v>
      </c>
      <c r="O53" s="16">
        <f>+((E48-D48)*4)+((E49-D49)*O47*4)-(G48/C48)</f>
        <v>311.71984466456558</v>
      </c>
    </row>
    <row r="54" spans="1:15" ht="15" thickTop="1" x14ac:dyDescent="0.3">
      <c r="A54" s="20" t="s">
        <v>8</v>
      </c>
      <c r="B54" s="21" t="s">
        <v>25</v>
      </c>
      <c r="C54" s="42"/>
      <c r="D54" s="43"/>
      <c r="E54" s="43"/>
      <c r="F54" s="44"/>
      <c r="G54" s="44"/>
      <c r="H54" s="45"/>
      <c r="I54" s="42"/>
      <c r="J54" s="43"/>
      <c r="K54" s="43"/>
      <c r="L54" s="46"/>
      <c r="M54" s="24">
        <v>60</v>
      </c>
      <c r="N54" s="26">
        <f>+(I56/(I55*8))</f>
        <v>137.45739084692266</v>
      </c>
      <c r="O54" s="27">
        <v>1000</v>
      </c>
    </row>
    <row r="55" spans="1:15" x14ac:dyDescent="0.3">
      <c r="A55" s="8"/>
      <c r="B55" s="9" t="s">
        <v>10</v>
      </c>
      <c r="C55" s="6">
        <v>1901</v>
      </c>
      <c r="D55" s="4">
        <v>28.71</v>
      </c>
      <c r="E55" s="4">
        <v>78.739999999999995</v>
      </c>
      <c r="F55" s="5">
        <f>+(E55-D55)*C55*4</f>
        <v>380428.11999999994</v>
      </c>
      <c r="G55" s="5">
        <v>29811</v>
      </c>
      <c r="H55" s="7">
        <f>+F55-G55</f>
        <v>350617.11999999994</v>
      </c>
      <c r="I55" s="6">
        <f>+C55</f>
        <v>1901</v>
      </c>
      <c r="J55" s="4">
        <f>+H55/(I55*8)</f>
        <v>23.054781693845339</v>
      </c>
      <c r="K55" s="5">
        <f>+J55*I55*8</f>
        <v>350617.11999999994</v>
      </c>
      <c r="L55" s="3">
        <v>61.68</v>
      </c>
      <c r="M55" s="3">
        <f>+J55*8</f>
        <v>184.43825355076271</v>
      </c>
      <c r="N55" s="3">
        <f>+J55*8</f>
        <v>184.43825355076271</v>
      </c>
      <c r="O55" s="14">
        <f>+J55*8</f>
        <v>184.43825355076271</v>
      </c>
    </row>
    <row r="56" spans="1:15" x14ac:dyDescent="0.3">
      <c r="A56" s="8"/>
      <c r="B56" s="9" t="s">
        <v>11</v>
      </c>
      <c r="C56" s="6">
        <v>967816</v>
      </c>
      <c r="D56" s="4">
        <v>6.9349999999999996</v>
      </c>
      <c r="E56" s="4">
        <v>7.5434999999999999</v>
      </c>
      <c r="F56" s="5">
        <f>+(E56-D56)*C56</f>
        <v>588916.0360000002</v>
      </c>
      <c r="G56" s="5"/>
      <c r="H56" s="7">
        <f>+F56-G56</f>
        <v>588916.0360000002</v>
      </c>
      <c r="I56" s="6">
        <v>2090452</v>
      </c>
      <c r="J56" s="4">
        <f>+H56/(I56)</f>
        <v>0.28171708128194295</v>
      </c>
      <c r="K56" s="5">
        <f>+J56*I56</f>
        <v>588916.0360000002</v>
      </c>
      <c r="L56" s="3"/>
      <c r="M56" s="3">
        <f>+M54*J56*8</f>
        <v>135.2241990153326</v>
      </c>
      <c r="N56" s="3">
        <f>+N54*J56*8</f>
        <v>309.7927596002105</v>
      </c>
      <c r="O56" s="14">
        <f>+O54*J56*8</f>
        <v>2253.7366502555437</v>
      </c>
    </row>
    <row r="57" spans="1:15" x14ac:dyDescent="0.3">
      <c r="A57" s="8"/>
      <c r="B57" s="9" t="s">
        <v>12</v>
      </c>
      <c r="C57" s="6"/>
      <c r="D57" s="4"/>
      <c r="E57" s="4"/>
      <c r="F57" s="5"/>
      <c r="G57" s="5"/>
      <c r="H57" s="7"/>
      <c r="I57" s="6"/>
      <c r="J57" s="4"/>
      <c r="K57" s="4"/>
      <c r="L57" s="3"/>
      <c r="M57" s="3">
        <f>+M55+M56</f>
        <v>319.66245256609534</v>
      </c>
      <c r="N57" s="3">
        <f t="shared" ref="N57" si="26">+N55+N56</f>
        <v>494.23101315097324</v>
      </c>
      <c r="O57" s="14">
        <f t="shared" ref="O57" si="27">+O55+O56</f>
        <v>2438.1749038063062</v>
      </c>
    </row>
    <row r="58" spans="1:15" x14ac:dyDescent="0.3">
      <c r="A58" s="8"/>
      <c r="B58" s="9" t="s">
        <v>26</v>
      </c>
      <c r="C58" s="6"/>
      <c r="D58" s="4"/>
      <c r="E58" s="4"/>
      <c r="F58" s="5"/>
      <c r="G58" s="5"/>
      <c r="H58" s="7"/>
      <c r="I58" s="6"/>
      <c r="J58" s="4"/>
      <c r="K58" s="4"/>
      <c r="L58" s="3"/>
      <c r="M58" s="3">
        <f>+L55*8</f>
        <v>493.44</v>
      </c>
      <c r="N58" s="3">
        <f>+M58</f>
        <v>493.44</v>
      </c>
      <c r="O58" s="14">
        <f>+N58</f>
        <v>493.44</v>
      </c>
    </row>
    <row r="59" spans="1:15" x14ac:dyDescent="0.3">
      <c r="A59" s="8"/>
      <c r="B59" s="9" t="s">
        <v>27</v>
      </c>
      <c r="C59" s="6"/>
      <c r="D59" s="4"/>
      <c r="E59" s="4"/>
      <c r="F59" s="5"/>
      <c r="G59" s="5"/>
      <c r="H59" s="7"/>
      <c r="I59" s="6"/>
      <c r="J59" s="4"/>
      <c r="K59" s="4"/>
      <c r="L59" s="3"/>
      <c r="M59" s="3">
        <f>+M57-M58</f>
        <v>-173.77754743390466</v>
      </c>
      <c r="N59" s="3">
        <f t="shared" ref="N59" si="28">+N57-N58</f>
        <v>0.79101315097324232</v>
      </c>
      <c r="O59" s="14">
        <f t="shared" ref="O59" si="29">+O57-O58</f>
        <v>1944.7349038063062</v>
      </c>
    </row>
    <row r="60" spans="1:15" ht="15" thickBot="1" x14ac:dyDescent="0.35">
      <c r="A60" s="34"/>
      <c r="B60" s="35" t="s">
        <v>28</v>
      </c>
      <c r="C60" s="36"/>
      <c r="D60" s="37"/>
      <c r="E60" s="37"/>
      <c r="F60" s="38"/>
      <c r="G60" s="38"/>
      <c r="H60" s="39"/>
      <c r="I60" s="36"/>
      <c r="J60" s="37"/>
      <c r="K60" s="37"/>
      <c r="L60" s="40"/>
      <c r="M60" s="40">
        <f>+((E55-D55))*4+((E56-D56)*M54*4)-(G55/C55)</f>
        <v>330.47825355076282</v>
      </c>
      <c r="N60" s="40">
        <f>+((E55-D55)*4)+((E56-D56)*N54*4)-(G55/C55)</f>
        <v>519.00954287217257</v>
      </c>
      <c r="O60" s="41">
        <f>+((E55-D55)*4)+((E56-D56)*O54*4)-(G55/C55)</f>
        <v>2618.4382535507634</v>
      </c>
    </row>
    <row r="61" spans="1:15" ht="15" thickTop="1" x14ac:dyDescent="0.3">
      <c r="A61" s="17" t="s">
        <v>5</v>
      </c>
      <c r="B61" s="28" t="s">
        <v>25</v>
      </c>
      <c r="C61" s="47"/>
      <c r="D61" s="48"/>
      <c r="E61" s="48"/>
      <c r="F61" s="49"/>
      <c r="G61" s="49"/>
      <c r="H61" s="50"/>
      <c r="I61" s="47"/>
      <c r="J61" s="48"/>
      <c r="K61" s="48"/>
      <c r="L61" s="51"/>
      <c r="M61" s="30">
        <v>1000</v>
      </c>
      <c r="N61" s="33">
        <f>+(I63/(I62*8))</f>
        <v>3158.1126543209875</v>
      </c>
      <c r="O61" s="31">
        <v>10000</v>
      </c>
    </row>
    <row r="62" spans="1:15" x14ac:dyDescent="0.3">
      <c r="A62" s="8"/>
      <c r="B62" s="9" t="s">
        <v>10</v>
      </c>
      <c r="C62" s="6">
        <v>810</v>
      </c>
      <c r="D62" s="4">
        <v>583.21</v>
      </c>
      <c r="E62" s="4">
        <v>833.63</v>
      </c>
      <c r="F62" s="5">
        <f>+(E62-D62)*C62*4</f>
        <v>811360.79999999981</v>
      </c>
      <c r="G62" s="5">
        <v>12697</v>
      </c>
      <c r="H62" s="7">
        <f>+F62-G62</f>
        <v>798663.79999999981</v>
      </c>
      <c r="I62" s="6">
        <f>+C62</f>
        <v>810</v>
      </c>
      <c r="J62" s="4">
        <f>+H62/(I62*8)</f>
        <v>123.25058641975306</v>
      </c>
      <c r="K62" s="5">
        <f>+J62*I62*8</f>
        <v>798663.79999999981</v>
      </c>
      <c r="L62" s="3">
        <v>682.35</v>
      </c>
      <c r="M62" s="3">
        <f>+J62*8</f>
        <v>986.0046913580245</v>
      </c>
      <c r="N62" s="3">
        <f>+J62*8</f>
        <v>986.0046913580245</v>
      </c>
      <c r="O62" s="14">
        <f>+J62*8</f>
        <v>986.0046913580245</v>
      </c>
    </row>
    <row r="63" spans="1:15" x14ac:dyDescent="0.3">
      <c r="A63" s="8"/>
      <c r="B63" s="9" t="s">
        <v>11</v>
      </c>
      <c r="C63" s="6">
        <v>10232285</v>
      </c>
      <c r="D63" s="4">
        <v>0.79259999999999997</v>
      </c>
      <c r="E63" s="4">
        <v>1.1465000000000001</v>
      </c>
      <c r="F63" s="5">
        <f>+(E63-D63)*C63</f>
        <v>3621205.6615000009</v>
      </c>
      <c r="G63" s="5"/>
      <c r="H63" s="7">
        <f>+F63-G63</f>
        <v>3621205.6615000009</v>
      </c>
      <c r="I63" s="6">
        <v>20464570</v>
      </c>
      <c r="J63" s="4">
        <f>+H63/(I63)</f>
        <v>0.17695000000000005</v>
      </c>
      <c r="K63" s="5">
        <f>+J63*I63</f>
        <v>3621205.6615000009</v>
      </c>
      <c r="L63" s="3"/>
      <c r="M63" s="3">
        <f>+M61*J63*8</f>
        <v>1415.6000000000004</v>
      </c>
      <c r="N63" s="3">
        <f>+N61*J63*8</f>
        <v>4470.6242734567913</v>
      </c>
      <c r="O63" s="14">
        <f>+O61*J63*8</f>
        <v>14156.000000000004</v>
      </c>
    </row>
    <row r="64" spans="1:15" x14ac:dyDescent="0.3">
      <c r="A64" s="8"/>
      <c r="B64" s="9" t="s">
        <v>12</v>
      </c>
      <c r="C64" s="6"/>
      <c r="D64" s="4"/>
      <c r="E64" s="4"/>
      <c r="F64" s="5"/>
      <c r="G64" s="5"/>
      <c r="H64" s="7"/>
      <c r="I64" s="6"/>
      <c r="J64" s="4"/>
      <c r="K64" s="4"/>
      <c r="L64" s="3"/>
      <c r="M64" s="3">
        <f>+M62+M63</f>
        <v>2401.6046913580249</v>
      </c>
      <c r="N64" s="3">
        <f t="shared" ref="N64" si="30">+N62+N63</f>
        <v>5456.6289648148158</v>
      </c>
      <c r="O64" s="14">
        <f t="shared" ref="O64" si="31">+O62+O63</f>
        <v>15142.004691358028</v>
      </c>
    </row>
    <row r="65" spans="1:15" x14ac:dyDescent="0.3">
      <c r="A65" s="8"/>
      <c r="B65" s="9" t="s">
        <v>26</v>
      </c>
      <c r="C65" s="6"/>
      <c r="D65" s="4"/>
      <c r="E65" s="4"/>
      <c r="F65" s="5"/>
      <c r="G65" s="5"/>
      <c r="H65" s="7"/>
      <c r="I65" s="6"/>
      <c r="J65" s="4"/>
      <c r="K65" s="4"/>
      <c r="L65" s="3"/>
      <c r="M65" s="3">
        <f>+L62*8</f>
        <v>5458.8</v>
      </c>
      <c r="N65" s="3">
        <f>+M65</f>
        <v>5458.8</v>
      </c>
      <c r="O65" s="14">
        <f>+N65</f>
        <v>5458.8</v>
      </c>
    </row>
    <row r="66" spans="1:15" x14ac:dyDescent="0.3">
      <c r="A66" s="8"/>
      <c r="B66" s="9" t="s">
        <v>27</v>
      </c>
      <c r="C66" s="6"/>
      <c r="D66" s="4"/>
      <c r="E66" s="4"/>
      <c r="F66" s="5"/>
      <c r="G66" s="5"/>
      <c r="H66" s="7"/>
      <c r="I66" s="6"/>
      <c r="J66" s="4"/>
      <c r="K66" s="4"/>
      <c r="L66" s="3"/>
      <c r="M66" s="3">
        <f>+M64-M65</f>
        <v>-3057.1953086419753</v>
      </c>
      <c r="N66" s="3">
        <f t="shared" ref="N66" si="32">+N64-N65</f>
        <v>-2.171035185184337</v>
      </c>
      <c r="O66" s="14">
        <f t="shared" ref="O66" si="33">+O64-O65</f>
        <v>9683.204691358027</v>
      </c>
    </row>
    <row r="67" spans="1:15" ht="15" thickBot="1" x14ac:dyDescent="0.35">
      <c r="A67" s="18"/>
      <c r="B67" s="19" t="s">
        <v>28</v>
      </c>
      <c r="C67" s="10"/>
      <c r="D67" s="11"/>
      <c r="E67" s="11"/>
      <c r="F67" s="12"/>
      <c r="G67" s="12"/>
      <c r="H67" s="13"/>
      <c r="I67" s="10"/>
      <c r="J67" s="11"/>
      <c r="K67" s="11"/>
      <c r="L67" s="15"/>
      <c r="M67" s="15">
        <f>+((E62-D62))*4+((E63-D63)*M61*4)-(G62/C62)</f>
        <v>2401.6046913580249</v>
      </c>
      <c r="N67" s="15">
        <f>+((E62-D62)*4)+((E63-D63)*N61*4)-(G62/C62)</f>
        <v>5456.6289648148168</v>
      </c>
      <c r="O67" s="16">
        <f>+((E62-D62)*4)+((E63-D63)*O61*4)-(G62/C62)</f>
        <v>15142.004691358028</v>
      </c>
    </row>
    <row r="68" spans="1:15" ht="15" thickTop="1" x14ac:dyDescent="0.3"/>
  </sheetData>
  <mergeCells count="3">
    <mergeCell ref="C3:H3"/>
    <mergeCell ref="I3:O3"/>
    <mergeCell ref="A3:B4"/>
  </mergeCells>
  <pageMargins left="0.7" right="0.7" top="0.75" bottom="0.75" header="0.3" footer="0.3"/>
  <pageSetup scale="58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JCS</dc:creator>
  <cp:lastModifiedBy>JCS</cp:lastModifiedBy>
  <cp:lastPrinted>2015-04-06T21:24:35Z</cp:lastPrinted>
  <dcterms:created xsi:type="dcterms:W3CDTF">2015-04-06T20:02:29Z</dcterms:created>
  <dcterms:modified xsi:type="dcterms:W3CDTF">2015-04-06T21:53:20Z</dcterms:modified>
</cp:coreProperties>
</file>